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405" yWindow="135" windowWidth="17910" windowHeight="10800" firstSheet="1" activeTab="1"/>
  </bookViews>
  <sheets>
    <sheet name="__FDSCACHE__" sheetId="432" state="veryHidden" r:id="rId1"/>
    <sheet name="ImportantDisclosures" sheetId="488" r:id="rId2"/>
    <sheet name="Scenario Analysis" sheetId="447" r:id="rId3"/>
    <sheet name="Model" sheetId="1" r:id="rId4"/>
    <sheet name="Revenue Drivers" sheetId="310" r:id="rId5"/>
    <sheet name="Metrics" sheetId="4" r:id="rId6"/>
    <sheet name="BS" sheetId="2" r:id="rId7"/>
    <sheet name="CF" sheetId="3" r:id="rId8"/>
    <sheet name="Rev by Geo" sheetId="8" r:id="rId9"/>
    <sheet name="IndexInformation" sheetId="489" r:id="rId10"/>
    <sheet name="ModPubIndex" sheetId="490" r:id="rId11"/>
    <sheet name="MW-Cache" sheetId="418" state="veryHidden" r:id="rId12"/>
  </sheets>
  <definedNames>
    <definedName name="__FDS_HYPERLINK_TOGGLE_STATE__" hidden="1">"ON"</definedName>
    <definedName name="_1c01">Model!$C$6:$C$202</definedName>
    <definedName name="_1c02">Model!$H$6:$H$202</definedName>
    <definedName name="_1c03">Model!$M$6:$M$202</definedName>
    <definedName name="_1c04">Model!$R$6:$R$202</definedName>
    <definedName name="_1c05">Model!$W$6:$W$202</definedName>
    <definedName name="_1c06">Model!$AB$5:$AB$65537</definedName>
    <definedName name="_1c07">Model!$AG:$AG</definedName>
    <definedName name="_1c08">Model!$AL:$AL</definedName>
    <definedName name="_1c09">Model!$AQ:$AQ</definedName>
    <definedName name="_2c01">Model!$D$6:$D$202</definedName>
    <definedName name="_2c02">Model!$I$6:$I$202</definedName>
    <definedName name="_2c03">Model!$N$6:$N$202</definedName>
    <definedName name="_2c04">Model!$S$6:$S$202</definedName>
    <definedName name="_2c05">Model!$X$6:$X$202</definedName>
    <definedName name="_2c06">Model!$AC$5:$AC$65537</definedName>
    <definedName name="_2c07">Model!$AH:$AH</definedName>
    <definedName name="_2c08">Model!$AM:$AM</definedName>
    <definedName name="_2c09">Model!$AR:$AR</definedName>
    <definedName name="_3c01">Model!$E$6:$E$202</definedName>
    <definedName name="_3c02">Model!$J$6:$J$202</definedName>
    <definedName name="_3c03">Model!$O$6:$O$202</definedName>
    <definedName name="_3c04">Model!$T$6:$T$202</definedName>
    <definedName name="_3c05">Model!$Y$6:$Y$202</definedName>
    <definedName name="_3c06">Model!$AD$5:$AD$65537</definedName>
    <definedName name="_3c07">Model!$AI:$AI</definedName>
    <definedName name="_3c08">Model!$AN:$AN</definedName>
    <definedName name="_3c09">Model!$AS:$AS</definedName>
    <definedName name="_4c01">Model!$F$6:$F$202</definedName>
    <definedName name="_4c02">Model!$K$6:$K$202</definedName>
    <definedName name="_4c03">Model!$P$6:$P$202</definedName>
    <definedName name="_4c04">Model!$U$6:$U$202</definedName>
    <definedName name="_4c05">Model!$Z$6:$Z$202</definedName>
    <definedName name="_4c06">Model!$AE$5:$AE$65537</definedName>
    <definedName name="_4c07">Model!$AJ:$AJ</definedName>
    <definedName name="_4c08">Model!$AO:$AO</definedName>
    <definedName name="_4c09">Model!$AT:$AT</definedName>
    <definedName name="_Balancesheet">BS!$A$4:$AP$52</definedName>
    <definedName name="_bdm.01055E805EF84A2B81118682154E2D06.edm" localSheetId="3" hidden="1">Model!$A$4:$AK$128</definedName>
    <definedName name="_bdm.0508D71FC2C34AE0908753F4175D1C37.edm" localSheetId="3" hidden="1">Model!$A$133:$AU$175</definedName>
    <definedName name="_bdm.08072816B11C479DA88B4CF960C614FA.edm" hidden="1">Metrics!$1:$1048576</definedName>
    <definedName name="_bdm.0861154E6F204A39B5116ECA6138BA96.edm" localSheetId="4" hidden="1">'Revenue Drivers'!$A$4:$BJ$186</definedName>
    <definedName name="_bdm.0FDC65715F4C49D7B8DC1AFDBB7F21F7.edm" localSheetId="4" hidden="1">'Revenue Drivers'!$A$4:$AZ$186</definedName>
    <definedName name="_bdm.1799FACB9B7940FFBAC5C9B6E52FFFF2.edm" localSheetId="7" hidden="1">CF!$A$59:$AU$110</definedName>
    <definedName name="_bdm.220795E075ED4112A72783B998191A24.edm" localSheetId="7" hidden="1">CF!$A$4:$AZ$56</definedName>
    <definedName name="_bdm.27F34063CE8B48409A9B4AC72EBF4821.edm" localSheetId="3" hidden="1">Model!$A$4:$BO$114</definedName>
    <definedName name="_bdm.292AC28DA71C4E17942568994FBE440D.edm" localSheetId="4" hidden="1">'Revenue Drivers'!$A$4:$AZ$185</definedName>
    <definedName name="_bdm.299ADB7F15CF4EB6ACCA1EC30B0A34C9.edm" localSheetId="3" hidden="1">Model!$A$4:$AP$126</definedName>
    <definedName name="_bdm.30AF3440A4A04BE78E369D53448CFAEE.edm" hidden="1">'Revenue Drivers'!$1:$1048576</definedName>
    <definedName name="_bdm.363D3C9E10C14BE6B89DB45F5142059F.edm" localSheetId="6" hidden="1">BS!$A$4:$BE$51</definedName>
    <definedName name="_bdm.38EC06A5602F4ECF97207CEEA97E17F0.edm" localSheetId="8" hidden="1">'Rev by Geo'!$A$4:$AU$96</definedName>
    <definedName name="_bdm.3977B4EE3D96424E872F0ABAD1A9F065.edm" localSheetId="7" hidden="1">CF!$A$59:$AZ$107</definedName>
    <definedName name="_bdm.3BD44D6B27004C65AC890B3C237B634F.edm" localSheetId="6" hidden="1">BS!$A$4:$AP$71</definedName>
    <definedName name="_bdm.517142062B0B40B68E42D83F34206C02.edm" localSheetId="7" hidden="1">CF!$A$4:$BJ$107</definedName>
    <definedName name="_bdm.51B6055204BD44778018ACA5BDA656D1.edm" localSheetId="3" hidden="1">Model!$A$4:$Y$114</definedName>
    <definedName name="_bdm.6199B1305D53462789E37E623555D237.edm" localSheetId="7" hidden="1">CF!$A$4:$BO$107</definedName>
    <definedName name="_bdm.61DD09DD26234C1D97217CE6CF0527B1.edm" hidden="1">'Rev by Geo'!$1:$1048576</definedName>
    <definedName name="_bdm.660A31CA538048A6B9A31A6CE2A9E1FE.edm" localSheetId="2" hidden="1">'Scenario Analysis'!$B$78:$B$89</definedName>
    <definedName name="_bdm.6A82D34B6ADC4104A2063874D3D95B63.edm" localSheetId="6" hidden="1">BS!$A$4:$Y$52</definedName>
    <definedName name="_bdm.6E424469D3FB4B14ABBB47CBDECD1CF0.edm" localSheetId="7" hidden="1">CF!$A$4:$BO$53</definedName>
    <definedName name="_bdm.766464B4EDB64291AF4265207B486F2B.edm" localSheetId="6" hidden="1">BS!$A$4:$BJ$51</definedName>
    <definedName name="_bdm.7ADDAF0546B94BC3BCB77DF963B8D29A.edm" localSheetId="7" hidden="1">CF!$A$59:$BE$107</definedName>
    <definedName name="_bdm.7BCEE81F4BFB4311882B1438F37382E4.edm" localSheetId="3" hidden="1">Model!$A$4:$BE$114</definedName>
    <definedName name="_bdm.80A5A5B52DF84C07B636D681DD71D3DE.edm" localSheetId="2" hidden="1">'Scenario Analysis'!$B$78:$B$88</definedName>
    <definedName name="_bdm.8256B73F54F047C0B04B79936EE6660D.edm" localSheetId="4" hidden="1">'Revenue Drivers'!$A$4:$BO$117</definedName>
    <definedName name="_bdm.8D354557C92D42ECA9D09F26627D2952.edm" localSheetId="6" hidden="1">BS!$A$4:$AZ$51</definedName>
    <definedName name="_bdm.961BBB247A7344B9BFD75CD450429B04.edm" localSheetId="3" hidden="1">Model!$A$133:$AK$175</definedName>
    <definedName name="_bdm.9762EF6EF43D48258B4F9DD3B9A8DCA0.edm" localSheetId="6" hidden="1">BS!$A$4:$AK$52</definedName>
    <definedName name="_bdm.9F947DDB7C52484D8BEFEAA973BF9698.edm" localSheetId="3" hidden="1">Model!$A$4:$AU$126</definedName>
    <definedName name="_bdm.A529B78BA1064337B8BDCAC59C48B478.edm" localSheetId="7" hidden="1">CF!$A$59:$BO$107</definedName>
    <definedName name="_bdm.A93E3F1B0FF14C58BB292D28C3280EDB.edm" localSheetId="4" hidden="1">'Revenue Drivers'!$A$4:$BE$186</definedName>
    <definedName name="_bdm.AB71A12C08674A04BFF226F7B07D9C7D.edm" localSheetId="3" hidden="1">Model!$A$4:$BO$114</definedName>
    <definedName name="_bdm.AE3C557B239B4D1DA5EB43F07934ADE4.edm" localSheetId="4" hidden="1">'Revenue Drivers'!$A$4:$BO$117</definedName>
    <definedName name="_bdm.B4896B77149E4220B11C71730A6091FF.edm" localSheetId="6" hidden="1">BS!$A$4:$AU$71</definedName>
    <definedName name="_bdm.BAA410500D444B4CA6AE86C011284F15.edm" localSheetId="6" hidden="1">BS!$A$4:$AP$51</definedName>
    <definedName name="_bdm.C9B0BAB77A694AAFA56CC54CD129C684.edm" localSheetId="7" hidden="1">CF!$A$59:$Y$110</definedName>
    <definedName name="_bdm.CAE41B8F840D48158D9E318CC64D5991.edm" localSheetId="7" hidden="1">CF!$A$59:$BJ$107</definedName>
    <definedName name="_bdm.CD68E2E988EA42B2ACFD5AB5060A05E1.edm" localSheetId="3" hidden="1">Model!$A$133:$Y$175</definedName>
    <definedName name="_bdm.CD9736302701457D83C88D1B4BC692FC.edm" localSheetId="3" hidden="1">Model!$A$4:$AZ$114</definedName>
    <definedName name="_bdm.CEA28C35D9934CE49E9E0A7B7A490243.edm" localSheetId="6" hidden="1">BS!$A$4:$AU$51</definedName>
    <definedName name="_bdm.D3704E8643B2445D9DC123CD21D53701.edm" hidden="1">Model!$1:$1048576</definedName>
    <definedName name="_bdm.D544D4BBC52F4802BB1E80FBB9EF30BB.edm" localSheetId="8" hidden="1">'Rev by Geo'!$A$4:$AU$97</definedName>
    <definedName name="_bdm.D558B6D91C23428383AC30E9A51FF0A3.edm" localSheetId="4" hidden="1">'Revenue Drivers'!$A$4:$BE$185</definedName>
    <definedName name="_bdm.D99490AF8A904CC8ABA9CF50B30048C2.edm" localSheetId="3" hidden="1">Model!$A$4:$BE$129</definedName>
    <definedName name="_bdm.DA3A8EB5F9614036BAB1B18B266FA23F.edm" localSheetId="6" hidden="1">BS!$A$4:$BO$51</definedName>
    <definedName name="_bdm.DB3A87B83E084B2BB102C001138C0338.edm" localSheetId="2" hidden="1">'Scenario Analysis'!$B$78:$B$88</definedName>
    <definedName name="_bdm.E9310794FAC940069E4378C30934D7E6.edm" localSheetId="2" hidden="1">'Scenario Analysis'!$B$78:$B$89</definedName>
    <definedName name="_bdm.F38A5C0EB4CC44478F8795C3BE7BB13B.edm" localSheetId="7" hidden="1">CF!$A$58:$BJ$107</definedName>
    <definedName name="_bdm.F6B31C84A9EF406FA9A1D89A5A75B3BD.edm" localSheetId="7" hidden="1">CF!$A$59:$AK$110</definedName>
    <definedName name="_bdm.FC21C7FAFC7B4623908531A1653CA480.edm" localSheetId="2" hidden="1">'Scenario Analysis'!$1:$1048576</definedName>
    <definedName name="_bdm.FCBC4928F4F2491CBA3387BE7482E675.edm" hidden="1">CF!$1:$1048576</definedName>
    <definedName name="_bdm.FF26862E881243EE999C4E81689CFCAB.edm" hidden="1">BS!$1:$1048576</definedName>
    <definedName name="_Cashflowstmt">CF!$A$59:$AP$110</definedName>
    <definedName name="_fy01">Model!$G$6:$G$202</definedName>
    <definedName name="_fy02">Model!$L$6:$L$202</definedName>
    <definedName name="_fy03">Model!$Q$6:$Q$202</definedName>
    <definedName name="_fy04">Model!$V$6:$V$202</definedName>
    <definedName name="_fy05">Model!$AA$6:$AA$202</definedName>
    <definedName name="_fy06">Model!$AF$5:$AF$65537</definedName>
    <definedName name="_fy07">Model!$AK:$AK</definedName>
    <definedName name="_fy08">Model!$AP:$AP</definedName>
    <definedName name="_fy09">Model!$AU:$AU</definedName>
    <definedName name="_fy10">Model!$AZ:$AZ</definedName>
    <definedName name="_fy11">Model!$BE:$BE</definedName>
    <definedName name="_IS">Model!$A$4:$AP$128</definedName>
    <definedName name="_ISA">Model!$A$133:$AP$175</definedName>
    <definedName name="_Revenuebygeo">'Rev by Geo'!$A$4:$AP$97</definedName>
    <definedName name="_Segmentanal">'Revenue Drivers'!$A$4:$AF$80</definedName>
    <definedName name="AdditionalInstructions">IndexInformation!$B$42</definedName>
    <definedName name="Address" localSheetId="1">ImportantDisclosures!$A$2:$A$2</definedName>
    <definedName name="ANA" localSheetId="10">ModPubIndex!$A$7</definedName>
    <definedName name="AssetsCurrentAccountsReceivableAllowance">0</definedName>
    <definedName name="AssetsCurrentAccountsReceivableGross">0</definedName>
    <definedName name="AssetsCurrentDeferredIncomeTaxes">0</definedName>
    <definedName name="AssetsCurrentOther">0</definedName>
    <definedName name="AssetsCurrentPrepaidExpenses">0</definedName>
    <definedName name="AssetsCurrentShortTermInvestments">0</definedName>
    <definedName name="AssetsIntangiblesAccumulatedAmortization">0</definedName>
    <definedName name="AssetsIntangiblesGross">0</definedName>
    <definedName name="AssetsOtherAccumulatedAmortization">0</definedName>
    <definedName name="AssetsOtherGross">0</definedName>
    <definedName name="AssetsOtherNet">0</definedName>
    <definedName name="Authors" localSheetId="1">ImportantDisclosures!$A$7</definedName>
    <definedName name="Authors" localSheetId="9">IndexInformation!$B$18</definedName>
    <definedName name="BRO" localSheetId="10">ModPubIndex!$A$1</definedName>
    <definedName name="capex">Model!$C$195:$DI$195</definedName>
    <definedName name="cash">Model!$C$192:$DA$192</definedName>
    <definedName name="CashFlowCapitalExpenditureCellular">0</definedName>
    <definedName name="CashFlowCapitalExpenditureOther">0</definedName>
    <definedName name="CashFlowCapitalExpenditurePaging">0</definedName>
    <definedName name="CashFlowCapitalExpenditureTelephone">0</definedName>
    <definedName name="CashFlowCapitalExpenditureWireless">0</definedName>
    <definedName name="CashFlowDividendPaidPreferredStock">0</definedName>
    <definedName name="CopyrightStamp">ImportantDisclosures!$A$27</definedName>
    <definedName name="COU" localSheetId="10">ModPubIndex!$A$5</definedName>
    <definedName name="CQEnd" localSheetId="9">IndexInformation!$B$31</definedName>
    <definedName name="crev">Model!$C$21:$JA$21</definedName>
    <definedName name="Currency" localSheetId="9">IndexInformation!$B$24</definedName>
    <definedName name="CurrentStockPrice" localSheetId="9">IndexInformation!$B$23</definedName>
    <definedName name="CurrQtrEPS" localSheetId="9">IndexInformation!$B$29</definedName>
    <definedName name="CurrYearEPS" localSheetId="9">IndexInformation!$B$11</definedName>
    <definedName name="CurrYearTotalRevenue" localSheetId="9">IndexInformation!$B$10</definedName>
    <definedName name="CurrYearTotalRevenueActual" localSheetId="9">IndexInformation!$B$32</definedName>
    <definedName name="CUSIP" localSheetId="9">IndexInformation!$B$20</definedName>
    <definedName name="CYEnd" localSheetId="9">IndexInformation!$B$30</definedName>
    <definedName name="Date" localSheetId="1">ImportantDisclosures!$A$8</definedName>
    <definedName name="dcfdna">Model!$C$197:$DB$197</definedName>
    <definedName name="debt">Model!$C$193:$DA$193</definedName>
    <definedName name="defrev">Model!$C$190:$AY$190</definedName>
    <definedName name="Deleted" localSheetId="9">IndexInformation!$B$27</definedName>
    <definedName name="depr">Model!$197:$197</definedName>
    <definedName name="Description" localSheetId="9">IndexInformation!$B$7</definedName>
    <definedName name="Discipline" localSheetId="9">IndexInformation!$B$3</definedName>
    <definedName name="DISCIPLINE" localSheetId="10">ModPubIndex!$A$12</definedName>
    <definedName name="DisclosuresText">ImportantDisclosures!$A$22</definedName>
    <definedName name="Distribution" localSheetId="9">IndexInformation!$B$26</definedName>
    <definedName name="DistTable" localSheetId="1">ImportantDisclosures!#REF!</definedName>
    <definedName name="DistTablePreamble" localSheetId="1">ImportantDisclosures!#REF!</definedName>
    <definedName name="div">Model!$C$202:$DA$202</definedName>
    <definedName name="DOCDAT" localSheetId="10">ModPubIndex!$A$2</definedName>
    <definedName name="DOCTIME" localSheetId="10">ModPubIndex!$A$3</definedName>
    <definedName name="DocType" localSheetId="9">IndexInformation!$B$5</definedName>
    <definedName name="dso">Model!$C$198:$DC$198</definedName>
    <definedName name="EMAIL_ALERT" localSheetId="10">ModPubIndex!$A$10</definedName>
    <definedName name="EmailAlert" localSheetId="9">IndexInformation!$B$28</definedName>
    <definedName name="eps">Model!$C$87:$DA$87</definedName>
    <definedName name="EquityAdjustments">0</definedName>
    <definedName name="EquityCost">0.078598</definedName>
    <definedName name="EquityEmployeeStockOwnershipPlan">0</definedName>
    <definedName name="EquityPaidInCapital">0</definedName>
    <definedName name="EquityTreasuryStock">0</definedName>
    <definedName name="Estimated_Average_Useful_Life">"Useful Life"</definedName>
    <definedName name="fcf">Model!$C$201:$DA$201</definedName>
    <definedName name="FiveYearGrowthRate" localSheetId="9">IndexInformation!$B$16</definedName>
    <definedName name="FollowingYearEPS" localSheetId="9">IndexInformation!$B$15</definedName>
    <definedName name="FollowingYearTotalRevenue" localSheetId="9">IndexInformation!$B$14</definedName>
    <definedName name="FollowingYearTotalRevenueActual" localSheetId="9">IndexInformation!$B$34</definedName>
    <definedName name="gna">Model!$C$52:$DA$52</definedName>
    <definedName name="grinc">Model!$C$80:$DA$80</definedName>
    <definedName name="grmgn">Model!$C$41:$DA$41</definedName>
    <definedName name="grp">Model!$C$38:$DA$38</definedName>
    <definedName name="HL" localSheetId="10">ModPubIndex!$A$8</definedName>
    <definedName name="IncomeEPSFullyDiluted">0</definedName>
    <definedName name="IncomeEPSPrimary">0</definedName>
    <definedName name="IncomeEPSRegular">0</definedName>
    <definedName name="incwkcap">Model!$200:$200</definedName>
    <definedName name="IND" localSheetId="10">ModPubIndex!$A$9</definedName>
    <definedName name="Industry" localSheetId="1">ImportantDisclosures!$A$12</definedName>
    <definedName name="IndustryId">IndexInformation!$B$40</definedName>
    <definedName name="IndustryRating" localSheetId="1">ImportantDisclosures!$A$13</definedName>
    <definedName name="KeepVersions" localSheetId="9">IndexInformation!$B$8</definedName>
    <definedName name="LanguageCode">IndexInformation!$B$38</definedName>
    <definedName name="LastCell" localSheetId="1">ImportantDisclosures!$A$22</definedName>
    <definedName name="ldom">Model!$C$9:$JA$9</definedName>
    <definedName name="LiabilitiesCurrentAccruedLiabilities">0</definedName>
    <definedName name="LiabilitiesCurrentNotesPayable">0</definedName>
    <definedName name="LiabilitiesDeferredIncomeTaxes">0</definedName>
    <definedName name="LiabilitiesOther">0</definedName>
    <definedName name="LiabilitiesUnamortizedInvestmentTaxCredits">0</definedName>
    <definedName name="licensecost">Model!$C$32:$DC$32</definedName>
    <definedName name="Linking_1">'Revenue Drivers'!$A$4:$CI$33</definedName>
    <definedName name="Linking_11">CF!$A$57:$CN$107</definedName>
    <definedName name="Linking_12">CF!$59:$107</definedName>
    <definedName name="Linking_17">0.300847457627119</definedName>
    <definedName name="Linking_18">Model!$A$4:$CX$87</definedName>
    <definedName name="Linking_19">CF!$A$4:$CX$107</definedName>
    <definedName name="Linking_2">CF!$A$4:$CI$107</definedName>
    <definedName name="Linking_20">CF!$A$60:$CX$107</definedName>
    <definedName name="Linking_3" xml:space="preserve">      CF!$A$4:$CN$107</definedName>
    <definedName name="Linking_4">CF!$A$4:$CN$107</definedName>
    <definedName name="Linking_Range_10">CF!$A$59:$BT$107</definedName>
    <definedName name="Linking_Range_13">'Revenue Drivers'!$A$4:$BT$42</definedName>
    <definedName name="Linking_Range_15">BS!$A$4:$BY$51</definedName>
    <definedName name="Linking_Range_16">CF!$A$59:$BY$107</definedName>
    <definedName name="Linking_Range_18">Model!$A$4:$BY$114</definedName>
    <definedName name="Linking_Range_19">'Revenue Drivers'!$A$4:$BY$42</definedName>
    <definedName name="Linking_Range_2">Model!$A$4:$BO$114</definedName>
    <definedName name="Linking_Range_20">CF!$A$59:$BY$118</definedName>
    <definedName name="Linking_Range_23">'Scenario Analysis'!$B$4:$K$47</definedName>
    <definedName name="Linking_Range_24">Model!$A$4:$CN$114</definedName>
    <definedName name="Linking_Range_25">'Revenue Drivers'!$A$4:$CN$42</definedName>
    <definedName name="Linking_Range_26">BS!$A$4:$CN$51</definedName>
    <definedName name="Linking_Range_27">CF!$A$59:$CN$107</definedName>
    <definedName name="Linking_Range_28">'Scenario Analysis'!$B$7:$K$47</definedName>
    <definedName name="Linking_Range_3">'Revenue Drivers'!$A$4:$BO$117</definedName>
    <definedName name="Linking_Range_30">Model!$A$4:$CD$114</definedName>
    <definedName name="Linking_Range_31">'Revenue Drivers'!$A$4:$CD$42</definedName>
    <definedName name="Linking_Range_32">BS!$A$4:$CD$51</definedName>
    <definedName name="Linking_Range_33">CF!$A$59:$CI$107</definedName>
    <definedName name="Linking_Range_34">CF!$A$4:$CI$53</definedName>
    <definedName name="Linking_Range_35">BS!$A$4:$CI$51</definedName>
    <definedName name="Linking_Range_36">'Revenue Drivers'!$A$4:$CI$42</definedName>
    <definedName name="Linking_Range_37">Model!$A$4:$CI$114</definedName>
    <definedName name="Linking_Range_39">'Revenue Drivers'!$A$4:$CD$45</definedName>
    <definedName name="Linking_Range_4">BS!$A$4:$BO$51</definedName>
    <definedName name="Linking_Range_40">Model!$A$4:$CN$87</definedName>
    <definedName name="Linking_Range_41">'Revenue Drivers'!$A$4:$CN$45</definedName>
    <definedName name="Linking_Range_42">CF!$A$4:$CN$53</definedName>
    <definedName name="Linking_Range_44">'Revenue Drivers'!$A$4:$CN$33</definedName>
    <definedName name="Linking_Range_5">CF!$A$59:$BO$107</definedName>
    <definedName name="Linking_Range_600">CF!$A$59:$CN$107</definedName>
    <definedName name="Linking_Range_7">Model!$A$4:$BT$114</definedName>
    <definedName name="Linking_Range_8">'Revenue Drivers'!$A$4:$BT$33</definedName>
    <definedName name="Linking_Range_9">BS!$A$4:$BT$51</definedName>
    <definedName name="linking_range_balancesheetfy20">BS!$A$4:$CX$51</definedName>
    <definedName name="linking_range_bsfy194">BS!$A$4:$CS$51</definedName>
    <definedName name="linking_range_cffy20">CF!$A$59:$CX$107</definedName>
    <definedName name="linking_range_fy191">Model!$A$4:$CS$87</definedName>
    <definedName name="linking_range_fy192">'Revenue Drivers'!$A$4:$CS$45</definedName>
    <definedName name="linking_range_fy194">CF!$A$59:$CS$107</definedName>
    <definedName name="linking_range_FY20">Model!$A$4:$CX$114</definedName>
    <definedName name="linking_range_fy20rev">'Revenue Drivers'!$A$4:$CX$45</definedName>
    <definedName name="lintl">Model!$C$10:$JA$10</definedName>
    <definedName name="lrev">Model!$C$18:$DA$18</definedName>
    <definedName name="ltmeps">Model!$C$185:$DA$185</definedName>
    <definedName name="ltmexp">Model!$C$181:$JA$181</definedName>
    <definedName name="ltmfcf">Model!$186:$186</definedName>
    <definedName name="ltmop">Model!$C$182:$JA$182</definedName>
    <definedName name="ltmopcash">Model!$C$186:$DA$186</definedName>
    <definedName name="ltmopmgn">Model!$C$183:$DA$183</definedName>
    <definedName name="ltmrev">Model!$C$180:$DA$180</definedName>
    <definedName name="ltmrnd">Model!$C$184:$DA$184</definedName>
    <definedName name="MacroVersion" localSheetId="9">IndexInformation!$B$1</definedName>
    <definedName name="ModelPrice" localSheetId="1">ImportantDisclosures!$A$14</definedName>
    <definedName name="mrev">Model!$21:$21</definedName>
    <definedName name="Multiplier" localSheetId="9">IndexInformation!$B$35</definedName>
    <definedName name="NextYearEPS" localSheetId="9">IndexInformation!$B$13</definedName>
    <definedName name="NextYearTotalRevenue" localSheetId="9">IndexInformation!$B$12</definedName>
    <definedName name="NextYearTotalRevenueActual" localSheetId="9">IndexInformation!$B$33</definedName>
    <definedName name="ni">Model!$C$84:$DA$84</definedName>
    <definedName name="nirep">Model!$C$110:$JA$110</definedName>
    <definedName name="nopat">Model!$C$188:$DA$188</definedName>
    <definedName name="Normalized_Income_Statement">"IS_Annual"</definedName>
    <definedName name="ObjectType">IndexInformation!$B$37</definedName>
    <definedName name="op">Model!$C$67:$DA$67</definedName>
    <definedName name="opcash">Model!$C$196:$DB$196</definedName>
    <definedName name="OpExAmortization">0</definedName>
    <definedName name="OpExBeforeDepreciationAmortizationExtraordinariesOther">0</definedName>
    <definedName name="OpExBeforeDepreciationAmortizationExtraordinariesTotal">0</definedName>
    <definedName name="OpExCostOfEquipment">0</definedName>
    <definedName name="OpExDepreciation">0</definedName>
    <definedName name="OpExGeneralAdministrative">0</definedName>
    <definedName name="OpExSellingMarketing">0</definedName>
    <definedName name="OpExTotal">0</definedName>
    <definedName name="opmgn">Model!$C$68:$DA$68</definedName>
    <definedName name="OtherExEquityIncome">0</definedName>
    <definedName name="OtherExGainOnSale">0</definedName>
    <definedName name="OtherExInterestIncome">0</definedName>
    <definedName name="OtherExMinorityInterest">0</definedName>
    <definedName name="OtherExTotal">0</definedName>
    <definedName name="othinc">Model!$C$76:$DA$76</definedName>
    <definedName name="PANA" localSheetId="10">ModPubIndex!$A$11</definedName>
    <definedName name="PathName" localSheetId="9">IndexInformation!$B$25</definedName>
    <definedName name="_xlnm.Print_Area" localSheetId="6">BS!$A$1:$AZ$53</definedName>
    <definedName name="_xlnm.Print_Area" localSheetId="7">CF!$A$1:$BO$107</definedName>
    <definedName name="_xlnm.Print_Area" localSheetId="5">Metrics!$A$5:$AJ$234</definedName>
    <definedName name="_xlnm.Print_Area" localSheetId="3">Model!$A$4:$CN$114</definedName>
    <definedName name="_xlnm.Print_Area" localSheetId="8">'Rev by Geo'!$A$1:$AM$94</definedName>
    <definedName name="_xlnm.Print_Area" localSheetId="4">'Revenue Drivers'!$A$1:$BO$186</definedName>
    <definedName name="_xlnm.Print_Area" localSheetId="2">'Scenario Analysis'!$A$1:$C$78</definedName>
    <definedName name="_xlnm.Print_Area">#REF!</definedName>
    <definedName name="_xlnm.Print_Titles">#REF!</definedName>
    <definedName name="PRODUCT" localSheetId="10">ModPubIndex!$A$6</definedName>
    <definedName name="productGM">Model!$C$35:$AZ$35</definedName>
    <definedName name="PSYM" localSheetId="10">ModPubIndex!$A$4</definedName>
    <definedName name="PublishDate" localSheetId="9">IndexInformation!$B$2</definedName>
    <definedName name="Rating" localSheetId="9">IndexInformation!$B$9</definedName>
    <definedName name="RatingsDefined" localSheetId="1">ImportantDisclosures!$A$21</definedName>
    <definedName name="RatingsDefs" localSheetId="1">ImportantDisclosures!#REF!</definedName>
    <definedName name="RegACDisclosure" localSheetId="1">ImportantDisclosures!#REF!</definedName>
    <definedName name="ReportGroup" hidden="1">0</definedName>
    <definedName name="ResearchTopic" localSheetId="9">IndexInformation!$B$4</definedName>
    <definedName name="Reset">BS!$C$131</definedName>
    <definedName name="rev">Model!$C$24:$DA$24</definedName>
    <definedName name="RevenuesCellularEquipment">0</definedName>
    <definedName name="RevenuesCellularOther">0</definedName>
    <definedName name="RevenuesCellularService">0</definedName>
    <definedName name="RevenuesCellularTotal">0</definedName>
    <definedName name="RevenuesPagingEquipment">0</definedName>
    <definedName name="RevenuesPagingOther">0</definedName>
    <definedName name="RevenuesPagingService">0</definedName>
    <definedName name="RevenuesPagingTotal">0</definedName>
    <definedName name="RevenuesWirelessEquipment">0</definedName>
    <definedName name="RevenuesWirelessOther">0</definedName>
    <definedName name="RevenuesWirelessService">0</definedName>
    <definedName name="RIC" localSheetId="9">IndexInformation!$B$21</definedName>
    <definedName name="rnd">Model!$C$44:$JA$44</definedName>
    <definedName name="SECSettlement" localSheetId="1">ImportantDisclosures!#REF!</definedName>
    <definedName name="SEDOL" localSheetId="9">IndexInformation!$B$22</definedName>
    <definedName name="SharesConvertibleSecurities">0</definedName>
    <definedName name="SharesFullyDiluted">0</definedName>
    <definedName name="SharesOptions">0</definedName>
    <definedName name="SharesOutstandingLatestDate">0</definedName>
    <definedName name="SharesOutstandingOther">0</definedName>
    <definedName name="SharesOutstandingSenior">0</definedName>
    <definedName name="SharesOutstandingSubordinate">0</definedName>
    <definedName name="SharesPrimary">0</definedName>
    <definedName name="SharesWarrants">0</definedName>
    <definedName name="shs">Model!$C$114:$DA$114</definedName>
    <definedName name="snm">Model!$C$48:$JA$48</definedName>
    <definedName name="solver_adj" localSheetId="4" hidden="1">'Revenue Drivers'!$Z$231</definedName>
    <definedName name="solver_cvg" localSheetId="6" hidden="1">0.0001</definedName>
    <definedName name="solver_cvg" localSheetId="3" hidden="1">0.0001</definedName>
    <definedName name="solver_cvg" localSheetId="4" hidden="1">0.0001</definedName>
    <definedName name="solver_cvg" localSheetId="2" hidden="1">0.0001</definedName>
    <definedName name="solver_drv" localSheetId="6" hidden="1">1</definedName>
    <definedName name="solver_drv" localSheetId="3" hidden="1">1</definedName>
    <definedName name="solver_drv" localSheetId="4" hidden="1">1</definedName>
    <definedName name="solver_drv" localSheetId="2" hidden="1">1</definedName>
    <definedName name="solver_est" localSheetId="6" hidden="1">1</definedName>
    <definedName name="solver_est" localSheetId="3" hidden="1">1</definedName>
    <definedName name="solver_est" localSheetId="4" hidden="1">1</definedName>
    <definedName name="solver_est" localSheetId="2" hidden="1">1</definedName>
    <definedName name="solver_itr" localSheetId="6" hidden="1">100</definedName>
    <definedName name="solver_itr" localSheetId="3" hidden="1">100</definedName>
    <definedName name="solver_itr" localSheetId="4" hidden="1">100</definedName>
    <definedName name="solver_itr" localSheetId="2" hidden="1">100</definedName>
    <definedName name="solver_lin" localSheetId="6" hidden="1">2</definedName>
    <definedName name="solver_lin" localSheetId="3" hidden="1">2</definedName>
    <definedName name="solver_lin" localSheetId="4" hidden="1">2</definedName>
    <definedName name="solver_lin" localSheetId="2" hidden="1">2</definedName>
    <definedName name="solver_neg" localSheetId="6" hidden="1">2</definedName>
    <definedName name="solver_neg" localSheetId="3" hidden="1">2</definedName>
    <definedName name="solver_neg" localSheetId="4" hidden="1">2</definedName>
    <definedName name="solver_neg" localSheetId="2" hidden="1">2</definedName>
    <definedName name="solver_num" localSheetId="6" hidden="1">0</definedName>
    <definedName name="solver_num" localSheetId="3" hidden="1">0</definedName>
    <definedName name="solver_num" localSheetId="4" hidden="1">0</definedName>
    <definedName name="solver_num" localSheetId="2" hidden="1">0</definedName>
    <definedName name="solver_nwt" localSheetId="6" hidden="1">1</definedName>
    <definedName name="solver_nwt" localSheetId="3" hidden="1">1</definedName>
    <definedName name="solver_nwt" localSheetId="4" hidden="1">1</definedName>
    <definedName name="solver_nwt" localSheetId="2" hidden="1">1</definedName>
    <definedName name="solver_opt" localSheetId="4" hidden="1">'Revenue Drivers'!$Z$230</definedName>
    <definedName name="solver_pre" localSheetId="6" hidden="1">0.000001</definedName>
    <definedName name="solver_pre" localSheetId="3" hidden="1">0.000001</definedName>
    <definedName name="solver_pre" localSheetId="4" hidden="1">0.000001</definedName>
    <definedName name="solver_pre" localSheetId="2" hidden="1">0.000001</definedName>
    <definedName name="solver_scl" localSheetId="6" hidden="1">2</definedName>
    <definedName name="solver_scl" localSheetId="3" hidden="1">2</definedName>
    <definedName name="solver_scl" localSheetId="4" hidden="1">2</definedName>
    <definedName name="solver_scl" localSheetId="2" hidden="1">2</definedName>
    <definedName name="solver_sho" localSheetId="6" hidden="1">2</definedName>
    <definedName name="solver_sho" localSheetId="3" hidden="1">2</definedName>
    <definedName name="solver_sho" localSheetId="4" hidden="1">2</definedName>
    <definedName name="solver_sho" localSheetId="2" hidden="1">2</definedName>
    <definedName name="solver_tim" localSheetId="6" hidden="1">100</definedName>
    <definedName name="solver_tim" localSheetId="3" hidden="1">100</definedName>
    <definedName name="solver_tim" localSheetId="4" hidden="1">100</definedName>
    <definedName name="solver_tim" localSheetId="2" hidden="1">100</definedName>
    <definedName name="solver_tol" localSheetId="6" hidden="1">0.05</definedName>
    <definedName name="solver_tol" localSheetId="3" hidden="1">0.05</definedName>
    <definedName name="solver_tol" localSheetId="4" hidden="1">0.05</definedName>
    <definedName name="solver_tol" localSheetId="2" hidden="1">0.05</definedName>
    <definedName name="solver_typ" localSheetId="6" hidden="1">3</definedName>
    <definedName name="solver_typ" localSheetId="3" hidden="1">3</definedName>
    <definedName name="solver_typ" localSheetId="4" hidden="1">3</definedName>
    <definedName name="solver_typ" localSheetId="2" hidden="1">1</definedName>
    <definedName name="solver_val" localSheetId="6" hidden="1">7.914321</definedName>
    <definedName name="solver_val" localSheetId="3" hidden="1">0.07</definedName>
    <definedName name="solver_val" localSheetId="4" hidden="1">0.111</definedName>
    <definedName name="solver_val" localSheetId="2" hidden="1">0.16</definedName>
    <definedName name="SourceDefined" localSheetId="1">ImportantDisclosures!$A$19</definedName>
    <definedName name="StatsAccessLinesDomesticInternationalTotalAverage">0</definedName>
    <definedName name="StatsAccessLinesTotalAverage">0</definedName>
    <definedName name="StatsAverageMonthlyRevenue">0</definedName>
    <definedName name="StatsEmployeesConsolidatedInternational">0</definedName>
    <definedName name="StatsEmployeesTelephoneInternational">0</definedName>
    <definedName name="StatsPagingAverageMonthlyRevenue">0</definedName>
    <definedName name="StatsPagingSubscribers">0</definedName>
    <definedName name="StatsPenetration">0</definedName>
    <definedName name="StatsPOPS">0</definedName>
    <definedName name="StatsProportionatePenetration">0</definedName>
    <definedName name="StatsProportionatePOPS">0</definedName>
    <definedName name="StatsProportionateSubscribersAverage">0</definedName>
    <definedName name="StatsProportionateSubscribersBeginning">0</definedName>
    <definedName name="StatsProportionateSubscribersEnding">0</definedName>
    <definedName name="StatsProportionateSubscribersNetAdds">0</definedName>
    <definedName name="StatsSubscribersAverage">0</definedName>
    <definedName name="StatsSubscribersBeginning">0</definedName>
    <definedName name="StatsSubscribersEnding">0</definedName>
    <definedName name="StatsSubscribersNetAdds">0</definedName>
    <definedName name="StockRating" localSheetId="1">ImportantDisclosures!$A$11</definedName>
    <definedName name="SubjectCode" localSheetId="9">IndexInformation!$B$6</definedName>
    <definedName name="SubmitterUserId">IndexInformation!$B$39</definedName>
    <definedName name="SUPPRESSED" localSheetId="10">ModPubIndex!$A$13</definedName>
    <definedName name="svcsGM">Model!$C$37:$AZ$37</definedName>
    <definedName name="TargetPrice" localSheetId="1">ImportantDisclosures!$A$15</definedName>
    <definedName name="taxes">Model!$C$81:$DA$81</definedName>
    <definedName name="taxrate">Model!$C$82:$DA$82</definedName>
    <definedName name="TemplateRegion">IndexInformation!$B$36</definedName>
    <definedName name="Ticker" localSheetId="1">ImportantDisclosures!$A$10</definedName>
    <definedName name="TickerRegion">IndexInformation!$B$41</definedName>
    <definedName name="Tickers" localSheetId="9">IndexInformation!$B$19</definedName>
    <definedName name="toteq">Model!$C$194:$DA$194</definedName>
    <definedName name="totexp">Model!$C$65:$DA$65</definedName>
    <definedName name="totrec">Model!$C$191:$DA$191</definedName>
    <definedName name="UpdateReason" localSheetId="9">IndexInformation!$B$17</definedName>
    <definedName name="USRegDisclosures" localSheetId="1">ImportantDisclosures!#REF!</definedName>
    <definedName name="ValuationAdjustmentsOther">0</definedName>
    <definedName name="ValuationAdjustmentsValue">0</definedName>
    <definedName name="ValuationCellularValue">0</definedName>
    <definedName name="ValuationDebtAdjustment">0</definedName>
    <definedName name="ValuationDebtNet">0</definedName>
    <definedName name="ValuationDebtTotal">0</definedName>
    <definedName name="ValuationFirmValue">0</definedName>
    <definedName name="ValuationInvestments">0</definedName>
    <definedName name="ValuationMarketCapitalization">0</definedName>
    <definedName name="ValuationOtherValue">0</definedName>
    <definedName name="ValuationPagingValue">0</definedName>
    <definedName name="ValuationTelephoneValue">0</definedName>
    <definedName name="ValuationWirelessValue">0</definedName>
    <definedName name="Z_5A095E4E_6841_4715_B354_198715F5FF0A_.wvu.Rows" localSheetId="6" hidden="1">BS!$31:$33</definedName>
    <definedName name="Z_5A095E4E_6841_4715_B354_198715F5FF0A_.wvu.Rows" localSheetId="8" hidden="1">'Rev by Geo'!$13:$22,'Rev by Geo'!$51:$60</definedName>
    <definedName name="Z_7ADDAC9C_E12E_468B_A7D0_D44A9895D58E_.wvu.Cols" localSheetId="6" hidden="1">BS!$C:$L</definedName>
    <definedName name="Z_7ADDAC9C_E12E_468B_A7D0_D44A9895D58E_.wvu.Cols" localSheetId="7" hidden="1">CF!$C:$L</definedName>
    <definedName name="Z_7ADDAC9C_E12E_468B_A7D0_D44A9895D58E_.wvu.Cols" localSheetId="5" hidden="1">Metrics!$B:$K</definedName>
    <definedName name="Z_7ADDAC9C_E12E_468B_A7D0_D44A9895D58E_.wvu.Cols" localSheetId="3" hidden="1">Model!$C:$L</definedName>
    <definedName name="Z_7ADDAC9C_E12E_468B_A7D0_D44A9895D58E_.wvu.Cols" localSheetId="8" hidden="1">'Rev by Geo'!$C:$L</definedName>
    <definedName name="Z_7ADDAC9C_E12E_468B_A7D0_D44A9895D58E_.wvu.Cols" localSheetId="4" hidden="1">'Revenue Drivers'!$C:$L</definedName>
    <definedName name="Z_7ADDAC9C_E12E_468B_A7D0_D44A9895D58E_.wvu.Rows" localSheetId="8" hidden="1">'Rev by Geo'!$13:$22,'Rev by Geo'!$51:$60</definedName>
  </definedNames>
  <calcPr calcId="145621"/>
  <customWorkbookViews>
    <customWorkbookView name="Annual" guid="{5A095E4E-6841-4715-B354-198715F5FF0A}" includePrintSettings="0" maximized="1" windowWidth="1020" windowHeight="543" tabRatio="722" activeSheetId="1"/>
    <customWorkbookView name="Qtr" guid="{7ADDAC9C-E12E-468B-A7D0-D44A9895D58E}" includePrintSettings="0" maximized="1" windowWidth="1020" windowHeight="543" tabRatio="722" activeSheetId="1"/>
  </customWorkbookViews>
</workbook>
</file>

<file path=xl/calcChain.xml><?xml version="1.0" encoding="utf-8"?>
<calcChain xmlns="http://schemas.openxmlformats.org/spreadsheetml/2006/main">
  <c r="E15" i="447" l="1"/>
  <c r="D15" i="447"/>
  <c r="C15" i="447"/>
  <c r="L63" i="447"/>
  <c r="K63" i="447"/>
  <c r="J63" i="447"/>
  <c r="J16" i="447" s="1"/>
  <c r="I63" i="447"/>
  <c r="H63" i="447"/>
  <c r="G63" i="447"/>
  <c r="F63" i="447"/>
  <c r="E63" i="447"/>
  <c r="F16" i="447"/>
  <c r="L17" i="447"/>
  <c r="K17" i="447"/>
  <c r="J17" i="447"/>
  <c r="I17" i="447"/>
  <c r="H17" i="447"/>
  <c r="G17" i="447"/>
  <c r="F17" i="447"/>
  <c r="E17" i="447"/>
  <c r="D17" i="447"/>
  <c r="C17" i="447"/>
  <c r="CI111" i="4"/>
  <c r="CF60" i="2"/>
  <c r="CG60" i="2" s="1"/>
  <c r="CH60" i="2" s="1"/>
  <c r="CE60" i="2"/>
  <c r="CJ60" i="2" s="1"/>
  <c r="CN106" i="4"/>
  <c r="CP26" i="310"/>
  <c r="CU26" i="310" s="1"/>
  <c r="CJ69" i="4"/>
  <c r="CK69" i="4"/>
  <c r="CL69" i="4" s="1"/>
  <c r="CI107" i="4"/>
  <c r="CI106" i="4"/>
  <c r="CJ79" i="310" l="1"/>
  <c r="CJ72" i="310"/>
  <c r="CJ43" i="310"/>
  <c r="CI53" i="4"/>
  <c r="CJ48" i="3"/>
  <c r="CJ45" i="3"/>
  <c r="CJ46" i="3"/>
  <c r="CJ38" i="3"/>
  <c r="CJ35" i="3"/>
  <c r="CE31" i="3"/>
  <c r="CJ44" i="310" l="1"/>
  <c r="CB20" i="3" l="1"/>
  <c r="CH48" i="3"/>
  <c r="CH45" i="3"/>
  <c r="CH46" i="3"/>
  <c r="CH37" i="3"/>
  <c r="CH38" i="3"/>
  <c r="CH36" i="3"/>
  <c r="CH35" i="3"/>
  <c r="CH26" i="3"/>
  <c r="CH22" i="3"/>
  <c r="CH20" i="3"/>
  <c r="CH18" i="3"/>
  <c r="CJ136" i="2"/>
  <c r="CJ134" i="2"/>
  <c r="CJ129" i="2"/>
  <c r="CJ121" i="2"/>
  <c r="CK121" i="2" s="1"/>
  <c r="CJ103" i="2"/>
  <c r="CJ102" i="2"/>
  <c r="CJ90" i="2"/>
  <c r="CJ85" i="2"/>
  <c r="CJ79" i="2"/>
  <c r="CJ68" i="2"/>
  <c r="CJ69" i="2" s="1"/>
  <c r="CH63" i="2"/>
  <c r="CJ56" i="2"/>
  <c r="CJ53" i="2"/>
  <c r="CJ47" i="2"/>
  <c r="CJ46" i="2"/>
  <c r="CJ154" i="1"/>
  <c r="CJ134" i="1"/>
  <c r="CU122" i="1"/>
  <c r="CP122" i="1"/>
  <c r="CQ122" i="1" s="1"/>
  <c r="CR122" i="1" s="1"/>
  <c r="CK122" i="1"/>
  <c r="CJ117" i="1"/>
  <c r="CJ81" i="1"/>
  <c r="CJ52" i="1"/>
  <c r="CJ57" i="1"/>
  <c r="CJ48" i="1"/>
  <c r="CJ44" i="1"/>
  <c r="CJ37" i="1"/>
  <c r="CO37" i="1" s="1"/>
  <c r="CT37" i="1" s="1"/>
  <c r="CE37" i="1"/>
  <c r="CH37" i="1"/>
  <c r="CM37" i="1" s="1"/>
  <c r="CR37" i="1" s="1"/>
  <c r="CW37" i="1" s="1"/>
  <c r="CJ34" i="1"/>
  <c r="CJ32" i="1" s="1"/>
  <c r="CJ14" i="1"/>
  <c r="CJ10" i="1"/>
  <c r="CJ13" i="1"/>
  <c r="CJ40" i="1" l="1"/>
  <c r="CL122" i="1"/>
  <c r="CM122" i="1" s="1"/>
  <c r="CV122" i="1"/>
  <c r="CW122" i="1" s="1"/>
  <c r="CS122" i="1"/>
  <c r="CJ15" i="1"/>
  <c r="CJ18" i="1"/>
  <c r="CJ35" i="1" s="1"/>
  <c r="CC92" i="4"/>
  <c r="BX92" i="4"/>
  <c r="BS92" i="4"/>
  <c r="BN92" i="4"/>
  <c r="BI92" i="4"/>
  <c r="BH92" i="4" s="1"/>
  <c r="CC93" i="4" l="1"/>
  <c r="CJ39" i="1"/>
  <c r="CO35" i="1"/>
  <c r="CT35" i="1" s="1"/>
  <c r="CN122" i="1"/>
  <c r="CJ16" i="1"/>
  <c r="CJ17" i="1"/>
  <c r="CX122" i="1"/>
  <c r="CH21" i="310" l="1"/>
  <c r="CH31" i="310" s="1"/>
  <c r="CG21" i="310"/>
  <c r="CF21" i="310"/>
  <c r="CF31" i="310" s="1"/>
  <c r="CE21" i="310"/>
  <c r="CE31" i="310" s="1"/>
  <c r="CC21" i="310"/>
  <c r="CC31" i="310" s="1"/>
  <c r="CB21" i="310"/>
  <c r="CA21" i="310"/>
  <c r="BZ21" i="310"/>
  <c r="BZ31" i="310" s="1"/>
  <c r="BX21" i="310"/>
  <c r="BW21" i="310"/>
  <c r="BV21" i="310"/>
  <c r="BU21" i="310"/>
  <c r="BU31" i="310" s="1"/>
  <c r="BS21" i="310"/>
  <c r="BS23" i="310" s="1"/>
  <c r="BR21" i="310"/>
  <c r="BQ21" i="310"/>
  <c r="BP21" i="310"/>
  <c r="BP31" i="310" s="1"/>
  <c r="BN21" i="310"/>
  <c r="BN31" i="310" s="1"/>
  <c r="BM21" i="310"/>
  <c r="BM31" i="310" s="1"/>
  <c r="AY21" i="310"/>
  <c r="AX21" i="310"/>
  <c r="AW21" i="310"/>
  <c r="AV21" i="310"/>
  <c r="CA23" i="310" l="1"/>
  <c r="BQ23" i="310"/>
  <c r="CG23" i="310"/>
  <c r="BV23" i="310"/>
  <c r="BQ31" i="310"/>
  <c r="CI21" i="310"/>
  <c r="CH22" i="310"/>
  <c r="CG31" i="310"/>
  <c r="BR23" i="310"/>
  <c r="BW23" i="310"/>
  <c r="BV31" i="310"/>
  <c r="BX23" i="310"/>
  <c r="BS22" i="310"/>
  <c r="CD21" i="310"/>
  <c r="CI22" i="310" s="1"/>
  <c r="CC23" i="310"/>
  <c r="BX31" i="310"/>
  <c r="BS31" i="310"/>
  <c r="CA31" i="310"/>
  <c r="BR22" i="310"/>
  <c r="CB23" i="310"/>
  <c r="CF23" i="310"/>
  <c r="BT21" i="310"/>
  <c r="BU22" i="310"/>
  <c r="BV22" i="310"/>
  <c r="CC22" i="310"/>
  <c r="CB31" i="310"/>
  <c r="BW31" i="310"/>
  <c r="BR31" i="310"/>
  <c r="CG22" i="310"/>
  <c r="CH23" i="310"/>
  <c r="CE22" i="310"/>
  <c r="CF22" i="310"/>
  <c r="CE23" i="310"/>
  <c r="BZ22" i="310"/>
  <c r="CA22" i="310"/>
  <c r="BZ23" i="310"/>
  <c r="CB22" i="310"/>
  <c r="BU23" i="310"/>
  <c r="BW22" i="310"/>
  <c r="BY21" i="310"/>
  <c r="BX22" i="310"/>
  <c r="BP23" i="310"/>
  <c r="BN23" i="310"/>
  <c r="AX23" i="310"/>
  <c r="AY23" i="310"/>
  <c r="AW23" i="310"/>
  <c r="AZ21" i="310"/>
  <c r="BY22" i="310" l="1"/>
  <c r="CD22" i="310"/>
  <c r="CH73" i="8" l="1"/>
  <c r="CH63" i="8" s="1"/>
  <c r="CH71" i="8"/>
  <c r="CH70" i="8"/>
  <c r="CH72" i="8" l="1"/>
  <c r="CH62" i="8" s="1"/>
  <c r="CH47" i="8"/>
  <c r="CH48" i="8"/>
  <c r="CH41" i="8"/>
  <c r="CH40" i="8"/>
  <c r="CH39" i="8"/>
  <c r="CH53" i="8" l="1"/>
  <c r="CH54" i="8"/>
  <c r="CH52" i="8"/>
  <c r="CH55" i="8" l="1"/>
  <c r="CE19" i="310"/>
  <c r="CJ19" i="310" s="1"/>
  <c r="CO19" i="310" s="1"/>
  <c r="CF19" i="310"/>
  <c r="CG19" i="310"/>
  <c r="CH19" i="310"/>
  <c r="CM19" i="310" s="1"/>
  <c r="CR19" i="310" s="1"/>
  <c r="CW19" i="310" s="1"/>
  <c r="CL29" i="310"/>
  <c r="CM29" i="310" s="1"/>
  <c r="CO29" i="310" s="1"/>
  <c r="CP29" i="310" s="1"/>
  <c r="CQ29" i="310" s="1"/>
  <c r="CR29" i="310" s="1"/>
  <c r="CT29" i="310" s="1"/>
  <c r="CU29" i="310" s="1"/>
  <c r="CV29" i="310" s="1"/>
  <c r="CW29" i="310" s="1"/>
  <c r="CL12" i="310"/>
  <c r="CM12" i="310" s="1"/>
  <c r="CP12" i="310"/>
  <c r="CQ12" i="310" s="1"/>
  <c r="CR12" i="310" s="1"/>
  <c r="CE72" i="310"/>
  <c r="CF72" i="310"/>
  <c r="CG72" i="310"/>
  <c r="CH72" i="310"/>
  <c r="CU12" i="310"/>
  <c r="CV12" i="310" s="1"/>
  <c r="CW12" i="310" s="1"/>
  <c r="CP107" i="1"/>
  <c r="CQ107" i="1" s="1"/>
  <c r="CH18" i="1"/>
  <c r="CG133" i="4"/>
  <c r="CG134" i="4" s="1"/>
  <c r="CG129" i="4"/>
  <c r="CH129" i="4" s="1"/>
  <c r="CG125" i="4"/>
  <c r="CM59" i="1"/>
  <c r="CL59" i="1"/>
  <c r="CK59" i="1"/>
  <c r="CJ59" i="1"/>
  <c r="CH57" i="1"/>
  <c r="CE18" i="1"/>
  <c r="CE57" i="1"/>
  <c r="CE56" i="1" s="1"/>
  <c r="CG57" i="1"/>
  <c r="CF18" i="1"/>
  <c r="CF24" i="1" s="1"/>
  <c r="CF57" i="1"/>
  <c r="CF37" i="1"/>
  <c r="CK37" i="1" s="1"/>
  <c r="CP37" i="1" s="1"/>
  <c r="CU37" i="1" s="1"/>
  <c r="CG37" i="1"/>
  <c r="CL37" i="1" s="1"/>
  <c r="CQ37" i="1" s="1"/>
  <c r="CV37" i="1" s="1"/>
  <c r="CC37" i="1"/>
  <c r="CC18" i="1"/>
  <c r="CC24" i="1" s="1"/>
  <c r="BQ18" i="1"/>
  <c r="BQ24" i="1" s="1"/>
  <c r="BQ76" i="1"/>
  <c r="CG63" i="2"/>
  <c r="CH64" i="2" s="1"/>
  <c r="CH117" i="1"/>
  <c r="CJ67" i="3"/>
  <c r="CJ77" i="2" s="1"/>
  <c r="CF121" i="2"/>
  <c r="CK58" i="1"/>
  <c r="CL58" i="1" s="1"/>
  <c r="CK117" i="1"/>
  <c r="CL117" i="1" s="1"/>
  <c r="CM117" i="1" s="1"/>
  <c r="CO117" i="1" s="1"/>
  <c r="CP117" i="1" s="1"/>
  <c r="CQ117" i="1" s="1"/>
  <c r="CR117" i="1" s="1"/>
  <c r="CT117" i="1" s="1"/>
  <c r="CU117" i="1" s="1"/>
  <c r="CV117" i="1" s="1"/>
  <c r="CW117" i="1" s="1"/>
  <c r="CG121" i="2"/>
  <c r="CL121" i="2" s="1"/>
  <c r="CH121" i="2"/>
  <c r="CM121" i="2" s="1"/>
  <c r="CM109" i="1"/>
  <c r="CM108" i="1"/>
  <c r="CO59" i="1"/>
  <c r="CO13" i="3" s="1"/>
  <c r="CP59" i="1"/>
  <c r="CU59" i="1" s="1"/>
  <c r="CU227" i="1" s="1"/>
  <c r="CQ59" i="1"/>
  <c r="CR59" i="1"/>
  <c r="CW59" i="1" s="1"/>
  <c r="CW227" i="1" s="1"/>
  <c r="CR109" i="1"/>
  <c r="CR108" i="1"/>
  <c r="CT107" i="1"/>
  <c r="CU107" i="1"/>
  <c r="CV59" i="1"/>
  <c r="CW109" i="1"/>
  <c r="CW108" i="1"/>
  <c r="CX108" i="1" s="1"/>
  <c r="CG111" i="4"/>
  <c r="CN69" i="4"/>
  <c r="CS69" i="4" s="1"/>
  <c r="CM180" i="4"/>
  <c r="CR180" i="4" s="1"/>
  <c r="CB103" i="4"/>
  <c r="CA103" i="4"/>
  <c r="BZ103" i="4"/>
  <c r="BY103" i="4"/>
  <c r="BK94" i="4"/>
  <c r="BL94" i="4" s="1"/>
  <c r="BM94" i="4" s="1"/>
  <c r="CB118" i="4"/>
  <c r="CG114" i="4"/>
  <c r="CG107" i="4"/>
  <c r="CG106" i="4"/>
  <c r="CG103" i="4"/>
  <c r="CG89" i="4"/>
  <c r="CG78" i="4"/>
  <c r="CG77" i="4"/>
  <c r="CG53" i="4"/>
  <c r="CH79" i="310"/>
  <c r="BA153" i="310"/>
  <c r="BB153" i="310" s="1"/>
  <c r="BC153" i="310" s="1"/>
  <c r="BD153" i="310" s="1"/>
  <c r="BF153" i="310" s="1"/>
  <c r="BG153" i="310" s="1"/>
  <c r="BH153" i="310" s="1"/>
  <c r="BI153" i="310" s="1"/>
  <c r="BI155" i="310" s="1"/>
  <c r="BK154" i="310"/>
  <c r="BL154" i="310"/>
  <c r="BM154" i="310"/>
  <c r="BN154" i="310"/>
  <c r="BS154" i="310" s="1"/>
  <c r="BX154" i="310" s="1"/>
  <c r="CC154" i="310" s="1"/>
  <c r="CH154" i="310" s="1"/>
  <c r="CM154" i="310" s="1"/>
  <c r="CR154" i="310" s="1"/>
  <c r="CW154" i="310" s="1"/>
  <c r="BP154" i="310"/>
  <c r="BQ154" i="310"/>
  <c r="BR154" i="310"/>
  <c r="BU154" i="310"/>
  <c r="BV154" i="310"/>
  <c r="BW154" i="310"/>
  <c r="BZ154" i="310"/>
  <c r="CA154" i="310"/>
  <c r="CB154" i="310"/>
  <c r="CE154" i="310"/>
  <c r="CJ154" i="310" s="1"/>
  <c r="CO154" i="310" s="1"/>
  <c r="CT154" i="310" s="1"/>
  <c r="CF154" i="310"/>
  <c r="CG154" i="310"/>
  <c r="AY157" i="310"/>
  <c r="AY160" i="310"/>
  <c r="BA160" i="310" s="1"/>
  <c r="BK161" i="310"/>
  <c r="BL161" i="310"/>
  <c r="BQ161" i="310" s="1"/>
  <c r="BV161" i="310" s="1"/>
  <c r="CA161" i="310" s="1"/>
  <c r="CF161" i="310" s="1"/>
  <c r="CK161" i="310" s="1"/>
  <c r="CP161" i="310" s="1"/>
  <c r="CU161" i="310" s="1"/>
  <c r="BM161" i="310"/>
  <c r="BN161" i="310"/>
  <c r="BP161" i="310"/>
  <c r="BR161" i="310"/>
  <c r="BS161" i="310"/>
  <c r="BU161" i="310"/>
  <c r="BW161" i="310"/>
  <c r="BX161" i="310"/>
  <c r="BZ161" i="310"/>
  <c r="CB161" i="310"/>
  <c r="CC161" i="310"/>
  <c r="CE161" i="310"/>
  <c r="CG161" i="310"/>
  <c r="CH161" i="310"/>
  <c r="BA167" i="310"/>
  <c r="BB167" i="310" s="1"/>
  <c r="BC167" i="310" s="1"/>
  <c r="BD167" i="310" s="1"/>
  <c r="BF167" i="310" s="1"/>
  <c r="BG167" i="310" s="1"/>
  <c r="BH167" i="310" s="1"/>
  <c r="BI167" i="310" s="1"/>
  <c r="BK167" i="310" s="1"/>
  <c r="BL167" i="310" s="1"/>
  <c r="BM167" i="310" s="1"/>
  <c r="BN167" i="310" s="1"/>
  <c r="BP167" i="310" s="1"/>
  <c r="BQ167" i="310" s="1"/>
  <c r="BR167" i="310" s="1"/>
  <c r="BS167" i="310" s="1"/>
  <c r="BU167" i="310" s="1"/>
  <c r="BV167" i="310" s="1"/>
  <c r="BW167" i="310" s="1"/>
  <c r="BX167" i="310" s="1"/>
  <c r="BZ167" i="310" s="1"/>
  <c r="CA167" i="310" s="1"/>
  <c r="CB167" i="310" s="1"/>
  <c r="CC167" i="310" s="1"/>
  <c r="CE167" i="310" s="1"/>
  <c r="CF167" i="310" s="1"/>
  <c r="CG167" i="310" s="1"/>
  <c r="CH167" i="310" s="1"/>
  <c r="CH201" i="310" s="1"/>
  <c r="AY171" i="310"/>
  <c r="BK172" i="310"/>
  <c r="BL172" i="310"/>
  <c r="BM172" i="310"/>
  <c r="BN172" i="310"/>
  <c r="BS172" i="310" s="1"/>
  <c r="BX172" i="310" s="1"/>
  <c r="CC172" i="310" s="1"/>
  <c r="CH172" i="310" s="1"/>
  <c r="CM172" i="310" s="1"/>
  <c r="CR172" i="310" s="1"/>
  <c r="CW172" i="310" s="1"/>
  <c r="BP172" i="310"/>
  <c r="BQ172" i="310"/>
  <c r="BR172" i="310"/>
  <c r="BU172" i="310"/>
  <c r="BV172" i="310"/>
  <c r="BW172" i="310"/>
  <c r="BZ172" i="310"/>
  <c r="CA172" i="310"/>
  <c r="CB172" i="310"/>
  <c r="CE172" i="310"/>
  <c r="CF172" i="310"/>
  <c r="CG172" i="310"/>
  <c r="CH68" i="310"/>
  <c r="CH55" i="310"/>
  <c r="CH52" i="310"/>
  <c r="CM52" i="310" s="1"/>
  <c r="CR52" i="310" s="1"/>
  <c r="CW52" i="310" s="1"/>
  <c r="CH49" i="310"/>
  <c r="CM49" i="310" s="1"/>
  <c r="CR49" i="310" s="1"/>
  <c r="CW49" i="310" s="1"/>
  <c r="CH43" i="310"/>
  <c r="CJ45" i="310" s="1"/>
  <c r="CG43" i="310"/>
  <c r="CG44" i="310" s="1"/>
  <c r="CH85" i="310"/>
  <c r="CH84" i="310"/>
  <c r="CH18" i="310"/>
  <c r="CH29" i="310"/>
  <c r="CH28" i="310"/>
  <c r="CH9" i="310"/>
  <c r="CH8" i="310"/>
  <c r="CH12" i="310"/>
  <c r="CH11" i="310"/>
  <c r="CH15" i="310"/>
  <c r="CH14" i="310"/>
  <c r="CH8" i="3"/>
  <c r="CH50" i="3"/>
  <c r="CH96" i="3"/>
  <c r="CH30" i="3"/>
  <c r="CH29" i="3"/>
  <c r="CH28" i="3"/>
  <c r="CH27" i="3"/>
  <c r="CH31" i="3" s="1"/>
  <c r="CH136" i="2"/>
  <c r="CJ132" i="2" s="1"/>
  <c r="CH134" i="2"/>
  <c r="CH129" i="2"/>
  <c r="CJ125" i="2" s="1"/>
  <c r="CH119" i="2"/>
  <c r="CH103" i="2"/>
  <c r="CH102" i="2"/>
  <c r="CH90" i="2"/>
  <c r="CJ87" i="2" s="1"/>
  <c r="CH85" i="2"/>
  <c r="CJ81" i="2" s="1"/>
  <c r="CH79" i="2"/>
  <c r="CH56" i="2"/>
  <c r="CH47" i="2"/>
  <c r="CH46" i="2"/>
  <c r="CH30" i="2"/>
  <c r="CH34" i="2" s="1"/>
  <c r="CH15" i="2"/>
  <c r="CI42" i="8"/>
  <c r="CH81" i="1"/>
  <c r="CH79" i="1"/>
  <c r="CH76" i="1" s="1"/>
  <c r="CH104" i="1" s="1"/>
  <c r="CH61" i="1"/>
  <c r="CH56" i="1" s="1"/>
  <c r="CH52" i="1"/>
  <c r="CH48" i="1"/>
  <c r="CH65" i="1" s="1"/>
  <c r="CH44" i="1"/>
  <c r="CH34" i="1"/>
  <c r="CH35" i="1" s="1"/>
  <c r="CM35" i="1" s="1"/>
  <c r="CR35" i="1" s="1"/>
  <c r="CW35" i="1" s="1"/>
  <c r="CH23" i="1"/>
  <c r="CH22" i="1"/>
  <c r="CH16" i="1"/>
  <c r="CH14" i="1"/>
  <c r="CH13" i="1"/>
  <c r="CH10" i="1"/>
  <c r="CH44" i="310"/>
  <c r="CG118" i="4"/>
  <c r="CG40" i="310"/>
  <c r="CN5" i="8"/>
  <c r="CM5" i="8"/>
  <c r="CL5" i="8"/>
  <c r="CK5" i="8"/>
  <c r="CJ5" i="8"/>
  <c r="CG48" i="3"/>
  <c r="CG45" i="3"/>
  <c r="CG46" i="3"/>
  <c r="CG37" i="3"/>
  <c r="CG38" i="3"/>
  <c r="CG36" i="3"/>
  <c r="CG35" i="3"/>
  <c r="CG22" i="3"/>
  <c r="CG18" i="3"/>
  <c r="BI173" i="4"/>
  <c r="BI174" i="4" s="1"/>
  <c r="CC161" i="4"/>
  <c r="BX161" i="4"/>
  <c r="BS161" i="4"/>
  <c r="BN161" i="4"/>
  <c r="BI161" i="4"/>
  <c r="BI162" i="4" s="1"/>
  <c r="BI169" i="4" s="1"/>
  <c r="CH158" i="4"/>
  <c r="CH92" i="4" s="1"/>
  <c r="A187" i="4"/>
  <c r="CC162" i="4"/>
  <c r="CC169" i="4" s="1"/>
  <c r="BN162" i="4"/>
  <c r="BN169" i="4" s="1"/>
  <c r="BN173" i="4" s="1"/>
  <c r="CH161" i="4"/>
  <c r="CH162" i="4" s="1"/>
  <c r="CH169" i="4" s="1"/>
  <c r="CG47" i="8"/>
  <c r="CG48" i="8"/>
  <c r="CB47" i="8"/>
  <c r="CT104" i="3"/>
  <c r="CT92" i="3"/>
  <c r="CW90" i="3"/>
  <c r="CV90" i="3"/>
  <c r="CU90" i="3"/>
  <c r="CT90" i="3"/>
  <c r="CT84" i="3"/>
  <c r="CT73" i="3"/>
  <c r="CT72" i="3"/>
  <c r="CT71" i="3"/>
  <c r="CT70" i="3"/>
  <c r="CS219" i="4" s="1"/>
  <c r="CT69" i="3"/>
  <c r="CT66" i="3"/>
  <c r="CW65" i="3"/>
  <c r="CV65" i="3"/>
  <c r="CU65" i="3"/>
  <c r="CT65" i="3"/>
  <c r="CU50" i="3"/>
  <c r="CU104" i="3" s="1"/>
  <c r="CT45" i="3"/>
  <c r="CT99" i="3"/>
  <c r="CT76" i="2" s="1"/>
  <c r="CT43" i="3"/>
  <c r="CT97" i="3" s="1"/>
  <c r="CU38" i="3"/>
  <c r="CV38" i="3"/>
  <c r="CV92" i="3" s="1"/>
  <c r="CX36" i="3"/>
  <c r="CU30" i="3"/>
  <c r="CU84" i="3"/>
  <c r="CU19" i="3"/>
  <c r="CU73" i="3"/>
  <c r="CU18" i="3"/>
  <c r="CU72" i="3"/>
  <c r="CU17" i="3"/>
  <c r="CV17" i="3" s="1"/>
  <c r="CU71" i="3"/>
  <c r="CU16" i="3"/>
  <c r="CU70" i="3"/>
  <c r="CT219" i="4" s="1"/>
  <c r="CU15" i="3"/>
  <c r="CU69" i="3" s="1"/>
  <c r="CU12" i="3"/>
  <c r="CV12" i="3" s="1"/>
  <c r="CX11" i="3"/>
  <c r="CX6" i="3"/>
  <c r="CX60" i="3" s="1"/>
  <c r="CW6" i="3"/>
  <c r="CW60" i="3" s="1"/>
  <c r="CV6" i="3"/>
  <c r="CV60" i="3" s="1"/>
  <c r="CU6" i="3"/>
  <c r="CU60" i="3" s="1"/>
  <c r="CT6" i="3"/>
  <c r="CT60" i="3" s="1"/>
  <c r="CX138" i="2"/>
  <c r="CX135" i="2"/>
  <c r="CX134" i="2"/>
  <c r="CX133" i="2"/>
  <c r="CX128" i="2"/>
  <c r="CW89" i="2"/>
  <c r="CV89" i="2"/>
  <c r="CU89" i="2"/>
  <c r="CT89" i="2"/>
  <c r="CX84" i="2"/>
  <c r="CX82" i="2"/>
  <c r="CX78" i="2"/>
  <c r="CX75" i="2"/>
  <c r="CX74" i="2"/>
  <c r="CX36" i="2"/>
  <c r="CX35" i="2"/>
  <c r="CX31" i="2"/>
  <c r="CX5" i="2"/>
  <c r="CW5" i="2"/>
  <c r="CV5" i="2"/>
  <c r="CU5" i="2"/>
  <c r="CT5" i="2"/>
  <c r="CW222" i="4"/>
  <c r="CW22" i="4"/>
  <c r="CV22" i="4"/>
  <c r="CU22" i="4"/>
  <c r="CT22" i="4"/>
  <c r="CS22" i="4"/>
  <c r="CW20" i="4"/>
  <c r="CW19" i="4"/>
  <c r="CW18" i="4"/>
  <c r="CW17" i="4"/>
  <c r="CW16" i="4"/>
  <c r="CW15" i="4"/>
  <c r="CW14" i="4"/>
  <c r="CW13" i="4"/>
  <c r="CW12" i="4"/>
  <c r="CW10" i="4"/>
  <c r="CW5" i="4"/>
  <c r="CW189" i="4" s="1"/>
  <c r="CV5" i="4"/>
  <c r="CV189" i="4" s="1"/>
  <c r="CU5" i="4"/>
  <c r="CU189" i="4" s="1"/>
  <c r="CT5" i="4"/>
  <c r="CT189" i="4" s="1"/>
  <c r="CS5" i="4"/>
  <c r="CS189" i="4" s="1"/>
  <c r="CX5" i="310"/>
  <c r="CW5" i="310"/>
  <c r="CV5" i="310"/>
  <c r="CU5" i="310"/>
  <c r="CT5" i="310"/>
  <c r="CW186" i="1"/>
  <c r="CX134" i="1"/>
  <c r="CW134" i="1"/>
  <c r="CV134" i="1"/>
  <c r="CU134" i="1"/>
  <c r="CT134" i="1"/>
  <c r="CT133" i="1"/>
  <c r="CX109" i="1"/>
  <c r="CX77" i="1"/>
  <c r="CX64" i="1"/>
  <c r="CX63" i="1"/>
  <c r="CX62" i="1"/>
  <c r="CX61" i="1"/>
  <c r="CX60" i="1"/>
  <c r="CT9" i="1"/>
  <c r="CU9" i="1"/>
  <c r="CV9" i="1"/>
  <c r="CW9" i="1"/>
  <c r="CX9" i="1"/>
  <c r="CT10" i="1"/>
  <c r="CU10" i="1"/>
  <c r="CV10" i="1"/>
  <c r="CW10" i="1"/>
  <c r="CX10" i="1"/>
  <c r="CV30" i="3"/>
  <c r="CV84" i="3" s="1"/>
  <c r="CV18" i="3"/>
  <c r="CV72" i="3" s="1"/>
  <c r="CV16" i="3"/>
  <c r="CV70" i="3" s="1"/>
  <c r="CU219" i="4" s="1"/>
  <c r="CV15" i="3"/>
  <c r="CV69" i="3" s="1"/>
  <c r="CV19" i="3"/>
  <c r="CV73" i="3" s="1"/>
  <c r="CU66" i="3"/>
  <c r="CU45" i="3"/>
  <c r="CU99" i="3"/>
  <c r="CU76" i="2" s="1"/>
  <c r="CV50" i="3"/>
  <c r="CV104" i="3" s="1"/>
  <c r="CU43" i="3"/>
  <c r="CU92" i="3"/>
  <c r="CF137" i="4"/>
  <c r="CE137" i="4"/>
  <c r="CD137" i="4"/>
  <c r="CB137" i="4"/>
  <c r="CA137" i="4"/>
  <c r="CF135" i="4"/>
  <c r="CE135" i="4"/>
  <c r="CD135" i="4"/>
  <c r="CB135" i="4"/>
  <c r="CA135" i="4"/>
  <c r="BZ135" i="4"/>
  <c r="BY135" i="4"/>
  <c r="BW135" i="4"/>
  <c r="BV135" i="4"/>
  <c r="BU135" i="4"/>
  <c r="BT135" i="4"/>
  <c r="BR135" i="4"/>
  <c r="BQ135" i="4"/>
  <c r="BP135" i="4"/>
  <c r="BO135" i="4"/>
  <c r="BM135" i="4"/>
  <c r="BL135" i="4"/>
  <c r="BK135" i="4"/>
  <c r="CF134" i="4"/>
  <c r="CE134" i="4"/>
  <c r="CD134" i="4"/>
  <c r="CB134" i="4"/>
  <c r="CA134" i="4"/>
  <c r="BZ134" i="4"/>
  <c r="BY134" i="4"/>
  <c r="BW134" i="4"/>
  <c r="BV134" i="4"/>
  <c r="BU134" i="4"/>
  <c r="BT134" i="4"/>
  <c r="BR134" i="4"/>
  <c r="BQ134" i="4"/>
  <c r="BP134" i="4"/>
  <c r="BO134" i="4"/>
  <c r="CF131" i="4"/>
  <c r="CE131" i="4"/>
  <c r="CD131" i="4"/>
  <c r="CB131" i="4"/>
  <c r="CA131" i="4"/>
  <c r="BZ131" i="4"/>
  <c r="BY131" i="4"/>
  <c r="BW131" i="4"/>
  <c r="BV131" i="4"/>
  <c r="BU131" i="4"/>
  <c r="BT131" i="4"/>
  <c r="BR131" i="4"/>
  <c r="BQ131" i="4"/>
  <c r="BP131" i="4"/>
  <c r="BO131" i="4"/>
  <c r="BM131" i="4"/>
  <c r="BL131" i="4"/>
  <c r="BK131" i="4"/>
  <c r="CF130" i="4"/>
  <c r="CE130" i="4"/>
  <c r="CD130" i="4"/>
  <c r="CB130" i="4"/>
  <c r="CA130" i="4"/>
  <c r="BZ130" i="4"/>
  <c r="BY130" i="4"/>
  <c r="BW130" i="4"/>
  <c r="BV130" i="4"/>
  <c r="BU130" i="4"/>
  <c r="BT130" i="4"/>
  <c r="BR130" i="4"/>
  <c r="BQ130" i="4"/>
  <c r="BP130" i="4"/>
  <c r="BO130" i="4"/>
  <c r="CF126" i="4"/>
  <c r="CE126" i="4"/>
  <c r="CD126" i="4"/>
  <c r="CB126" i="4"/>
  <c r="CA126" i="4"/>
  <c r="BZ126" i="4"/>
  <c r="BY126" i="4"/>
  <c r="BW126" i="4"/>
  <c r="BV126" i="4"/>
  <c r="BU126" i="4"/>
  <c r="BT126" i="4"/>
  <c r="BR126" i="4"/>
  <c r="BQ126" i="4"/>
  <c r="BP126" i="4"/>
  <c r="BO126" i="4"/>
  <c r="CF127" i="4"/>
  <c r="CE127" i="4"/>
  <c r="CD127" i="4"/>
  <c r="CB127" i="4"/>
  <c r="CA127" i="4"/>
  <c r="BZ127" i="4"/>
  <c r="BY127" i="4"/>
  <c r="BW127" i="4"/>
  <c r="BV127" i="4"/>
  <c r="BU127" i="4"/>
  <c r="BT127" i="4"/>
  <c r="BR127" i="4"/>
  <c r="BQ127" i="4"/>
  <c r="BP127" i="4"/>
  <c r="BO127" i="4"/>
  <c r="BM127" i="4"/>
  <c r="BL127" i="4"/>
  <c r="BK127" i="4"/>
  <c r="BZ137" i="4"/>
  <c r="BY137" i="4"/>
  <c r="BW137" i="4"/>
  <c r="BV137" i="4"/>
  <c r="BV132" i="4" s="1"/>
  <c r="BU137" i="4"/>
  <c r="BU132" i="4" s="1"/>
  <c r="BT137" i="4"/>
  <c r="BR137" i="4"/>
  <c r="BR132" i="4" s="1"/>
  <c r="BQ137" i="4"/>
  <c r="BQ132" i="4" s="1"/>
  <c r="BP137" i="4"/>
  <c r="BO137" i="4"/>
  <c r="BO136" i="4" s="1"/>
  <c r="BM137" i="4"/>
  <c r="BM132" i="4" s="1"/>
  <c r="BL137" i="4"/>
  <c r="BL136" i="4" s="1"/>
  <c r="BK137" i="4"/>
  <c r="BK136" i="4" s="1"/>
  <c r="BJ137" i="4"/>
  <c r="BN133" i="4"/>
  <c r="BN129" i="4"/>
  <c r="BN125" i="4"/>
  <c r="BS133" i="4"/>
  <c r="BS129" i="4"/>
  <c r="BS125" i="4"/>
  <c r="BX133" i="4"/>
  <c r="BX129" i="4"/>
  <c r="BX125" i="4"/>
  <c r="CC133" i="4"/>
  <c r="CC129" i="4"/>
  <c r="CC125" i="4"/>
  <c r="BZ132" i="4"/>
  <c r="CB136" i="4"/>
  <c r="BY132" i="4"/>
  <c r="CE136" i="4"/>
  <c r="CA136" i="4"/>
  <c r="CF136" i="4"/>
  <c r="CW18" i="3"/>
  <c r="CW72" i="3"/>
  <c r="CW30" i="3"/>
  <c r="CX30" i="3"/>
  <c r="CF128" i="4"/>
  <c r="CV43" i="3"/>
  <c r="CV97" i="3" s="1"/>
  <c r="CU97" i="3"/>
  <c r="BX126" i="4"/>
  <c r="BS130" i="4"/>
  <c r="BP138" i="4"/>
  <c r="CB128" i="4"/>
  <c r="BT132" i="4"/>
  <c r="BV136" i="4"/>
  <c r="CB132" i="4"/>
  <c r="BR128" i="4"/>
  <c r="CD132" i="4"/>
  <c r="BV128" i="4"/>
  <c r="BL132" i="4"/>
  <c r="CF132" i="4"/>
  <c r="BM128" i="4"/>
  <c r="BQ128" i="4"/>
  <c r="BU128" i="4"/>
  <c r="BY128" i="4"/>
  <c r="BK132" i="4"/>
  <c r="BO132" i="4"/>
  <c r="CA132" i="4"/>
  <c r="CE132" i="4"/>
  <c r="BM136" i="4"/>
  <c r="BQ136" i="4"/>
  <c r="BU136" i="4"/>
  <c r="BY136" i="4"/>
  <c r="BZ128" i="4"/>
  <c r="BP132" i="4"/>
  <c r="BR136" i="4"/>
  <c r="BZ136" i="4"/>
  <c r="BK128" i="4"/>
  <c r="BO128" i="4"/>
  <c r="CA128" i="4"/>
  <c r="CE128" i="4"/>
  <c r="BL128" i="4"/>
  <c r="BP128" i="4"/>
  <c r="BP136" i="4"/>
  <c r="CB138" i="4"/>
  <c r="BO139" i="4"/>
  <c r="BM139" i="4"/>
  <c r="BP139" i="4"/>
  <c r="BZ138" i="4"/>
  <c r="CE138" i="4"/>
  <c r="CC134" i="4"/>
  <c r="BS126" i="4"/>
  <c r="BL139" i="4"/>
  <c r="BQ139" i="4"/>
  <c r="BV139" i="4"/>
  <c r="CA139" i="4"/>
  <c r="CF139" i="4"/>
  <c r="CF138" i="4"/>
  <c r="CA138" i="4"/>
  <c r="BR139" i="4"/>
  <c r="CB139" i="4"/>
  <c r="BQ138" i="4"/>
  <c r="BU138" i="4"/>
  <c r="BZ139" i="4"/>
  <c r="CD139" i="4"/>
  <c r="BR138" i="4"/>
  <c r="BV138" i="4"/>
  <c r="BS137" i="4"/>
  <c r="BS128" i="4" s="1"/>
  <c r="CX18" i="3"/>
  <c r="CW84" i="3"/>
  <c r="CW43" i="3"/>
  <c r="CW97" i="3" s="1"/>
  <c r="BS132" i="4"/>
  <c r="CG79" i="310"/>
  <c r="CG49" i="310"/>
  <c r="CG52" i="310"/>
  <c r="CG55" i="310"/>
  <c r="CG63" i="310"/>
  <c r="CG26" i="310"/>
  <c r="CL26" i="310" s="1"/>
  <c r="CQ26" i="310" s="1"/>
  <c r="CV26" i="310" s="1"/>
  <c r="CG25" i="310"/>
  <c r="CG29" i="310"/>
  <c r="CG28" i="310"/>
  <c r="CG18" i="310"/>
  <c r="CG85" i="310"/>
  <c r="CG84" i="310"/>
  <c r="CG15" i="310"/>
  <c r="CG14" i="310"/>
  <c r="CG12" i="310"/>
  <c r="CG11" i="310"/>
  <c r="CG9" i="310"/>
  <c r="CG8" i="310"/>
  <c r="CF111" i="4"/>
  <c r="CF107" i="4"/>
  <c r="CF106" i="4"/>
  <c r="CK106" i="4" s="1"/>
  <c r="CP106" i="4" s="1"/>
  <c r="CU106" i="4"/>
  <c r="CF103" i="4"/>
  <c r="CF78" i="4"/>
  <c r="CF77" i="4"/>
  <c r="CF75" i="4"/>
  <c r="CF53" i="4"/>
  <c r="CG90" i="2"/>
  <c r="CH87" i="2" s="1"/>
  <c r="CG113" i="4"/>
  <c r="CG112" i="4"/>
  <c r="CF114" i="4"/>
  <c r="CG64" i="310"/>
  <c r="CG62" i="310"/>
  <c r="CF48" i="3"/>
  <c r="CF46" i="3"/>
  <c r="CF38" i="3"/>
  <c r="CF37" i="3"/>
  <c r="CF35" i="3"/>
  <c r="CF22" i="3"/>
  <c r="CF18" i="3"/>
  <c r="CE136" i="2"/>
  <c r="CE134" i="2"/>
  <c r="CG136" i="2"/>
  <c r="CH132" i="2" s="1"/>
  <c r="CG134" i="2"/>
  <c r="CG129" i="2"/>
  <c r="CH125" i="2" s="1"/>
  <c r="CG119" i="2"/>
  <c r="CG103" i="2"/>
  <c r="CG102" i="2"/>
  <c r="CG85" i="2"/>
  <c r="CH81" i="2" s="1"/>
  <c r="CG79" i="2"/>
  <c r="CH73" i="2" s="1"/>
  <c r="CG53" i="2"/>
  <c r="CG47" i="2"/>
  <c r="CG46" i="2"/>
  <c r="CG154" i="1"/>
  <c r="CG138" i="1"/>
  <c r="CG134" i="1"/>
  <c r="CG117" i="1"/>
  <c r="CG62" i="1"/>
  <c r="CG81" i="1"/>
  <c r="CG79" i="1"/>
  <c r="CG76" i="1" s="1"/>
  <c r="CG104" i="1" s="1"/>
  <c r="CG44" i="1"/>
  <c r="CG159" i="1" s="1"/>
  <c r="CG48" i="1"/>
  <c r="CG65" i="1" s="1"/>
  <c r="CG52" i="1"/>
  <c r="CG161" i="1" s="1"/>
  <c r="CG34" i="1"/>
  <c r="CG32" i="1" s="1"/>
  <c r="CG98" i="2" s="1"/>
  <c r="CL98" i="2" s="1"/>
  <c r="CQ98" i="2" s="1"/>
  <c r="CV98" i="2" s="1"/>
  <c r="CF34" i="1"/>
  <c r="CF35" i="1" s="1"/>
  <c r="CK35" i="1" s="1"/>
  <c r="CP35" i="1" s="1"/>
  <c r="CU35" i="1" s="1"/>
  <c r="CG15" i="1"/>
  <c r="CH17" i="1" s="1"/>
  <c r="CG23" i="1"/>
  <c r="CG22" i="1"/>
  <c r="CG14" i="1"/>
  <c r="CG13" i="1"/>
  <c r="CG17" i="1"/>
  <c r="CG10" i="1"/>
  <c r="CG16" i="1"/>
  <c r="CF48" i="8"/>
  <c r="CF47" i="8"/>
  <c r="CJ5" i="4"/>
  <c r="BY69" i="4"/>
  <c r="CE69" i="4"/>
  <c r="CF69" i="4" s="1"/>
  <c r="BU86" i="4"/>
  <c r="BV86" i="4" s="1"/>
  <c r="BW86" i="4" s="1"/>
  <c r="CK33" i="2"/>
  <c r="CL33" i="2" s="1"/>
  <c r="CM33" i="2" s="1"/>
  <c r="CK20" i="2"/>
  <c r="CL20" i="2" s="1"/>
  <c r="CM20" i="2" s="1"/>
  <c r="CO20" i="2" s="1"/>
  <c r="CP20" i="2" s="1"/>
  <c r="CQ20" i="2" s="1"/>
  <c r="CR20" i="2" s="1"/>
  <c r="CJ84" i="3"/>
  <c r="CG30" i="2"/>
  <c r="CG34" i="2"/>
  <c r="CF30" i="2"/>
  <c r="CG82" i="3"/>
  <c r="CE127" i="2"/>
  <c r="CF127" i="2" s="1"/>
  <c r="CG127" i="2" s="1"/>
  <c r="CH127" i="2" s="1"/>
  <c r="CF64" i="3"/>
  <c r="CG65" i="3"/>
  <c r="CG66" i="3"/>
  <c r="CF67" i="3"/>
  <c r="CG70" i="3"/>
  <c r="CG72" i="3"/>
  <c r="CG90" i="3"/>
  <c r="CG133" i="2" s="1"/>
  <c r="CG135" i="2" s="1"/>
  <c r="CG96" i="3"/>
  <c r="CF43" i="3"/>
  <c r="CF44" i="3"/>
  <c r="CF100" i="3"/>
  <c r="CE29" i="2"/>
  <c r="CD29" i="2"/>
  <c r="CD36" i="2"/>
  <c r="CG193" i="1"/>
  <c r="CF45" i="3"/>
  <c r="CF96" i="3"/>
  <c r="CF102" i="3"/>
  <c r="CF62" i="3"/>
  <c r="CF88" i="2" s="1"/>
  <c r="CF65" i="3"/>
  <c r="CF66" i="3"/>
  <c r="CF68" i="3"/>
  <c r="CF69" i="3"/>
  <c r="CF70" i="3"/>
  <c r="CE219" i="4"/>
  <c r="CF71" i="3"/>
  <c r="CF72" i="3"/>
  <c r="CF73" i="3"/>
  <c r="CF78" i="3"/>
  <c r="CF81" i="3"/>
  <c r="CF74" i="3"/>
  <c r="CF75" i="3"/>
  <c r="CF76" i="3"/>
  <c r="CF77" i="3"/>
  <c r="CF79" i="3"/>
  <c r="CF80" i="3"/>
  <c r="CF82" i="3"/>
  <c r="CF83" i="3"/>
  <c r="CF84" i="3"/>
  <c r="CF89" i="3"/>
  <c r="CF90" i="3"/>
  <c r="CF133" i="2"/>
  <c r="CF91" i="3"/>
  <c r="CF92" i="3"/>
  <c r="CF93" i="3"/>
  <c r="CF104" i="3"/>
  <c r="CE96" i="3"/>
  <c r="CE98" i="3"/>
  <c r="CE99" i="3"/>
  <c r="CE100" i="3"/>
  <c r="CE102" i="3"/>
  <c r="CE62" i="3"/>
  <c r="CE64" i="3"/>
  <c r="CE65" i="3"/>
  <c r="CE66" i="3"/>
  <c r="CE67" i="3"/>
  <c r="CE68" i="3"/>
  <c r="CE69" i="3"/>
  <c r="CE70" i="3"/>
  <c r="CE71" i="3"/>
  <c r="CE72" i="3"/>
  <c r="CE73" i="3"/>
  <c r="CE78" i="3"/>
  <c r="CE81" i="3"/>
  <c r="CE74" i="3"/>
  <c r="CE75" i="3"/>
  <c r="CE76" i="3"/>
  <c r="CE77" i="3"/>
  <c r="CE79" i="3"/>
  <c r="CE80" i="3"/>
  <c r="CE82" i="3"/>
  <c r="CE83" i="3"/>
  <c r="CE84" i="3"/>
  <c r="CE89" i="3"/>
  <c r="CE90" i="3"/>
  <c r="CE133" i="2"/>
  <c r="CE91" i="3"/>
  <c r="CE92" i="3"/>
  <c r="CE93" i="3"/>
  <c r="CE104" i="3"/>
  <c r="CC25" i="3"/>
  <c r="CC32" i="3"/>
  <c r="CC33" i="3" s="1"/>
  <c r="CC35" i="3"/>
  <c r="CC36" i="3"/>
  <c r="CC90" i="3" s="1"/>
  <c r="CC37" i="3"/>
  <c r="CC38" i="3"/>
  <c r="CC39" i="3"/>
  <c r="CC42" i="3"/>
  <c r="CC96" i="3"/>
  <c r="CC43" i="3"/>
  <c r="CC44" i="3"/>
  <c r="CC45" i="3"/>
  <c r="CD45" i="3" s="1"/>
  <c r="CC46" i="3"/>
  <c r="CC47" i="3"/>
  <c r="CC48" i="3"/>
  <c r="CC50" i="3"/>
  <c r="CD50" i="3"/>
  <c r="BX12" i="3"/>
  <c r="BX32" i="3"/>
  <c r="BX40" i="3"/>
  <c r="BX45" i="3"/>
  <c r="BX49" i="3" s="1"/>
  <c r="BY49" i="3" s="1"/>
  <c r="BW52" i="3"/>
  <c r="BX52" i="3"/>
  <c r="BY52" i="3" s="1"/>
  <c r="CI21" i="2"/>
  <c r="CH65" i="3"/>
  <c r="CH66" i="3"/>
  <c r="CH70" i="3"/>
  <c r="CI46" i="2"/>
  <c r="CJ118" i="2"/>
  <c r="CK118" i="2" s="1"/>
  <c r="CL118" i="2" s="1"/>
  <c r="CM118" i="2" s="1"/>
  <c r="CO118" i="2" s="1"/>
  <c r="CP118" i="2" s="1"/>
  <c r="CQ118" i="2" s="1"/>
  <c r="CR118" i="2" s="1"/>
  <c r="CT118" i="2" s="1"/>
  <c r="CU118" i="2" s="1"/>
  <c r="CV118" i="2" s="1"/>
  <c r="CW118" i="2" s="1"/>
  <c r="CJ65" i="3"/>
  <c r="CJ66" i="3"/>
  <c r="CJ69" i="3"/>
  <c r="CJ70" i="3"/>
  <c r="CJ71" i="3"/>
  <c r="CJ72" i="3"/>
  <c r="CJ73" i="3"/>
  <c r="CJ90" i="3"/>
  <c r="CJ133" i="2" s="1"/>
  <c r="CJ135" i="2" s="1"/>
  <c r="CJ92" i="3"/>
  <c r="CI36" i="2"/>
  <c r="CJ99" i="3"/>
  <c r="CJ76" i="2" s="1"/>
  <c r="CJ104" i="3"/>
  <c r="CK30" i="3"/>
  <c r="CK84" i="3" s="1"/>
  <c r="CK65" i="3"/>
  <c r="CK12" i="3"/>
  <c r="CK66" i="3" s="1"/>
  <c r="CK15" i="3"/>
  <c r="CK69" i="3" s="1"/>
  <c r="CK16" i="3"/>
  <c r="CK17" i="3"/>
  <c r="CK71" i="3" s="1"/>
  <c r="CN71" i="3" s="1"/>
  <c r="CK18" i="3"/>
  <c r="CL18" i="3" s="1"/>
  <c r="CK19" i="3"/>
  <c r="CK73" i="3"/>
  <c r="CK90" i="3"/>
  <c r="CK38" i="3"/>
  <c r="CL38" i="3" s="1"/>
  <c r="CK64" i="2"/>
  <c r="CL64" i="2" s="1"/>
  <c r="CM64" i="2" s="1"/>
  <c r="CO64" i="2" s="1"/>
  <c r="CK60" i="2"/>
  <c r="CL60" i="2" s="1"/>
  <c r="CM60" i="2" s="1"/>
  <c r="CO60" i="2" s="1"/>
  <c r="CK50" i="3"/>
  <c r="CK104" i="3"/>
  <c r="CL65" i="3"/>
  <c r="CL90" i="3"/>
  <c r="CM65" i="3"/>
  <c r="CM90" i="3"/>
  <c r="CO84" i="3"/>
  <c r="CO65" i="3"/>
  <c r="CO66" i="3"/>
  <c r="CO69" i="3"/>
  <c r="CO70" i="3"/>
  <c r="CO71" i="3"/>
  <c r="CO72" i="3"/>
  <c r="CO73" i="3"/>
  <c r="CO90" i="3"/>
  <c r="CO92" i="3"/>
  <c r="CO43" i="3"/>
  <c r="CO97" i="3" s="1"/>
  <c r="CN36" i="2"/>
  <c r="CO45" i="3"/>
  <c r="CO99" i="3"/>
  <c r="CO76" i="2"/>
  <c r="CO104" i="3"/>
  <c r="CP30" i="3"/>
  <c r="CP84" i="3"/>
  <c r="CP65" i="3"/>
  <c r="CP12" i="3"/>
  <c r="CP66" i="3" s="1"/>
  <c r="CP15" i="3"/>
  <c r="CP69" i="3"/>
  <c r="CP16" i="3"/>
  <c r="CP70" i="3"/>
  <c r="CP17" i="3"/>
  <c r="CP45" i="3"/>
  <c r="CP18" i="3"/>
  <c r="CP72" i="3"/>
  <c r="CP19" i="3"/>
  <c r="CP73" i="3"/>
  <c r="CP90" i="3"/>
  <c r="CP38" i="3"/>
  <c r="CP92" i="3" s="1"/>
  <c r="CP64" i="2"/>
  <c r="CQ64" i="2" s="1"/>
  <c r="CR64" i="2" s="1"/>
  <c r="CT64" i="2" s="1"/>
  <c r="CU64" i="2" s="1"/>
  <c r="CV64" i="2" s="1"/>
  <c r="CW64" i="2" s="1"/>
  <c r="CP60" i="2"/>
  <c r="CQ60" i="2" s="1"/>
  <c r="CP50" i="3"/>
  <c r="CP104" i="3" s="1"/>
  <c r="CQ65" i="3"/>
  <c r="CQ19" i="3"/>
  <c r="CQ73" i="3"/>
  <c r="CQ90" i="3"/>
  <c r="CR65" i="3"/>
  <c r="CB18" i="1"/>
  <c r="CA18" i="1"/>
  <c r="CA24" i="1" s="1"/>
  <c r="BZ18" i="1"/>
  <c r="BZ24" i="1" s="1"/>
  <c r="CD21" i="1"/>
  <c r="CH40" i="1"/>
  <c r="CB37" i="1"/>
  <c r="CB106" i="4"/>
  <c r="CC29" i="310"/>
  <c r="CB29" i="310"/>
  <c r="CE89" i="4"/>
  <c r="CA106" i="4"/>
  <c r="BT79" i="4"/>
  <c r="BU79" i="4" s="1"/>
  <c r="CE111" i="4"/>
  <c r="CD113" i="4"/>
  <c r="BQ105" i="4"/>
  <c r="BR105" i="4" s="1"/>
  <c r="CE107" i="4"/>
  <c r="CE106" i="4"/>
  <c r="CF79" i="310"/>
  <c r="BF98" i="310"/>
  <c r="BG98" i="310" s="1"/>
  <c r="BF101" i="310"/>
  <c r="BG101" i="310" s="1"/>
  <c r="CG33" i="310"/>
  <c r="CA72" i="310"/>
  <c r="CF57" i="310"/>
  <c r="CF43" i="310"/>
  <c r="CE43" i="310"/>
  <c r="CE44" i="310" s="1"/>
  <c r="CF49" i="310"/>
  <c r="CK49" i="310" s="1"/>
  <c r="CP49" i="310" s="1"/>
  <c r="CU49" i="310" s="1"/>
  <c r="CF52" i="310"/>
  <c r="CK52" i="310" s="1"/>
  <c r="CP52" i="310" s="1"/>
  <c r="CU52" i="310" s="1"/>
  <c r="CF55" i="310"/>
  <c r="CF9" i="310"/>
  <c r="CF8" i="310"/>
  <c r="CF12" i="310"/>
  <c r="CF11" i="310"/>
  <c r="CF15" i="310"/>
  <c r="CF14" i="310"/>
  <c r="CF85" i="310"/>
  <c r="CF84" i="310"/>
  <c r="CF18" i="310"/>
  <c r="CF29" i="310"/>
  <c r="CF28" i="310"/>
  <c r="CF26" i="310"/>
  <c r="CF25" i="310"/>
  <c r="BW69" i="4"/>
  <c r="BV69" i="4"/>
  <c r="BU69" i="4"/>
  <c r="BT69" i="4"/>
  <c r="BT80" i="4" s="1"/>
  <c r="BR69" i="4"/>
  <c r="BQ69" i="4"/>
  <c r="BP69" i="4"/>
  <c r="BP80" i="4"/>
  <c r="BO69" i="4"/>
  <c r="BM69" i="4"/>
  <c r="BM80" i="4"/>
  <c r="BL69" i="4"/>
  <c r="BK69" i="4"/>
  <c r="BK80" i="4" s="1"/>
  <c r="BJ69" i="4"/>
  <c r="BG69" i="4"/>
  <c r="BH69" i="4"/>
  <c r="CE78" i="4"/>
  <c r="CE77" i="4"/>
  <c r="CE75" i="4"/>
  <c r="CE53" i="4"/>
  <c r="CF6" i="3"/>
  <c r="CF60" i="3" s="1"/>
  <c r="CB72" i="310"/>
  <c r="CA12" i="310"/>
  <c r="CA29" i="310"/>
  <c r="CF32" i="3"/>
  <c r="CF33" i="3"/>
  <c r="CF40" i="3"/>
  <c r="CF31" i="3"/>
  <c r="CF136" i="2"/>
  <c r="CG132" i="2" s="1"/>
  <c r="CF132" i="2"/>
  <c r="CF134" i="2"/>
  <c r="CF129" i="2"/>
  <c r="CG125" i="2" s="1"/>
  <c r="CE129" i="2"/>
  <c r="CF125" i="2" s="1"/>
  <c r="CF119" i="2"/>
  <c r="CF103" i="2"/>
  <c r="CF102" i="2"/>
  <c r="CF90" i="2"/>
  <c r="CG87" i="2" s="1"/>
  <c r="CE90" i="2"/>
  <c r="CF87" i="2" s="1"/>
  <c r="CF89" i="2" s="1"/>
  <c r="CF85" i="2"/>
  <c r="CG81" i="2" s="1"/>
  <c r="CE85" i="2"/>
  <c r="CF81" i="2" s="1"/>
  <c r="CF79" i="2"/>
  <c r="CG73" i="2" s="1"/>
  <c r="CE79" i="2"/>
  <c r="CF73" i="2" s="1"/>
  <c r="CE63" i="2"/>
  <c r="CF53" i="2"/>
  <c r="CF47" i="2"/>
  <c r="CF46" i="2"/>
  <c r="CF117" i="1"/>
  <c r="CE117" i="1"/>
  <c r="CA57" i="1"/>
  <c r="CA56" i="1" s="1"/>
  <c r="CA76" i="1"/>
  <c r="CA104" i="1" s="1"/>
  <c r="CF81" i="1"/>
  <c r="CF79" i="1"/>
  <c r="CF76" i="1" s="1"/>
  <c r="CF104" i="1" s="1"/>
  <c r="CC72" i="310"/>
  <c r="CI10" i="310"/>
  <c r="CF61" i="1"/>
  <c r="CF52" i="1"/>
  <c r="CF53" i="1" s="1"/>
  <c r="CK53" i="1" s="1"/>
  <c r="CP53" i="1" s="1"/>
  <c r="CU53" i="1" s="1"/>
  <c r="CF48" i="1"/>
  <c r="CF65" i="1" s="1"/>
  <c r="CF44" i="1"/>
  <c r="CJ184" i="1" s="1"/>
  <c r="CF10" i="1"/>
  <c r="CF14" i="1"/>
  <c r="CF13" i="1"/>
  <c r="CF17" i="1"/>
  <c r="CF16" i="1"/>
  <c r="CF23" i="1"/>
  <c r="CF22" i="1"/>
  <c r="CC63" i="2"/>
  <c r="CE59" i="2" s="1"/>
  <c r="CE62" i="2" s="1"/>
  <c r="CA37" i="1"/>
  <c r="CE118" i="2"/>
  <c r="CE119" i="2" s="1"/>
  <c r="CE46" i="3"/>
  <c r="BY8" i="3"/>
  <c r="BY10" i="3"/>
  <c r="BY11" i="3"/>
  <c r="BY13" i="3"/>
  <c r="BY14" i="3"/>
  <c r="BY15" i="3"/>
  <c r="BY16" i="3"/>
  <c r="BY17" i="3"/>
  <c r="BY18" i="3"/>
  <c r="BY19" i="3"/>
  <c r="BY20" i="3"/>
  <c r="BY22" i="3"/>
  <c r="BY23" i="3"/>
  <c r="BY21" i="3"/>
  <c r="BY25" i="3"/>
  <c r="BY26" i="3"/>
  <c r="BY28" i="3"/>
  <c r="BY29" i="3"/>
  <c r="BY30" i="3"/>
  <c r="BY24" i="3"/>
  <c r="BY27" i="3"/>
  <c r="BZ32" i="3"/>
  <c r="BZ33" i="3" s="1"/>
  <c r="CB32" i="3"/>
  <c r="CB33" i="3"/>
  <c r="CA32" i="3"/>
  <c r="CA33" i="3" s="1"/>
  <c r="CE32" i="3"/>
  <c r="CE33" i="3" s="1"/>
  <c r="CE37" i="3"/>
  <c r="BY10" i="310"/>
  <c r="BU13" i="310"/>
  <c r="BV13" i="310"/>
  <c r="BW13" i="310"/>
  <c r="BY13" i="310" s="1"/>
  <c r="BX13" i="310"/>
  <c r="CD10" i="310"/>
  <c r="CD13" i="310"/>
  <c r="CE54" i="8"/>
  <c r="CE59" i="8" s="1"/>
  <c r="CE20" i="8" s="1"/>
  <c r="CE53" i="8"/>
  <c r="CE82" i="8" s="1"/>
  <c r="CE52" i="8"/>
  <c r="CE77" i="8"/>
  <c r="CE76" i="8"/>
  <c r="CE87" i="8" s="1"/>
  <c r="CE75" i="8"/>
  <c r="CE73" i="8"/>
  <c r="CE63" i="8" s="1"/>
  <c r="CE71" i="8"/>
  <c r="CE70" i="8"/>
  <c r="CE72" i="8" s="1"/>
  <c r="CE62" i="8" s="1"/>
  <c r="CE48" i="8"/>
  <c r="CE47" i="8"/>
  <c r="CF77" i="8"/>
  <c r="CF76" i="8"/>
  <c r="CF75" i="8"/>
  <c r="CF73" i="8"/>
  <c r="CF63" i="8"/>
  <c r="CF71" i="8"/>
  <c r="CF70" i="8"/>
  <c r="CF52" i="8"/>
  <c r="CF54" i="8"/>
  <c r="CF83" i="8" s="1"/>
  <c r="CF88" i="8" s="1"/>
  <c r="CF49" i="8"/>
  <c r="CF53" i="8"/>
  <c r="CF82" i="8"/>
  <c r="BZ106" i="4"/>
  <c r="BX18" i="1"/>
  <c r="BX24" i="1" s="1"/>
  <c r="CE10" i="1"/>
  <c r="CE39" i="310"/>
  <c r="CD103" i="4"/>
  <c r="CD89" i="4"/>
  <c r="AQ31" i="3"/>
  <c r="AR31" i="3"/>
  <c r="AS31" i="3"/>
  <c r="AT31" i="3" s="1"/>
  <c r="AQ32" i="3"/>
  <c r="AQ86" i="3"/>
  <c r="AR32" i="3"/>
  <c r="AS32" i="3"/>
  <c r="AT32" i="3" s="1"/>
  <c r="AL31" i="3"/>
  <c r="AM31" i="3"/>
  <c r="AN31" i="3"/>
  <c r="AO31" i="3"/>
  <c r="AL32" i="3"/>
  <c r="AM32" i="3"/>
  <c r="AN32" i="3"/>
  <c r="AW32" i="3"/>
  <c r="AV32" i="3"/>
  <c r="AW31" i="3"/>
  <c r="AV31" i="3"/>
  <c r="AV85" i="3" s="1"/>
  <c r="BW32" i="3"/>
  <c r="BV32" i="3"/>
  <c r="BU32" i="3"/>
  <c r="BU33" i="3"/>
  <c r="BX31" i="3"/>
  <c r="BW31" i="3"/>
  <c r="BV31" i="3"/>
  <c r="BU31" i="3"/>
  <c r="BU85" i="3"/>
  <c r="BU78" i="3" s="1"/>
  <c r="CC31" i="3"/>
  <c r="CB31" i="3"/>
  <c r="CA31" i="3"/>
  <c r="BZ31" i="3"/>
  <c r="CD114" i="4"/>
  <c r="CD112" i="4"/>
  <c r="CD107" i="4"/>
  <c r="CD106" i="4"/>
  <c r="CE79" i="310"/>
  <c r="CE26" i="310"/>
  <c r="CE25" i="310"/>
  <c r="CE29" i="310"/>
  <c r="CE28" i="310"/>
  <c r="CE85" i="310"/>
  <c r="CE84" i="310"/>
  <c r="CE15" i="310"/>
  <c r="CE14" i="310"/>
  <c r="CE12" i="310"/>
  <c r="CE11" i="310"/>
  <c r="CE9" i="310"/>
  <c r="CE8" i="310"/>
  <c r="CD53" i="4"/>
  <c r="CE18" i="310"/>
  <c r="CC26" i="3"/>
  <c r="CC22" i="3"/>
  <c r="CC21" i="3"/>
  <c r="CC20" i="3"/>
  <c r="CC17" i="3"/>
  <c r="CD134" i="2"/>
  <c r="CD127" i="2"/>
  <c r="CE121" i="2"/>
  <c r="CE103" i="2"/>
  <c r="CE102" i="2"/>
  <c r="CC60" i="2"/>
  <c r="CE71" i="2"/>
  <c r="CE61" i="2"/>
  <c r="CE56" i="2"/>
  <c r="CE53" i="2"/>
  <c r="CE47" i="2"/>
  <c r="CE46" i="2"/>
  <c r="CE190" i="1"/>
  <c r="CE154" i="1"/>
  <c r="CE81" i="1"/>
  <c r="CE79" i="1"/>
  <c r="CE76" i="1" s="1"/>
  <c r="CE104" i="1" s="1"/>
  <c r="CE52" i="1"/>
  <c r="CE48" i="1"/>
  <c r="CE65" i="1" s="1"/>
  <c r="CE44" i="1"/>
  <c r="CE159" i="1" s="1"/>
  <c r="CE34" i="1"/>
  <c r="CE32" i="1" s="1"/>
  <c r="CE17" i="1"/>
  <c r="CE16" i="1"/>
  <c r="CE14" i="1"/>
  <c r="CE13" i="1"/>
  <c r="CB73" i="8"/>
  <c r="CB63" i="8" s="1"/>
  <c r="CB71" i="8"/>
  <c r="CB70" i="8"/>
  <c r="CC41" i="8"/>
  <c r="CH77" i="8" s="1"/>
  <c r="CC40" i="8"/>
  <c r="CH76" i="8" s="1"/>
  <c r="CC39" i="8"/>
  <c r="CH75" i="8" s="1"/>
  <c r="CC73" i="8"/>
  <c r="CC71" i="8"/>
  <c r="CC70" i="8"/>
  <c r="CC48" i="8"/>
  <c r="CC47" i="8"/>
  <c r="CE208" i="1"/>
  <c r="CH26" i="310"/>
  <c r="CM26" i="310" s="1"/>
  <c r="CR26" i="310" s="1"/>
  <c r="CW26" i="310" s="1"/>
  <c r="BY112" i="4"/>
  <c r="CB112" i="4"/>
  <c r="BW112" i="4"/>
  <c r="CB89" i="4"/>
  <c r="CC79" i="310"/>
  <c r="CC43" i="310"/>
  <c r="CE45" i="310" s="1"/>
  <c r="CC26" i="310"/>
  <c r="CC25" i="310"/>
  <c r="CC28" i="310"/>
  <c r="CC19" i="310"/>
  <c r="CC18" i="310"/>
  <c r="CC85" i="310"/>
  <c r="CC84" i="310"/>
  <c r="CC15" i="310"/>
  <c r="CC11" i="310"/>
  <c r="CC9" i="310"/>
  <c r="CC8" i="310"/>
  <c r="CB53" i="4"/>
  <c r="CC52" i="4"/>
  <c r="BY42" i="8"/>
  <c r="BY41" i="8"/>
  <c r="BY40" i="8"/>
  <c r="BY39" i="8"/>
  <c r="CD42" i="8"/>
  <c r="CB50" i="3"/>
  <c r="CB48" i="3"/>
  <c r="CB46" i="3"/>
  <c r="CB38" i="3"/>
  <c r="CD38" i="3"/>
  <c r="CB37" i="3"/>
  <c r="CB36" i="3"/>
  <c r="CB35" i="3"/>
  <c r="CB23" i="3"/>
  <c r="CB22" i="3"/>
  <c r="CB21" i="3"/>
  <c r="CB19" i="3"/>
  <c r="CB17" i="3"/>
  <c r="CC136" i="2"/>
  <c r="CE132" i="2" s="1"/>
  <c r="CE135" i="2" s="1"/>
  <c r="CC129" i="2"/>
  <c r="CE125" i="2" s="1"/>
  <c r="CC121" i="2"/>
  <c r="CC119" i="2"/>
  <c r="CC103" i="2"/>
  <c r="CC102" i="2"/>
  <c r="CC90" i="2"/>
  <c r="CE87" i="2" s="1"/>
  <c r="CI87" i="2" s="1"/>
  <c r="CC79" i="2"/>
  <c r="CB63" i="2"/>
  <c r="CC56" i="2"/>
  <c r="CC47" i="2"/>
  <c r="CC85" i="2"/>
  <c r="CE81" i="2" s="1"/>
  <c r="CC46" i="2"/>
  <c r="CC117" i="1"/>
  <c r="CC81" i="1"/>
  <c r="CC79" i="1"/>
  <c r="CC76" i="1"/>
  <c r="CC104" i="1" s="1"/>
  <c r="CC48" i="1"/>
  <c r="CC65" i="1" s="1"/>
  <c r="CC57" i="1"/>
  <c r="CC61" i="1"/>
  <c r="CC52" i="1"/>
  <c r="CC53" i="1" s="1"/>
  <c r="CH53" i="1" s="1"/>
  <c r="CM53" i="1" s="1"/>
  <c r="CR53" i="1" s="1"/>
  <c r="CW53" i="1" s="1"/>
  <c r="CC44" i="1"/>
  <c r="CC45" i="1" s="1"/>
  <c r="CH45" i="1" s="1"/>
  <c r="CM45" i="1" s="1"/>
  <c r="CR45" i="1" s="1"/>
  <c r="CW45" i="1" s="1"/>
  <c r="CC34" i="1"/>
  <c r="CC35" i="1"/>
  <c r="CC32" i="1"/>
  <c r="CC13" i="1"/>
  <c r="CC14" i="1"/>
  <c r="CC16" i="1"/>
  <c r="CC17" i="1"/>
  <c r="CC22" i="1"/>
  <c r="CC23" i="1"/>
  <c r="CC10" i="1"/>
  <c r="A1" i="8"/>
  <c r="C5" i="8"/>
  <c r="D5" i="8"/>
  <c r="E5" i="8"/>
  <c r="F5" i="8"/>
  <c r="G5" i="8"/>
  <c r="H5" i="8"/>
  <c r="I5" i="8"/>
  <c r="J5" i="8"/>
  <c r="K5" i="8"/>
  <c r="L5" i="8"/>
  <c r="M5" i="8"/>
  <c r="N5" i="8"/>
  <c r="O5" i="8"/>
  <c r="P5" i="8"/>
  <c r="Q5" i="8"/>
  <c r="R5" i="8"/>
  <c r="S5" i="8"/>
  <c r="T5" i="8"/>
  <c r="U5" i="8"/>
  <c r="V5" i="8"/>
  <c r="W5" i="8"/>
  <c r="X5" i="8"/>
  <c r="Y5" i="8"/>
  <c r="Z5" i="8"/>
  <c r="AA5" i="8"/>
  <c r="AB5" i="8"/>
  <c r="AC5" i="8"/>
  <c r="AD5" i="8"/>
  <c r="AE5" i="8"/>
  <c r="AF5" i="8"/>
  <c r="AG5" i="8"/>
  <c r="AH5" i="8"/>
  <c r="AI5" i="8"/>
  <c r="AJ5" i="8"/>
  <c r="AK5" i="8"/>
  <c r="AL5" i="8"/>
  <c r="AM5" i="8"/>
  <c r="AN5" i="8"/>
  <c r="AO5" i="8"/>
  <c r="AP5" i="8"/>
  <c r="AQ5" i="8"/>
  <c r="AR5" i="8"/>
  <c r="AS5" i="8"/>
  <c r="AT5" i="8"/>
  <c r="AU5" i="8"/>
  <c r="AV5" i="8"/>
  <c r="AW5" i="8"/>
  <c r="AX5" i="8"/>
  <c r="AY5" i="8"/>
  <c r="AZ5" i="8"/>
  <c r="BA5" i="8"/>
  <c r="BB5" i="8"/>
  <c r="BC5" i="8"/>
  <c r="BD5" i="8"/>
  <c r="BE5" i="8"/>
  <c r="BF5" i="8"/>
  <c r="BG5" i="8"/>
  <c r="BH5" i="8"/>
  <c r="BI5" i="8"/>
  <c r="BJ5" i="8"/>
  <c r="BK5" i="8"/>
  <c r="BL5" i="8"/>
  <c r="BM5" i="8"/>
  <c r="BN5" i="8"/>
  <c r="BO5" i="8"/>
  <c r="BP5" i="8"/>
  <c r="BQ5" i="8"/>
  <c r="BR5" i="8"/>
  <c r="BS5" i="8"/>
  <c r="BT5" i="8"/>
  <c r="BU5" i="8"/>
  <c r="BV5" i="8"/>
  <c r="BW5" i="8"/>
  <c r="BX5" i="8"/>
  <c r="BY5" i="8"/>
  <c r="BZ5" i="8"/>
  <c r="CA5" i="8"/>
  <c r="CB5" i="8"/>
  <c r="CC5" i="8"/>
  <c r="CD5" i="8"/>
  <c r="CE5" i="8"/>
  <c r="CF5" i="8"/>
  <c r="CG5" i="8"/>
  <c r="CH5" i="8"/>
  <c r="CI5" i="8"/>
  <c r="M9" i="8"/>
  <c r="N9" i="8"/>
  <c r="O9" i="8"/>
  <c r="R9" i="8"/>
  <c r="R15" i="8"/>
  <c r="R29" i="8" s="1"/>
  <c r="S9" i="8"/>
  <c r="T9" i="8"/>
  <c r="W9" i="8"/>
  <c r="X9" i="8"/>
  <c r="Y9" i="8"/>
  <c r="Z9" i="8"/>
  <c r="Z15" i="8"/>
  <c r="AB9" i="8"/>
  <c r="AC9" i="8"/>
  <c r="AD9" i="8"/>
  <c r="AD15" i="8" s="1"/>
  <c r="AD29" i="8" s="1"/>
  <c r="AE9" i="8"/>
  <c r="AG9" i="8"/>
  <c r="AH9" i="8"/>
  <c r="AH15" i="8"/>
  <c r="AI9" i="8"/>
  <c r="AJ9" i="8"/>
  <c r="AL9" i="8"/>
  <c r="AL15" i="8"/>
  <c r="AM9" i="8"/>
  <c r="AN9" i="8"/>
  <c r="AO9" i="8"/>
  <c r="AQ9" i="8"/>
  <c r="AR9" i="8"/>
  <c r="AS9" i="8"/>
  <c r="AT9" i="8"/>
  <c r="AT15" i="8"/>
  <c r="AT29" i="8" s="1"/>
  <c r="AV9" i="8"/>
  <c r="AW9" i="8"/>
  <c r="AX9" i="8"/>
  <c r="AY9" i="8"/>
  <c r="BA9" i="8"/>
  <c r="BB9" i="8"/>
  <c r="BC9" i="8"/>
  <c r="BD9" i="8"/>
  <c r="BF9" i="8"/>
  <c r="BG9" i="8"/>
  <c r="BH9" i="8"/>
  <c r="BI9" i="8"/>
  <c r="BK9" i="8"/>
  <c r="BL9" i="8"/>
  <c r="BL15" i="8" s="1"/>
  <c r="BM9" i="8"/>
  <c r="BN9" i="8"/>
  <c r="BP9" i="8"/>
  <c r="BQ9" i="8"/>
  <c r="BQ24" i="8"/>
  <c r="BR9" i="8"/>
  <c r="BS9" i="8"/>
  <c r="BS24" i="8" s="1"/>
  <c r="BU9" i="8"/>
  <c r="BV9" i="8"/>
  <c r="BW9" i="8"/>
  <c r="BX9" i="8"/>
  <c r="BZ9" i="8"/>
  <c r="CA9" i="8"/>
  <c r="CA15" i="8" s="1"/>
  <c r="CB9" i="8"/>
  <c r="CE9" i="8"/>
  <c r="CF9" i="8"/>
  <c r="C11" i="8"/>
  <c r="D11" i="8"/>
  <c r="E11" i="8"/>
  <c r="F18" i="1"/>
  <c r="F11" i="8"/>
  <c r="K18" i="1"/>
  <c r="L18" i="1" s="1"/>
  <c r="K21" i="1"/>
  <c r="L21" i="1" s="1"/>
  <c r="M15" i="8"/>
  <c r="O15" i="8"/>
  <c r="S15" i="8"/>
  <c r="T15" i="8"/>
  <c r="T29" i="8" s="1"/>
  <c r="Y15" i="8"/>
  <c r="Y29" i="8" s="1"/>
  <c r="AB15" i="8"/>
  <c r="AE15" i="8"/>
  <c r="AI15" i="8"/>
  <c r="AI29" i="8" s="1"/>
  <c r="AM15" i="8"/>
  <c r="AO15" i="8"/>
  <c r="AO29" i="8" s="1"/>
  <c r="AQ15" i="8"/>
  <c r="AS15" i="8"/>
  <c r="AV15" i="8"/>
  <c r="AV29" i="8" s="1"/>
  <c r="AW15" i="8"/>
  <c r="AY15" i="8"/>
  <c r="BA15" i="8"/>
  <c r="BA29" i="8" s="1"/>
  <c r="BC15" i="8"/>
  <c r="BC29" i="8" s="1"/>
  <c r="BD15" i="8"/>
  <c r="BI15" i="8"/>
  <c r="BI29" i="8" s="1"/>
  <c r="BK15" i="8"/>
  <c r="BK29" i="8" s="1"/>
  <c r="BM15" i="8"/>
  <c r="BP15" i="8"/>
  <c r="BP29" i="8" s="1"/>
  <c r="BS15" i="8"/>
  <c r="BU15" i="8"/>
  <c r="BU29" i="8" s="1"/>
  <c r="BW15" i="8"/>
  <c r="BW29" i="8" s="1"/>
  <c r="BX15" i="8"/>
  <c r="BX29" i="8" s="1"/>
  <c r="CE15" i="8"/>
  <c r="C19" i="8"/>
  <c r="D19" i="8"/>
  <c r="E19" i="8"/>
  <c r="F19" i="8"/>
  <c r="H19" i="8"/>
  <c r="I19" i="8"/>
  <c r="J19" i="8"/>
  <c r="K19" i="8"/>
  <c r="M19" i="8"/>
  <c r="N19" i="8"/>
  <c r="O19" i="8"/>
  <c r="P19" i="8"/>
  <c r="R19" i="8"/>
  <c r="S19" i="8"/>
  <c r="T19" i="8"/>
  <c r="U19" i="8"/>
  <c r="X19" i="8"/>
  <c r="Y19" i="8"/>
  <c r="Z19" i="8"/>
  <c r="AB19" i="8"/>
  <c r="AC19" i="8"/>
  <c r="AD19" i="8"/>
  <c r="AE19" i="8"/>
  <c r="C20" i="8"/>
  <c r="D20" i="8"/>
  <c r="E20" i="8"/>
  <c r="F20" i="8"/>
  <c r="H20" i="8"/>
  <c r="I20" i="8"/>
  <c r="J20" i="8"/>
  <c r="K20" i="8"/>
  <c r="M20" i="8"/>
  <c r="N20" i="8"/>
  <c r="O20" i="8"/>
  <c r="P20" i="8"/>
  <c r="R20" i="8"/>
  <c r="S20" i="8"/>
  <c r="T20" i="8"/>
  <c r="U20" i="8"/>
  <c r="X20" i="8"/>
  <c r="Y20" i="8"/>
  <c r="Z20" i="8"/>
  <c r="AB20" i="8"/>
  <c r="AC20" i="8"/>
  <c r="AD20" i="8"/>
  <c r="AE20" i="8"/>
  <c r="T24" i="8"/>
  <c r="Y24" i="8"/>
  <c r="AO24" i="8"/>
  <c r="AV24" i="8"/>
  <c r="AW24" i="8"/>
  <c r="BA24" i="8"/>
  <c r="BD24" i="8"/>
  <c r="BI24" i="8"/>
  <c r="BL24" i="8"/>
  <c r="BU24" i="8"/>
  <c r="BX24" i="8"/>
  <c r="BD29" i="8"/>
  <c r="P39" i="8"/>
  <c r="U39" i="8"/>
  <c r="U9" i="8" s="1"/>
  <c r="AA39" i="8"/>
  <c r="AF39" i="8"/>
  <c r="AK39" i="8"/>
  <c r="AP39" i="8"/>
  <c r="AU39" i="8"/>
  <c r="AU75" i="8" s="1"/>
  <c r="AU86" i="8" s="1"/>
  <c r="AZ39" i="8"/>
  <c r="P40" i="8"/>
  <c r="Q40" i="8" s="1"/>
  <c r="U40" i="8"/>
  <c r="V40" i="8" s="1"/>
  <c r="AA40" i="8"/>
  <c r="AF40" i="8"/>
  <c r="AK40" i="8"/>
  <c r="AP40" i="8"/>
  <c r="AU40" i="8"/>
  <c r="AZ40" i="8"/>
  <c r="P41" i="8"/>
  <c r="Q41" i="8" s="1"/>
  <c r="Q54" i="8" s="1"/>
  <c r="U41" i="8"/>
  <c r="AA41" i="8"/>
  <c r="AK41" i="8"/>
  <c r="AP41" i="8"/>
  <c r="AU41" i="8"/>
  <c r="AZ41" i="8"/>
  <c r="AA42" i="8"/>
  <c r="AF42" i="8"/>
  <c r="AG47" i="8"/>
  <c r="AJ47" i="8" s="1"/>
  <c r="AL47" i="8"/>
  <c r="AU47" i="8"/>
  <c r="BE47" i="8"/>
  <c r="BH47" i="8"/>
  <c r="BJ47" i="8"/>
  <c r="BM47" i="8"/>
  <c r="BN47" i="8"/>
  <c r="BN53" i="8" s="1"/>
  <c r="BP47" i="8"/>
  <c r="BQ47" i="8"/>
  <c r="BR47" i="8"/>
  <c r="BU47" i="8"/>
  <c r="BV47" i="8"/>
  <c r="BX47" i="8"/>
  <c r="BW47" i="8"/>
  <c r="BZ47" i="8"/>
  <c r="BZ53" i="8"/>
  <c r="CA47" i="8"/>
  <c r="AG48" i="8"/>
  <c r="AL48" i="8"/>
  <c r="AO48" i="8" s="1"/>
  <c r="AU48" i="8"/>
  <c r="BE48" i="8"/>
  <c r="BH48" i="8"/>
  <c r="BM48" i="8"/>
  <c r="BN48" i="8"/>
  <c r="BP48" i="8"/>
  <c r="BP49" i="8"/>
  <c r="BQ48" i="8"/>
  <c r="BR48" i="8"/>
  <c r="BS48" i="8"/>
  <c r="BU48" i="8"/>
  <c r="BV48" i="8"/>
  <c r="BW48" i="8"/>
  <c r="BW49" i="8"/>
  <c r="BX48" i="8"/>
  <c r="BZ48" i="8"/>
  <c r="CA48" i="8"/>
  <c r="CA49" i="8"/>
  <c r="CB48" i="8"/>
  <c r="CB49" i="8"/>
  <c r="Q49" i="8"/>
  <c r="R49" i="8"/>
  <c r="V49" i="8"/>
  <c r="U49" i="8" s="1"/>
  <c r="W49" i="8"/>
  <c r="AA49" i="8"/>
  <c r="Z49" i="8" s="1"/>
  <c r="AB49" i="8"/>
  <c r="AF49" i="8"/>
  <c r="AH49" i="8"/>
  <c r="AI49" i="8"/>
  <c r="AL49" i="8"/>
  <c r="AM49" i="8"/>
  <c r="AN49" i="8"/>
  <c r="AQ49" i="8"/>
  <c r="AR49" i="8"/>
  <c r="AS49" i="8"/>
  <c r="AT49" i="8"/>
  <c r="AV49" i="8"/>
  <c r="AW49" i="8"/>
  <c r="BA49" i="8"/>
  <c r="BB49" i="8"/>
  <c r="BC49" i="8"/>
  <c r="BD49" i="8"/>
  <c r="BF49" i="8"/>
  <c r="BH49" i="8"/>
  <c r="BI49" i="8"/>
  <c r="BK49" i="8"/>
  <c r="BL49" i="8"/>
  <c r="BM49" i="8"/>
  <c r="BQ49" i="8"/>
  <c r="BR49" i="8"/>
  <c r="BU49" i="8"/>
  <c r="BV49" i="8"/>
  <c r="BZ49" i="8"/>
  <c r="CE49" i="8"/>
  <c r="M52" i="8"/>
  <c r="N52" i="8"/>
  <c r="O52" i="8"/>
  <c r="P52" i="8"/>
  <c r="R52" i="8"/>
  <c r="S52" i="8"/>
  <c r="S81" i="8" s="1"/>
  <c r="T52" i="8"/>
  <c r="U52" i="8"/>
  <c r="W52" i="8"/>
  <c r="X52" i="8"/>
  <c r="X81" i="8" s="1"/>
  <c r="Y52" i="8"/>
  <c r="Z52" i="8"/>
  <c r="AB52" i="8"/>
  <c r="AC52" i="8"/>
  <c r="AD52" i="8"/>
  <c r="AE52" i="8"/>
  <c r="AG52" i="8"/>
  <c r="AH52" i="8"/>
  <c r="AI52" i="8"/>
  <c r="AJ52" i="8"/>
  <c r="AL52" i="8"/>
  <c r="AM52" i="8"/>
  <c r="AN52" i="8"/>
  <c r="AO52" i="8"/>
  <c r="AO81" i="8" s="1"/>
  <c r="AQ52" i="8"/>
  <c r="AR52" i="8"/>
  <c r="AS52" i="8"/>
  <c r="AT52" i="8"/>
  <c r="AT81" i="8" s="1"/>
  <c r="AV52" i="8"/>
  <c r="AW52" i="8"/>
  <c r="AX52" i="8"/>
  <c r="AY52" i="8"/>
  <c r="BA52" i="8"/>
  <c r="BB52" i="8"/>
  <c r="BC52" i="8"/>
  <c r="BD52" i="8"/>
  <c r="BF52" i="8"/>
  <c r="BG52" i="8"/>
  <c r="BH52" i="8"/>
  <c r="BI52" i="8"/>
  <c r="BK52" i="8"/>
  <c r="BL52" i="8"/>
  <c r="BM52" i="8"/>
  <c r="BN52" i="8"/>
  <c r="BP52" i="8"/>
  <c r="BQ52" i="8"/>
  <c r="BR52" i="8"/>
  <c r="BS52" i="8"/>
  <c r="BU52" i="8"/>
  <c r="BV52" i="8"/>
  <c r="BW52" i="8"/>
  <c r="BX52" i="8"/>
  <c r="BZ52" i="8"/>
  <c r="CA52" i="8"/>
  <c r="CF81" i="8" s="1"/>
  <c r="CB52" i="8"/>
  <c r="M53" i="8"/>
  <c r="N53" i="8"/>
  <c r="O53" i="8"/>
  <c r="P53" i="8"/>
  <c r="W53" i="8"/>
  <c r="AF53" i="8"/>
  <c r="AG53" i="8"/>
  <c r="AH53" i="8"/>
  <c r="AI53" i="8"/>
  <c r="AM53" i="8"/>
  <c r="AN53" i="8"/>
  <c r="AN58" i="8" s="1"/>
  <c r="AN19" i="8" s="1"/>
  <c r="AQ53" i="8"/>
  <c r="AR53" i="8"/>
  <c r="AS53" i="8"/>
  <c r="AT53" i="8"/>
  <c r="AV53" i="8"/>
  <c r="AW53" i="8"/>
  <c r="BA53" i="8"/>
  <c r="BB53" i="8"/>
  <c r="BC53" i="8"/>
  <c r="BD53" i="8"/>
  <c r="BF53" i="8"/>
  <c r="BG53" i="8"/>
  <c r="BH53" i="8"/>
  <c r="BI53" i="8"/>
  <c r="BK53" i="8"/>
  <c r="BK58" i="8" s="1"/>
  <c r="BK19" i="8" s="1"/>
  <c r="BL53" i="8"/>
  <c r="BM53" i="8"/>
  <c r="BM58" i="8" s="1"/>
  <c r="BM19" i="8" s="1"/>
  <c r="BP53" i="8"/>
  <c r="BQ53" i="8"/>
  <c r="BU53" i="8"/>
  <c r="BW53" i="8"/>
  <c r="CA53" i="8"/>
  <c r="CB53" i="8"/>
  <c r="CB82" i="8" s="1"/>
  <c r="M54" i="8"/>
  <c r="N54" i="8"/>
  <c r="O54" i="8"/>
  <c r="O55" i="8" s="1"/>
  <c r="P54" i="8"/>
  <c r="W54" i="8"/>
  <c r="W59" i="8" s="1"/>
  <c r="W20" i="8" s="1"/>
  <c r="AA54" i="8"/>
  <c r="AG54" i="8"/>
  <c r="AG59" i="8" s="1"/>
  <c r="AG20" i="8" s="1"/>
  <c r="AH54" i="8"/>
  <c r="AH59" i="8"/>
  <c r="AH20" i="8" s="1"/>
  <c r="AI54" i="8"/>
  <c r="AL54" i="8"/>
  <c r="AL83" i="8" s="1"/>
  <c r="AL88" i="8" s="1"/>
  <c r="AM54" i="8"/>
  <c r="AN54" i="8"/>
  <c r="AN59" i="8" s="1"/>
  <c r="AQ54" i="8"/>
  <c r="AR54" i="8"/>
  <c r="AS54" i="8"/>
  <c r="AS55" i="8" s="1"/>
  <c r="AT54" i="8"/>
  <c r="AT59" i="8" s="1"/>
  <c r="AT20" i="8" s="1"/>
  <c r="AV54" i="8"/>
  <c r="AW54" i="8"/>
  <c r="BA54" i="8"/>
  <c r="BB54" i="8"/>
  <c r="BC54" i="8"/>
  <c r="BD54" i="8"/>
  <c r="BD59" i="8" s="1"/>
  <c r="BD20" i="8" s="1"/>
  <c r="BF54" i="8"/>
  <c r="BH54" i="8"/>
  <c r="BH59" i="8" s="1"/>
  <c r="BH20" i="8" s="1"/>
  <c r="BI54" i="8"/>
  <c r="BK54" i="8"/>
  <c r="BL54" i="8"/>
  <c r="BM54" i="8"/>
  <c r="BQ54" i="8"/>
  <c r="BQ55" i="8" s="1"/>
  <c r="BR54" i="8"/>
  <c r="BU54" i="8"/>
  <c r="BV54" i="8"/>
  <c r="BW54" i="8"/>
  <c r="BW59" i="8" s="1"/>
  <c r="BW20" i="8" s="1"/>
  <c r="BZ54" i="8"/>
  <c r="CA54" i="8"/>
  <c r="AQ55" i="8"/>
  <c r="BC55" i="8"/>
  <c r="G58" i="8"/>
  <c r="G19" i="8" s="1"/>
  <c r="L58" i="8"/>
  <c r="L19" i="8" s="1"/>
  <c r="W58" i="8"/>
  <c r="W19" i="8" s="1"/>
  <c r="AH58" i="8"/>
  <c r="AH19" i="8" s="1"/>
  <c r="AQ58" i="8"/>
  <c r="AQ19" i="8" s="1"/>
  <c r="AR58" i="8"/>
  <c r="AR19" i="8" s="1"/>
  <c r="AS58" i="8"/>
  <c r="AS19" i="8" s="1"/>
  <c r="AV58" i="8"/>
  <c r="AV19" i="8" s="1"/>
  <c r="AW58" i="8"/>
  <c r="AW19" i="8" s="1"/>
  <c r="BC58" i="8"/>
  <c r="BC19" i="8" s="1"/>
  <c r="BD58" i="8"/>
  <c r="BD19" i="8" s="1"/>
  <c r="BF58" i="8"/>
  <c r="BF19" i="8" s="1"/>
  <c r="BI58" i="8"/>
  <c r="BI19" i="8" s="1"/>
  <c r="BP58" i="8"/>
  <c r="BP19" i="8" s="1"/>
  <c r="BQ58" i="8"/>
  <c r="BQ19" i="8" s="1"/>
  <c r="CA58" i="8"/>
  <c r="CA19" i="8" s="1"/>
  <c r="CB58" i="8"/>
  <c r="CB19" i="8" s="1"/>
  <c r="G59" i="8"/>
  <c r="G20" i="8" s="1"/>
  <c r="L59" i="8"/>
  <c r="L20" i="8" s="1"/>
  <c r="AL59" i="8"/>
  <c r="AL20" i="8" s="1"/>
  <c r="AM59" i="8"/>
  <c r="AM20" i="8" s="1"/>
  <c r="AQ59" i="8"/>
  <c r="AQ20" i="8" s="1"/>
  <c r="BB59" i="8"/>
  <c r="BB20" i="8" s="1"/>
  <c r="BC59" i="8"/>
  <c r="BC20" i="8" s="1"/>
  <c r="BL59" i="8"/>
  <c r="BL20" i="8" s="1"/>
  <c r="BQ59" i="8"/>
  <c r="BQ20" i="8" s="1"/>
  <c r="BV59" i="8"/>
  <c r="BV20" i="8" s="1"/>
  <c r="CA59" i="8"/>
  <c r="CA20" i="8" s="1"/>
  <c r="AK66" i="8"/>
  <c r="AP66" i="8"/>
  <c r="AU66" i="8"/>
  <c r="AZ66" i="8"/>
  <c r="BE66" i="8"/>
  <c r="BJ66" i="8"/>
  <c r="BO66" i="8"/>
  <c r="BO70" i="8" s="1"/>
  <c r="BT66" i="8"/>
  <c r="BY66" i="8"/>
  <c r="AK67" i="8"/>
  <c r="AP67" i="8"/>
  <c r="AP71" i="8" s="1"/>
  <c r="AU67" i="8"/>
  <c r="AZ67" i="8"/>
  <c r="BE67" i="8"/>
  <c r="BJ67" i="8"/>
  <c r="BO67" i="8"/>
  <c r="BT67" i="8"/>
  <c r="BY67" i="8"/>
  <c r="AK68" i="8"/>
  <c r="AP68" i="8"/>
  <c r="AU68" i="8"/>
  <c r="AZ68" i="8"/>
  <c r="BE68" i="8"/>
  <c r="BJ68" i="8"/>
  <c r="BO68" i="8"/>
  <c r="BT68" i="8"/>
  <c r="BY68" i="8"/>
  <c r="BY73" i="8" s="1"/>
  <c r="AL70" i="8"/>
  <c r="AM70" i="8"/>
  <c r="AN70" i="8"/>
  <c r="AO70" i="8"/>
  <c r="AQ70" i="8"/>
  <c r="AR70" i="8"/>
  <c r="AS70" i="8"/>
  <c r="AT70" i="8"/>
  <c r="AV70" i="8"/>
  <c r="AW70" i="8"/>
  <c r="AX70" i="8"/>
  <c r="AY70" i="8"/>
  <c r="BA70" i="8"/>
  <c r="BB70" i="8"/>
  <c r="BC70" i="8"/>
  <c r="BD70" i="8"/>
  <c r="BF70" i="8"/>
  <c r="BG70" i="8"/>
  <c r="BH70" i="8"/>
  <c r="BI70" i="8"/>
  <c r="BI72" i="8" s="1"/>
  <c r="BJ70" i="8"/>
  <c r="BK70" i="8"/>
  <c r="BL70" i="8"/>
  <c r="BL72" i="8" s="1"/>
  <c r="BM70" i="8"/>
  <c r="BN70" i="8"/>
  <c r="BP70" i="8"/>
  <c r="BQ70" i="8"/>
  <c r="BR70" i="8"/>
  <c r="BS70" i="8"/>
  <c r="BU70" i="8"/>
  <c r="BV70" i="8"/>
  <c r="BV72" i="8" s="1"/>
  <c r="BV62" i="8" s="1"/>
  <c r="BW70" i="8"/>
  <c r="BX70" i="8"/>
  <c r="BZ70" i="8"/>
  <c r="CA70" i="8"/>
  <c r="CA72" i="8" s="1"/>
  <c r="CA62" i="8" s="1"/>
  <c r="AL71" i="8"/>
  <c r="AM71" i="8"/>
  <c r="AN71" i="8"/>
  <c r="AO71" i="8"/>
  <c r="AQ71" i="8"/>
  <c r="AR71" i="8"/>
  <c r="AS71" i="8"/>
  <c r="AT71" i="8"/>
  <c r="AV71" i="8"/>
  <c r="AW71" i="8"/>
  <c r="AX71" i="8"/>
  <c r="AY71" i="8"/>
  <c r="BA71" i="8"/>
  <c r="BA72" i="8"/>
  <c r="BB71" i="8"/>
  <c r="BC71" i="8"/>
  <c r="BD71" i="8"/>
  <c r="BF71" i="8"/>
  <c r="BG71" i="8"/>
  <c r="BH71" i="8"/>
  <c r="BI71" i="8"/>
  <c r="BK71" i="8"/>
  <c r="BL71" i="8"/>
  <c r="BM71" i="8"/>
  <c r="BM72" i="8" s="1"/>
  <c r="BM62" i="8" s="1"/>
  <c r="BN71" i="8"/>
  <c r="BP71" i="8"/>
  <c r="BP72" i="8" s="1"/>
  <c r="BP62" i="8" s="1"/>
  <c r="BQ71" i="8"/>
  <c r="BR71" i="8"/>
  <c r="BS71" i="8"/>
  <c r="BU71" i="8"/>
  <c r="BV71" i="8"/>
  <c r="BW71" i="8"/>
  <c r="BX71" i="8"/>
  <c r="BZ71" i="8"/>
  <c r="BZ72" i="8" s="1"/>
  <c r="BZ62" i="8" s="1"/>
  <c r="CA71" i="8"/>
  <c r="BG72" i="8"/>
  <c r="BG62" i="8" s="1"/>
  <c r="AL73" i="8"/>
  <c r="AM73" i="8"/>
  <c r="AN73" i="8"/>
  <c r="AO73" i="8"/>
  <c r="AQ73" i="8"/>
  <c r="AR73" i="8"/>
  <c r="AS73" i="8"/>
  <c r="AT73" i="8"/>
  <c r="AV73" i="8"/>
  <c r="AW73" i="8"/>
  <c r="AX73" i="8"/>
  <c r="AY73" i="8"/>
  <c r="AY63" i="8" s="1"/>
  <c r="BA73" i="8"/>
  <c r="BB73" i="8"/>
  <c r="BB63" i="8" s="1"/>
  <c r="BC73" i="8"/>
  <c r="BC63" i="8" s="1"/>
  <c r="BD73" i="8"/>
  <c r="BD63" i="8" s="1"/>
  <c r="BF73" i="8"/>
  <c r="BF63" i="8" s="1"/>
  <c r="BG73" i="8"/>
  <c r="BH73" i="8"/>
  <c r="BH63" i="8" s="1"/>
  <c r="BI73" i="8"/>
  <c r="BI63" i="8" s="1"/>
  <c r="BK73" i="8"/>
  <c r="BK63" i="8"/>
  <c r="BL73" i="8"/>
  <c r="BL63" i="8" s="1"/>
  <c r="BM73" i="8"/>
  <c r="BM63" i="8" s="1"/>
  <c r="BN73" i="8"/>
  <c r="BN63" i="8" s="1"/>
  <c r="BP73" i="8"/>
  <c r="BP63" i="8"/>
  <c r="BQ73" i="8"/>
  <c r="BQ63" i="8" s="1"/>
  <c r="BR73" i="8"/>
  <c r="BR63" i="8" s="1"/>
  <c r="BS73" i="8"/>
  <c r="BS63" i="8" s="1"/>
  <c r="BU73" i="8"/>
  <c r="BU63" i="8"/>
  <c r="BV73" i="8"/>
  <c r="BV63" i="8" s="1"/>
  <c r="BW73" i="8"/>
  <c r="BW63" i="8" s="1"/>
  <c r="BX73" i="8"/>
  <c r="BX63" i="8" s="1"/>
  <c r="BZ73" i="8"/>
  <c r="BZ63" i="8"/>
  <c r="CA73" i="8"/>
  <c r="CA63" i="8" s="1"/>
  <c r="R75" i="8"/>
  <c r="S75" i="8"/>
  <c r="T75" i="8"/>
  <c r="U75" i="8"/>
  <c r="W75" i="8"/>
  <c r="X75" i="8"/>
  <c r="Y75" i="8"/>
  <c r="Z75" i="8"/>
  <c r="AB75" i="8"/>
  <c r="AC75" i="8"/>
  <c r="AD75" i="8"/>
  <c r="AE75" i="8"/>
  <c r="AF75" i="8"/>
  <c r="AG75" i="8"/>
  <c r="AH75" i="8"/>
  <c r="AI75" i="8"/>
  <c r="AJ75" i="8"/>
  <c r="AK75" i="8"/>
  <c r="AL75" i="8"/>
  <c r="AM75" i="8"/>
  <c r="AN75" i="8"/>
  <c r="AO75" i="8"/>
  <c r="AP75" i="8"/>
  <c r="AQ75" i="8"/>
  <c r="AR75" i="8"/>
  <c r="AS75" i="8"/>
  <c r="AT75" i="8"/>
  <c r="AV75" i="8"/>
  <c r="AW75" i="8"/>
  <c r="AX75" i="8"/>
  <c r="AY75" i="8"/>
  <c r="AZ75" i="8"/>
  <c r="BA75" i="8"/>
  <c r="BB75" i="8"/>
  <c r="BC75" i="8"/>
  <c r="BD75" i="8"/>
  <c r="BF75" i="8"/>
  <c r="BG75" i="8"/>
  <c r="BH75" i="8"/>
  <c r="BI75" i="8"/>
  <c r="BK75" i="8"/>
  <c r="BL75" i="8"/>
  <c r="BM75" i="8"/>
  <c r="BN75" i="8"/>
  <c r="BP75" i="8"/>
  <c r="BQ75" i="8"/>
  <c r="BR75" i="8"/>
  <c r="BS75" i="8"/>
  <c r="BU75" i="8"/>
  <c r="BV75" i="8"/>
  <c r="BW75" i="8"/>
  <c r="BX75" i="8"/>
  <c r="BZ75" i="8"/>
  <c r="CA75" i="8"/>
  <c r="CB75" i="8"/>
  <c r="R76" i="8"/>
  <c r="S76" i="8"/>
  <c r="T76" i="8"/>
  <c r="U76" i="8"/>
  <c r="W76" i="8"/>
  <c r="X76" i="8"/>
  <c r="Y76" i="8"/>
  <c r="Z76" i="8"/>
  <c r="AB76" i="8"/>
  <c r="AC76" i="8"/>
  <c r="AD76" i="8"/>
  <c r="AE76" i="8"/>
  <c r="AG76" i="8"/>
  <c r="AH76" i="8"/>
  <c r="AI76" i="8"/>
  <c r="AJ76" i="8"/>
  <c r="AK76" i="8"/>
  <c r="AL76" i="8"/>
  <c r="AM76" i="8"/>
  <c r="AN76" i="8"/>
  <c r="AO76" i="8"/>
  <c r="AP76" i="8"/>
  <c r="AQ76" i="8"/>
  <c r="AR76" i="8"/>
  <c r="AR62" i="8" s="1"/>
  <c r="AS76" i="8"/>
  <c r="AS62" i="8" s="1"/>
  <c r="AT76" i="8"/>
  <c r="AV76" i="8"/>
  <c r="AV62" i="8" s="1"/>
  <c r="AW76" i="8"/>
  <c r="AW62" i="8" s="1"/>
  <c r="AX76" i="8"/>
  <c r="AY76" i="8"/>
  <c r="BA76" i="8"/>
  <c r="BB76" i="8"/>
  <c r="BC76" i="8"/>
  <c r="BD76" i="8"/>
  <c r="BF76" i="8"/>
  <c r="BG76" i="8"/>
  <c r="BH76" i="8"/>
  <c r="BI76" i="8"/>
  <c r="BK76" i="8"/>
  <c r="BL76" i="8"/>
  <c r="BM76" i="8"/>
  <c r="BN76" i="8"/>
  <c r="BP76" i="8"/>
  <c r="BQ76" i="8"/>
  <c r="BR76" i="8"/>
  <c r="BS76" i="8"/>
  <c r="BU76" i="8"/>
  <c r="BV76" i="8"/>
  <c r="BW76" i="8"/>
  <c r="BX76" i="8"/>
  <c r="BZ76" i="8"/>
  <c r="CA76" i="8"/>
  <c r="CB76" i="8"/>
  <c r="CB87" i="8" s="1"/>
  <c r="R77" i="8"/>
  <c r="S77" i="8"/>
  <c r="T77" i="8"/>
  <c r="W77" i="8"/>
  <c r="X77" i="8"/>
  <c r="Y77" i="8"/>
  <c r="AB77" i="8"/>
  <c r="AC77" i="8"/>
  <c r="AG77" i="8"/>
  <c r="AH77" i="8"/>
  <c r="AL77" i="8"/>
  <c r="AM77" i="8"/>
  <c r="AM63" i="8" s="1"/>
  <c r="AN77" i="8"/>
  <c r="AO77" i="8"/>
  <c r="AP77" i="8"/>
  <c r="AQ77" i="8"/>
  <c r="AQ63" i="8" s="1"/>
  <c r="AR77" i="8"/>
  <c r="AS77" i="8"/>
  <c r="AT77" i="8"/>
  <c r="AV77" i="8"/>
  <c r="AW77" i="8"/>
  <c r="AX77" i="8"/>
  <c r="AY77" i="8"/>
  <c r="AZ77" i="8"/>
  <c r="BA77" i="8"/>
  <c r="BB77" i="8"/>
  <c r="BC77" i="8"/>
  <c r="BD77" i="8"/>
  <c r="BF77" i="8"/>
  <c r="BG77" i="8"/>
  <c r="BH77" i="8"/>
  <c r="BI77" i="8"/>
  <c r="BK77" i="8"/>
  <c r="BL77" i="8"/>
  <c r="BM77" i="8"/>
  <c r="BN77" i="8"/>
  <c r="BP77" i="8"/>
  <c r="BQ77" i="8"/>
  <c r="BR77" i="8"/>
  <c r="BS77" i="8"/>
  <c r="BU77" i="8"/>
  <c r="BU88" i="8" s="1"/>
  <c r="BV77" i="8"/>
  <c r="BW77" i="8"/>
  <c r="BX77" i="8"/>
  <c r="BZ77" i="8"/>
  <c r="CA77" i="8"/>
  <c r="CB77" i="8"/>
  <c r="R81" i="8"/>
  <c r="R86" i="8" s="1"/>
  <c r="T81" i="8"/>
  <c r="T86" i="8" s="1"/>
  <c r="U81" i="8"/>
  <c r="Y81" i="8"/>
  <c r="Y86" i="8" s="1"/>
  <c r="Z81" i="8"/>
  <c r="AD81" i="8"/>
  <c r="AE81" i="8"/>
  <c r="AI81" i="8"/>
  <c r="AJ81" i="8"/>
  <c r="AM81" i="8"/>
  <c r="AN81" i="8"/>
  <c r="AQ81" i="8"/>
  <c r="AR81" i="8"/>
  <c r="AS81" i="8"/>
  <c r="AS86" i="8" s="1"/>
  <c r="AV81" i="8"/>
  <c r="AW81" i="8"/>
  <c r="AW86" i="8" s="1"/>
  <c r="AX81" i="8"/>
  <c r="AY81" i="8"/>
  <c r="AY86" i="8" s="1"/>
  <c r="BA81" i="8"/>
  <c r="BB81" i="8"/>
  <c r="BC81" i="8"/>
  <c r="BD81" i="8"/>
  <c r="BG81" i="8"/>
  <c r="BG86" i="8" s="1"/>
  <c r="BH81" i="8"/>
  <c r="BK81" i="8"/>
  <c r="BK86" i="8" s="1"/>
  <c r="BL81" i="8"/>
  <c r="BM81" i="8"/>
  <c r="BM86" i="8" s="1"/>
  <c r="BP81" i="8"/>
  <c r="BP86" i="8" s="1"/>
  <c r="BQ81" i="8"/>
  <c r="BR81" i="8"/>
  <c r="BR86" i="8" s="1"/>
  <c r="BS81" i="8"/>
  <c r="BS86" i="8" s="1"/>
  <c r="BU81" i="8"/>
  <c r="BV81" i="8"/>
  <c r="BW81" i="8"/>
  <c r="BW86" i="8" s="1"/>
  <c r="BX81" i="8"/>
  <c r="BZ81" i="8"/>
  <c r="BZ86" i="8" s="1"/>
  <c r="CA81" i="8"/>
  <c r="CB81" i="8"/>
  <c r="AH82" i="8"/>
  <c r="AI82" i="8"/>
  <c r="AM82" i="8"/>
  <c r="AN82" i="8"/>
  <c r="AQ82" i="8"/>
  <c r="AR82" i="8"/>
  <c r="AS82" i="8"/>
  <c r="AS87" i="8" s="1"/>
  <c r="AT82" i="8"/>
  <c r="AV82" i="8"/>
  <c r="AW82" i="8"/>
  <c r="BA82" i="8"/>
  <c r="BA87" i="8" s="1"/>
  <c r="BB82" i="8"/>
  <c r="BC82" i="8"/>
  <c r="BD82" i="8"/>
  <c r="BF82" i="8"/>
  <c r="BF87" i="8" s="1"/>
  <c r="BG82" i="8"/>
  <c r="BI82" i="8"/>
  <c r="BK82" i="8"/>
  <c r="BK87" i="8" s="1"/>
  <c r="BM82" i="8"/>
  <c r="BM87" i="8" s="1"/>
  <c r="BP82" i="8"/>
  <c r="BQ82" i="8"/>
  <c r="BW82" i="8"/>
  <c r="BW87" i="8" s="1"/>
  <c r="CA82" i="8"/>
  <c r="AG83" i="8"/>
  <c r="AG88" i="8"/>
  <c r="AH83" i="8"/>
  <c r="AM83" i="8"/>
  <c r="AN83" i="8"/>
  <c r="AQ83" i="8"/>
  <c r="AS83" i="8"/>
  <c r="AS88" i="8" s="1"/>
  <c r="AW83" i="8"/>
  <c r="BB83" i="8"/>
  <c r="BC83" i="8"/>
  <c r="BD83" i="8"/>
  <c r="BH83" i="8"/>
  <c r="BI83" i="8"/>
  <c r="BL83" i="8"/>
  <c r="BL88" i="8" s="1"/>
  <c r="BM83" i="8"/>
  <c r="BQ83" i="8"/>
  <c r="BU83" i="8"/>
  <c r="BV83" i="8"/>
  <c r="BW83" i="8"/>
  <c r="CA83" i="8"/>
  <c r="BI87" i="8"/>
  <c r="B53" i="447"/>
  <c r="B57" i="447"/>
  <c r="B61" i="447"/>
  <c r="A1" i="3"/>
  <c r="A57" i="3" s="1"/>
  <c r="C6" i="3"/>
  <c r="C60" i="3" s="1"/>
  <c r="D6" i="3"/>
  <c r="D60" i="3" s="1"/>
  <c r="E6" i="3"/>
  <c r="E60" i="3" s="1"/>
  <c r="F6" i="3"/>
  <c r="F60" i="3" s="1"/>
  <c r="G6" i="3"/>
  <c r="G60" i="3" s="1"/>
  <c r="H6" i="3"/>
  <c r="H60" i="3" s="1"/>
  <c r="I6" i="3"/>
  <c r="I60" i="3" s="1"/>
  <c r="J6" i="3"/>
  <c r="K6" i="3"/>
  <c r="K60" i="3" s="1"/>
  <c r="L6" i="3"/>
  <c r="L60" i="3" s="1"/>
  <c r="M6" i="3"/>
  <c r="M60" i="3" s="1"/>
  <c r="N6" i="3"/>
  <c r="N60" i="3" s="1"/>
  <c r="O6" i="3"/>
  <c r="O60" i="3" s="1"/>
  <c r="P6" i="3"/>
  <c r="P60" i="3" s="1"/>
  <c r="Q6" i="3"/>
  <c r="Q60" i="3" s="1"/>
  <c r="R6" i="3"/>
  <c r="S6" i="3"/>
  <c r="S60" i="3" s="1"/>
  <c r="T6" i="3"/>
  <c r="T60" i="3" s="1"/>
  <c r="U6" i="3"/>
  <c r="U60" i="3" s="1"/>
  <c r="V6" i="3"/>
  <c r="V60" i="3" s="1"/>
  <c r="W6" i="3"/>
  <c r="W60" i="3" s="1"/>
  <c r="X6" i="3"/>
  <c r="X60" i="3"/>
  <c r="Y6" i="3"/>
  <c r="Y60" i="3" s="1"/>
  <c r="Z6" i="3"/>
  <c r="Z60" i="3" s="1"/>
  <c r="AA6" i="3"/>
  <c r="AA60" i="3" s="1"/>
  <c r="AB6" i="3"/>
  <c r="AB60" i="3"/>
  <c r="AC6" i="3"/>
  <c r="AC60" i="3" s="1"/>
  <c r="AD6" i="3"/>
  <c r="AE6" i="3"/>
  <c r="AE60" i="3" s="1"/>
  <c r="AF6" i="3"/>
  <c r="AF60" i="3" s="1"/>
  <c r="AG6" i="3"/>
  <c r="AG60" i="3" s="1"/>
  <c r="AH6" i="3"/>
  <c r="AH60" i="3" s="1"/>
  <c r="AI6" i="3"/>
  <c r="AI60" i="3" s="1"/>
  <c r="AJ6" i="3"/>
  <c r="AJ60" i="3" s="1"/>
  <c r="AK6" i="3"/>
  <c r="AK60" i="3" s="1"/>
  <c r="AL6" i="3"/>
  <c r="AM6" i="3"/>
  <c r="AN6" i="3"/>
  <c r="AN60" i="3" s="1"/>
  <c r="AO6" i="3"/>
  <c r="AO60" i="3" s="1"/>
  <c r="AP6" i="3"/>
  <c r="AP60" i="3" s="1"/>
  <c r="AQ6" i="3"/>
  <c r="AQ60" i="3" s="1"/>
  <c r="AR6" i="3"/>
  <c r="AR60" i="3" s="1"/>
  <c r="AS6" i="3"/>
  <c r="AS60" i="3" s="1"/>
  <c r="AT6" i="3"/>
  <c r="AT60" i="3" s="1"/>
  <c r="AU6" i="3"/>
  <c r="AU60" i="3"/>
  <c r="AV6" i="3"/>
  <c r="AV60" i="3" s="1"/>
  <c r="AW6" i="3"/>
  <c r="AW60" i="3"/>
  <c r="AX6" i="3"/>
  <c r="AX60" i="3" s="1"/>
  <c r="AY6" i="3"/>
  <c r="AZ6" i="3"/>
  <c r="AZ60" i="3" s="1"/>
  <c r="BA6" i="3"/>
  <c r="BA60" i="3" s="1"/>
  <c r="BB6" i="3"/>
  <c r="BB60" i="3" s="1"/>
  <c r="BC6" i="3"/>
  <c r="BC60" i="3"/>
  <c r="BD6" i="3"/>
  <c r="BD60" i="3" s="1"/>
  <c r="BE6" i="3"/>
  <c r="BE60" i="3"/>
  <c r="BF6" i="3"/>
  <c r="BF60" i="3" s="1"/>
  <c r="BG6" i="3"/>
  <c r="BG60" i="3"/>
  <c r="BH6" i="3"/>
  <c r="BH60" i="3" s="1"/>
  <c r="BI6" i="3"/>
  <c r="BI60" i="3" s="1"/>
  <c r="BJ6" i="3"/>
  <c r="BK6" i="3"/>
  <c r="BK60" i="3" s="1"/>
  <c r="BL6" i="3"/>
  <c r="BL60" i="3" s="1"/>
  <c r="BM6" i="3"/>
  <c r="BM60" i="3" s="1"/>
  <c r="BN6" i="3"/>
  <c r="BN60" i="3" s="1"/>
  <c r="BO6" i="3"/>
  <c r="BO60" i="3" s="1"/>
  <c r="BP6" i="3"/>
  <c r="BP60" i="3" s="1"/>
  <c r="BQ6" i="3"/>
  <c r="BQ60" i="3" s="1"/>
  <c r="BR6" i="3"/>
  <c r="BS6" i="3"/>
  <c r="BS60" i="3" s="1"/>
  <c r="BT6" i="3"/>
  <c r="BT60" i="3" s="1"/>
  <c r="BU6" i="3"/>
  <c r="BU60" i="3" s="1"/>
  <c r="BV6" i="3"/>
  <c r="BV60" i="3" s="1"/>
  <c r="BW6" i="3"/>
  <c r="BW60" i="3" s="1"/>
  <c r="BX6" i="3"/>
  <c r="BX60" i="3" s="1"/>
  <c r="BY6" i="3"/>
  <c r="BY60" i="3" s="1"/>
  <c r="BZ6" i="3"/>
  <c r="BZ60" i="3" s="1"/>
  <c r="CA6" i="3"/>
  <c r="CA60" i="3"/>
  <c r="CB6" i="3"/>
  <c r="CB60" i="3" s="1"/>
  <c r="CC6" i="3"/>
  <c r="CC60" i="3" s="1"/>
  <c r="CD6" i="3"/>
  <c r="CD60" i="3" s="1"/>
  <c r="CE6" i="3"/>
  <c r="CE60" i="3" s="1"/>
  <c r="CG6" i="3"/>
  <c r="CG60" i="3" s="1"/>
  <c r="CH6" i="3"/>
  <c r="CH60" i="3" s="1"/>
  <c r="CI6" i="3"/>
  <c r="CI60" i="3" s="1"/>
  <c r="CJ6" i="3"/>
  <c r="CJ60" i="3" s="1"/>
  <c r="CK6" i="3"/>
  <c r="CK60" i="3" s="1"/>
  <c r="CL6" i="3"/>
  <c r="CL60" i="3"/>
  <c r="CM6" i="3"/>
  <c r="CN6" i="3"/>
  <c r="CN60" i="3" s="1"/>
  <c r="CO6" i="3"/>
  <c r="CO60" i="3" s="1"/>
  <c r="CP6" i="3"/>
  <c r="CP60" i="3" s="1"/>
  <c r="CQ6" i="3"/>
  <c r="CR6" i="3"/>
  <c r="CR60" i="3" s="1"/>
  <c r="CS6" i="3"/>
  <c r="CS60" i="3" s="1"/>
  <c r="BE8" i="3"/>
  <c r="BJ8" i="3"/>
  <c r="BO8" i="3"/>
  <c r="BT8" i="3"/>
  <c r="G10" i="3"/>
  <c r="L10" i="3"/>
  <c r="Q10" i="3"/>
  <c r="V10" i="3"/>
  <c r="AA10" i="3"/>
  <c r="AL10" i="3"/>
  <c r="AQ10" i="3"/>
  <c r="AQ64" i="3" s="1"/>
  <c r="AW10" i="3"/>
  <c r="BE10" i="3"/>
  <c r="BJ10" i="3"/>
  <c r="BO10" i="3"/>
  <c r="BT10" i="3"/>
  <c r="G11" i="3"/>
  <c r="L11" i="3"/>
  <c r="Q11" i="3"/>
  <c r="V11" i="3"/>
  <c r="AA11" i="3"/>
  <c r="AG11" i="3"/>
  <c r="AG10" i="3" s="1"/>
  <c r="AL11" i="3"/>
  <c r="AR11" i="3"/>
  <c r="AS11" i="3" s="1"/>
  <c r="AZ11" i="3"/>
  <c r="BE11" i="3"/>
  <c r="BJ11" i="3"/>
  <c r="BO11" i="3"/>
  <c r="BT11" i="3"/>
  <c r="CD11" i="3"/>
  <c r="CI11" i="3"/>
  <c r="CN11" i="3"/>
  <c r="CS11" i="3"/>
  <c r="G12" i="3"/>
  <c r="L12" i="3"/>
  <c r="Q12" i="3"/>
  <c r="V12" i="3"/>
  <c r="AA12" i="3"/>
  <c r="AC12" i="3"/>
  <c r="AE12" i="3"/>
  <c r="AE66" i="3" s="1"/>
  <c r="AK12" i="3"/>
  <c r="AP12" i="3"/>
  <c r="AT12" i="3"/>
  <c r="AU12" i="3"/>
  <c r="AZ12" i="3"/>
  <c r="BE12" i="3"/>
  <c r="BJ12" i="3"/>
  <c r="BO12" i="3"/>
  <c r="BT12" i="3"/>
  <c r="BV12" i="3"/>
  <c r="CB66" i="3"/>
  <c r="CD12" i="3"/>
  <c r="G13" i="3"/>
  <c r="L13" i="3"/>
  <c r="Q13" i="3"/>
  <c r="V13" i="3"/>
  <c r="AA13" i="3"/>
  <c r="AC13" i="3"/>
  <c r="AD13" i="3"/>
  <c r="AJ13" i="3"/>
  <c r="AP13" i="3"/>
  <c r="AT13" i="3"/>
  <c r="AU13" i="3" s="1"/>
  <c r="AX13" i="3"/>
  <c r="AX67" i="3" s="1"/>
  <c r="BE13" i="3"/>
  <c r="BJ13" i="3"/>
  <c r="BO13" i="3"/>
  <c r="BT13" i="3"/>
  <c r="G14" i="3"/>
  <c r="L14" i="3"/>
  <c r="Q14" i="3"/>
  <c r="V14" i="3"/>
  <c r="AA14" i="3"/>
  <c r="AC14" i="3"/>
  <c r="AE14" i="3"/>
  <c r="AF14" i="3" s="1"/>
  <c r="AJ14" i="3"/>
  <c r="AK14" i="3"/>
  <c r="AP14" i="3"/>
  <c r="AT14" i="3"/>
  <c r="AU14" i="3" s="1"/>
  <c r="AX14" i="3"/>
  <c r="AY14" i="3" s="1"/>
  <c r="BE14" i="3"/>
  <c r="BJ14" i="3"/>
  <c r="BO14" i="3"/>
  <c r="BT14" i="3"/>
  <c r="G15" i="3"/>
  <c r="L15" i="3"/>
  <c r="Q15" i="3"/>
  <c r="V15" i="3"/>
  <c r="AA15" i="3"/>
  <c r="AC15" i="3"/>
  <c r="AC69" i="3" s="1"/>
  <c r="AF69" i="3" s="1"/>
  <c r="AE15" i="3"/>
  <c r="AF15" i="3"/>
  <c r="AJ15" i="3"/>
  <c r="AK15" i="3" s="1"/>
  <c r="AL15" i="3"/>
  <c r="AM15" i="3"/>
  <c r="AP15" i="3"/>
  <c r="AT15" i="3"/>
  <c r="AU15" i="3" s="1"/>
  <c r="AX15" i="3"/>
  <c r="AY15" i="3" s="1"/>
  <c r="BE15" i="3"/>
  <c r="BJ15" i="3"/>
  <c r="BO15" i="3"/>
  <c r="BT15" i="3"/>
  <c r="BV15" i="3"/>
  <c r="BW15" i="3" s="1"/>
  <c r="BW33" i="3" s="1"/>
  <c r="BW51" i="3" s="1"/>
  <c r="BW53" i="3" s="1"/>
  <c r="BW55" i="3" s="1"/>
  <c r="CD15" i="3"/>
  <c r="G16" i="3"/>
  <c r="L16" i="3"/>
  <c r="Q16" i="3"/>
  <c r="V16" i="3"/>
  <c r="AA16" i="3"/>
  <c r="AC16" i="3"/>
  <c r="AE16" i="3"/>
  <c r="AF16" i="3" s="1"/>
  <c r="AG16" i="3"/>
  <c r="AH16" i="3"/>
  <c r="AI16" i="3"/>
  <c r="AJ16" i="3"/>
  <c r="AM16" i="3"/>
  <c r="AN16" i="3"/>
  <c r="AO16" i="3"/>
  <c r="AP16" i="3"/>
  <c r="AR16" i="3"/>
  <c r="AT16" i="3"/>
  <c r="AU16" i="3"/>
  <c r="AX16" i="3"/>
  <c r="BE16" i="3"/>
  <c r="BJ16" i="3"/>
  <c r="BO16" i="3"/>
  <c r="BT16" i="3"/>
  <c r="CD16" i="3"/>
  <c r="AG17" i="3"/>
  <c r="AG71" i="3"/>
  <c r="AH17" i="3"/>
  <c r="AI17" i="3"/>
  <c r="AL17" i="3"/>
  <c r="AO17" i="3"/>
  <c r="AP17" i="3"/>
  <c r="AR17" i="3"/>
  <c r="AT17" i="3"/>
  <c r="AU17" i="3"/>
  <c r="AX17" i="3"/>
  <c r="AY17" i="3" s="1"/>
  <c r="BE17" i="3"/>
  <c r="BJ17" i="3"/>
  <c r="BO17" i="3"/>
  <c r="BT17" i="3"/>
  <c r="CA17" i="3"/>
  <c r="CD17" i="3"/>
  <c r="F18" i="3"/>
  <c r="G18" i="3"/>
  <c r="H18" i="3"/>
  <c r="I18" i="3"/>
  <c r="J18" i="3"/>
  <c r="K18" i="3"/>
  <c r="L18" i="3"/>
  <c r="M18" i="3"/>
  <c r="N18" i="3"/>
  <c r="O18" i="3"/>
  <c r="P18" i="3"/>
  <c r="Q18" i="3"/>
  <c r="V18" i="3"/>
  <c r="AA18" i="3"/>
  <c r="AC18" i="3"/>
  <c r="AE18" i="3"/>
  <c r="AH18" i="3"/>
  <c r="AI18" i="3"/>
  <c r="AJ18" i="3"/>
  <c r="AP18" i="3"/>
  <c r="AT18" i="3"/>
  <c r="AU18" i="3" s="1"/>
  <c r="AX18" i="3"/>
  <c r="AY18" i="3" s="1"/>
  <c r="BE18" i="3"/>
  <c r="BJ18" i="3"/>
  <c r="BL18" i="3"/>
  <c r="BM18" i="3"/>
  <c r="BN18" i="3"/>
  <c r="BO18" i="3"/>
  <c r="BT18" i="3"/>
  <c r="BX18" i="3"/>
  <c r="CD18" i="3"/>
  <c r="G19" i="3"/>
  <c r="L19" i="3"/>
  <c r="Q19" i="3"/>
  <c r="V19" i="3"/>
  <c r="AA19" i="3"/>
  <c r="AC19" i="3"/>
  <c r="AC73" i="3" s="1"/>
  <c r="AE19" i="3"/>
  <c r="AF19" i="3" s="1"/>
  <c r="AK19" i="3"/>
  <c r="AP19" i="3"/>
  <c r="AQ19" i="3"/>
  <c r="AS19" i="3"/>
  <c r="AT19" i="3"/>
  <c r="AU19" i="3" s="1"/>
  <c r="AV19" i="3"/>
  <c r="AX19" i="3"/>
  <c r="AX73" i="3"/>
  <c r="BD19" i="3"/>
  <c r="BE19" i="3"/>
  <c r="BI19" i="3"/>
  <c r="BJ19" i="3"/>
  <c r="BN19" i="3"/>
  <c r="BO19" i="3"/>
  <c r="BT19" i="3"/>
  <c r="BX19" i="3"/>
  <c r="CA19" i="3"/>
  <c r="G20" i="3"/>
  <c r="L20" i="3"/>
  <c r="Q20" i="3"/>
  <c r="V20" i="3"/>
  <c r="AA20" i="3"/>
  <c r="AC20" i="3"/>
  <c r="AE20" i="3"/>
  <c r="AF20" i="3" s="1"/>
  <c r="AJ20" i="3"/>
  <c r="AK20" i="3" s="1"/>
  <c r="AP20" i="3"/>
  <c r="AT20" i="3"/>
  <c r="AU20" i="3" s="1"/>
  <c r="AX20" i="3"/>
  <c r="AY20" i="3" s="1"/>
  <c r="BE20" i="3"/>
  <c r="BJ20" i="3"/>
  <c r="BO20" i="3"/>
  <c r="BT20" i="3"/>
  <c r="G21" i="3"/>
  <c r="L21" i="3"/>
  <c r="Q21" i="3"/>
  <c r="V21" i="3"/>
  <c r="AA21" i="3"/>
  <c r="AC21" i="3"/>
  <c r="AE21" i="3"/>
  <c r="AJ21" i="3"/>
  <c r="AJ77" i="3" s="1"/>
  <c r="AP21" i="3"/>
  <c r="AT21" i="3"/>
  <c r="AU21" i="3" s="1"/>
  <c r="AX21" i="3"/>
  <c r="AX77" i="3" s="1"/>
  <c r="BE21" i="3"/>
  <c r="BJ21" i="3"/>
  <c r="BO21" i="3"/>
  <c r="BT21" i="3"/>
  <c r="CA21" i="3"/>
  <c r="G22" i="3"/>
  <c r="L22" i="3"/>
  <c r="Q22" i="3"/>
  <c r="V22" i="3"/>
  <c r="AA22" i="3"/>
  <c r="AC22" i="3"/>
  <c r="AE22" i="3"/>
  <c r="AJ22" i="3"/>
  <c r="AK22" i="3" s="1"/>
  <c r="AP22" i="3"/>
  <c r="AT22" i="3"/>
  <c r="AU22" i="3" s="1"/>
  <c r="AX22" i="3"/>
  <c r="AY22" i="3" s="1"/>
  <c r="BE22" i="3"/>
  <c r="BJ22" i="3"/>
  <c r="BO22" i="3"/>
  <c r="BT22" i="3"/>
  <c r="G23" i="3"/>
  <c r="L23" i="3"/>
  <c r="Q23" i="3"/>
  <c r="V23" i="3"/>
  <c r="AA23" i="3"/>
  <c r="AC23" i="3"/>
  <c r="AC76" i="3" s="1"/>
  <c r="AF76" i="3" s="1"/>
  <c r="AE23" i="3"/>
  <c r="AF23" i="3" s="1"/>
  <c r="AH23" i="3"/>
  <c r="AJ23" i="3"/>
  <c r="AK23" i="3" s="1"/>
  <c r="AL23" i="3"/>
  <c r="AP23" i="3"/>
  <c r="AT23" i="3"/>
  <c r="AX23" i="3"/>
  <c r="AY23" i="3" s="1"/>
  <c r="AZ23" i="3" s="1"/>
  <c r="BE23" i="3"/>
  <c r="BJ23" i="3"/>
  <c r="BO23" i="3"/>
  <c r="BT23" i="3"/>
  <c r="CB76" i="3"/>
  <c r="G24" i="3"/>
  <c r="L24" i="3"/>
  <c r="Q24" i="3"/>
  <c r="V24" i="3"/>
  <c r="AA24" i="3"/>
  <c r="AC24" i="3"/>
  <c r="AE24" i="3"/>
  <c r="AF24" i="3" s="1"/>
  <c r="AJ24" i="3"/>
  <c r="AP24" i="3"/>
  <c r="AT24" i="3"/>
  <c r="AU24" i="3" s="1"/>
  <c r="G25" i="3"/>
  <c r="L25" i="3"/>
  <c r="Q25" i="3"/>
  <c r="V25" i="3"/>
  <c r="AA25" i="3"/>
  <c r="AC25" i="3"/>
  <c r="AE25" i="3"/>
  <c r="AF25" i="3" s="1"/>
  <c r="AG25" i="3"/>
  <c r="AP25" i="3"/>
  <c r="AS25" i="3"/>
  <c r="AV25" i="3"/>
  <c r="BE25" i="3"/>
  <c r="BJ25" i="3"/>
  <c r="BO25" i="3"/>
  <c r="BT25" i="3"/>
  <c r="G26" i="3"/>
  <c r="L26" i="3"/>
  <c r="Q26" i="3"/>
  <c r="V26" i="3"/>
  <c r="AA26" i="3"/>
  <c r="AF26" i="3"/>
  <c r="AJ26" i="3"/>
  <c r="AK26" i="3" s="1"/>
  <c r="AP26" i="3"/>
  <c r="AT26" i="3"/>
  <c r="AX26" i="3"/>
  <c r="AY26" i="3" s="1"/>
  <c r="BE26" i="3"/>
  <c r="BJ26" i="3"/>
  <c r="BO26" i="3"/>
  <c r="BT26" i="3"/>
  <c r="G27" i="3"/>
  <c r="L27" i="3"/>
  <c r="Q27" i="3"/>
  <c r="V27" i="3"/>
  <c r="AA27" i="3"/>
  <c r="AF27" i="3"/>
  <c r="AJ27" i="3"/>
  <c r="AP27" i="3"/>
  <c r="AT27" i="3"/>
  <c r="AU27" i="3" s="1"/>
  <c r="AX27" i="3"/>
  <c r="G28" i="3"/>
  <c r="L28" i="3"/>
  <c r="Q28" i="3"/>
  <c r="V28" i="3"/>
  <c r="AA28" i="3"/>
  <c r="AC28" i="3"/>
  <c r="AC82" i="3" s="1"/>
  <c r="AF82" i="3" s="1"/>
  <c r="AE28" i="3"/>
  <c r="AF28" i="3" s="1"/>
  <c r="AJ28" i="3"/>
  <c r="AK28" i="3"/>
  <c r="AP28" i="3"/>
  <c r="AT28" i="3"/>
  <c r="AU28" i="3" s="1"/>
  <c r="AX28" i="3"/>
  <c r="BE28" i="3"/>
  <c r="BJ28" i="3"/>
  <c r="BO28" i="3"/>
  <c r="BT28" i="3"/>
  <c r="G29" i="3"/>
  <c r="L29" i="3"/>
  <c r="Q29" i="3"/>
  <c r="V29" i="3"/>
  <c r="AA29" i="3"/>
  <c r="AF29" i="3"/>
  <c r="AP29" i="3"/>
  <c r="BE29" i="3"/>
  <c r="BJ29" i="3"/>
  <c r="BO29" i="3"/>
  <c r="BT29" i="3"/>
  <c r="CB83" i="3"/>
  <c r="G30" i="3"/>
  <c r="L30" i="3"/>
  <c r="Q30" i="3"/>
  <c r="V30" i="3"/>
  <c r="AA30" i="3"/>
  <c r="AF30" i="3"/>
  <c r="AJ30" i="3"/>
  <c r="AK30" i="3"/>
  <c r="AO30" i="3"/>
  <c r="AO84" i="3" s="1"/>
  <c r="AT30" i="3"/>
  <c r="AU30" i="3" s="1"/>
  <c r="BE30" i="3"/>
  <c r="BJ30" i="3"/>
  <c r="BO30" i="3"/>
  <c r="BT30" i="3"/>
  <c r="CD30" i="3"/>
  <c r="AG31" i="3"/>
  <c r="AH31" i="3"/>
  <c r="AI31" i="3"/>
  <c r="AG32" i="3"/>
  <c r="AH32" i="3"/>
  <c r="AI32" i="3"/>
  <c r="G35" i="3"/>
  <c r="L35" i="3"/>
  <c r="Q35" i="3"/>
  <c r="V35" i="3"/>
  <c r="AA35" i="3"/>
  <c r="AC35" i="3"/>
  <c r="AC36" i="3"/>
  <c r="AC37" i="3"/>
  <c r="AC38" i="3"/>
  <c r="AC92" i="3" s="1"/>
  <c r="AE35" i="3"/>
  <c r="AF35" i="3" s="1"/>
  <c r="AJ35" i="3"/>
  <c r="AK35" i="3" s="1"/>
  <c r="AM35" i="3"/>
  <c r="AM89" i="3" s="1"/>
  <c r="AP35" i="3"/>
  <c r="AS35" i="3"/>
  <c r="AT35" i="3" s="1"/>
  <c r="AW35" i="3"/>
  <c r="AX35" i="3" s="1"/>
  <c r="AX89" i="3" s="1"/>
  <c r="BA35" i="3"/>
  <c r="BB35" i="3"/>
  <c r="BB89" i="3"/>
  <c r="BG35" i="3"/>
  <c r="BH35" i="3" s="1"/>
  <c r="BL35" i="3"/>
  <c r="BO35" i="3"/>
  <c r="BQ35" i="3"/>
  <c r="BY35" i="3"/>
  <c r="CA35" i="3"/>
  <c r="G36" i="3"/>
  <c r="L36" i="3"/>
  <c r="Q36" i="3"/>
  <c r="V36" i="3"/>
  <c r="AA36" i="3"/>
  <c r="AE36" i="3"/>
  <c r="AE90" i="3" s="1"/>
  <c r="AJ36" i="3"/>
  <c r="AK36" i="3" s="1"/>
  <c r="AM36" i="3"/>
  <c r="AN36" i="3"/>
  <c r="AO36" i="3"/>
  <c r="AO40" i="3"/>
  <c r="AP40" i="3" s="1"/>
  <c r="AT36" i="3"/>
  <c r="AU36" i="3" s="1"/>
  <c r="AW36" i="3"/>
  <c r="BB36" i="3"/>
  <c r="BC36" i="3" s="1"/>
  <c r="BD36" i="3" s="1"/>
  <c r="BG36" i="3"/>
  <c r="BH36" i="3"/>
  <c r="BI36" i="3" s="1"/>
  <c r="BL36" i="3"/>
  <c r="BM36" i="3" s="1"/>
  <c r="BO36" i="3"/>
  <c r="BT36" i="3"/>
  <c r="BY36" i="3"/>
  <c r="CA36" i="3"/>
  <c r="CN36" i="3"/>
  <c r="CS36" i="3"/>
  <c r="F37" i="3"/>
  <c r="G37" i="3"/>
  <c r="H37" i="3"/>
  <c r="H40" i="3"/>
  <c r="I37" i="3"/>
  <c r="J37" i="3"/>
  <c r="K37" i="3"/>
  <c r="L37" i="3"/>
  <c r="M37" i="3"/>
  <c r="N37" i="3"/>
  <c r="O37" i="3"/>
  <c r="P37" i="3"/>
  <c r="Q37" i="3"/>
  <c r="R37" i="3"/>
  <c r="S37" i="3"/>
  <c r="T37" i="3"/>
  <c r="V37" i="3"/>
  <c r="W37" i="3"/>
  <c r="X37" i="3"/>
  <c r="Y37" i="3"/>
  <c r="Z37" i="3"/>
  <c r="Z40" i="3"/>
  <c r="AA40" i="3" s="1"/>
  <c r="AB37" i="3"/>
  <c r="AD37" i="3"/>
  <c r="AE37" i="3"/>
  <c r="AG37" i="3"/>
  <c r="AH37" i="3"/>
  <c r="AI37" i="3"/>
  <c r="AJ37" i="3"/>
  <c r="AK37" i="3" s="1"/>
  <c r="AL37" i="3"/>
  <c r="AM37" i="3"/>
  <c r="AN37" i="3" s="1"/>
  <c r="AO37" i="3"/>
  <c r="AP37" i="3"/>
  <c r="AR37" i="3"/>
  <c r="AR38" i="3"/>
  <c r="AS38" i="3" s="1"/>
  <c r="AW37" i="3"/>
  <c r="AX37" i="3" s="1"/>
  <c r="BA37" i="3"/>
  <c r="BB37" i="3"/>
  <c r="BC37" i="3" s="1"/>
  <c r="BF37" i="3"/>
  <c r="BG37" i="3"/>
  <c r="BH37" i="3"/>
  <c r="BK37" i="3"/>
  <c r="BL37" i="3"/>
  <c r="BL91" i="3"/>
  <c r="BN37" i="3"/>
  <c r="BO37" i="3"/>
  <c r="BP37" i="3"/>
  <c r="BQ37" i="3"/>
  <c r="BR37" i="3"/>
  <c r="BS37" i="3" s="1"/>
  <c r="BT37" i="3" s="1"/>
  <c r="BU37" i="3"/>
  <c r="BX37" i="3"/>
  <c r="BY37" i="3"/>
  <c r="BZ37" i="3"/>
  <c r="BZ40" i="3"/>
  <c r="CA37" i="3"/>
  <c r="G38" i="3"/>
  <c r="L38" i="3"/>
  <c r="Q38" i="3"/>
  <c r="V38" i="3"/>
  <c r="Y38" i="3"/>
  <c r="AA38" i="3"/>
  <c r="AE38" i="3"/>
  <c r="AF38" i="3" s="1"/>
  <c r="AJ38" i="3"/>
  <c r="AK38" i="3" s="1"/>
  <c r="AL38" i="3"/>
  <c r="AM38" i="3"/>
  <c r="AN38" i="3" s="1"/>
  <c r="AO38" i="3"/>
  <c r="AP38" i="3"/>
  <c r="AW38" i="3"/>
  <c r="AX38" i="3" s="1"/>
  <c r="BC38" i="3"/>
  <c r="BG38" i="3"/>
  <c r="BH38" i="3"/>
  <c r="BJ38" i="3"/>
  <c r="BM38" i="3"/>
  <c r="BN38" i="3" s="1"/>
  <c r="BT38" i="3"/>
  <c r="BX38" i="3"/>
  <c r="BY38" i="3"/>
  <c r="CA38" i="3"/>
  <c r="G39" i="3"/>
  <c r="L39" i="3"/>
  <c r="Q39" i="3"/>
  <c r="V39" i="3"/>
  <c r="Y39" i="3"/>
  <c r="Y40" i="3"/>
  <c r="AA39" i="3"/>
  <c r="AF39" i="3"/>
  <c r="AI39" i="3"/>
  <c r="AJ39" i="3"/>
  <c r="AJ93" i="3" s="1"/>
  <c r="AN39" i="3"/>
  <c r="AN93" i="3"/>
  <c r="AP39" i="3"/>
  <c r="AT39" i="3"/>
  <c r="AU39" i="3" s="1"/>
  <c r="AW39" i="3"/>
  <c r="AY39" i="3"/>
  <c r="AZ39" i="3"/>
  <c r="BD39" i="3"/>
  <c r="BE39" i="3" s="1"/>
  <c r="BJ39" i="3"/>
  <c r="BM39" i="3"/>
  <c r="BO39" i="3"/>
  <c r="BT39" i="3"/>
  <c r="BY39" i="3"/>
  <c r="F40" i="3"/>
  <c r="G40" i="3" s="1"/>
  <c r="I40" i="3"/>
  <c r="J40" i="3"/>
  <c r="K40" i="3"/>
  <c r="L40" i="3" s="1"/>
  <c r="M40" i="3"/>
  <c r="N40" i="3"/>
  <c r="O40" i="3"/>
  <c r="P40" i="3"/>
  <c r="Q40" i="3"/>
  <c r="R40" i="3"/>
  <c r="S40" i="3"/>
  <c r="T40" i="3"/>
  <c r="U40" i="3"/>
  <c r="V40" i="3" s="1"/>
  <c r="W40" i="3"/>
  <c r="X40" i="3"/>
  <c r="AB40" i="3"/>
  <c r="AG40" i="3"/>
  <c r="AH40" i="3"/>
  <c r="AI40" i="3"/>
  <c r="AL40" i="3"/>
  <c r="AV40" i="3"/>
  <c r="BA40" i="3"/>
  <c r="BK40" i="3"/>
  <c r="BP40" i="3"/>
  <c r="BU40" i="3"/>
  <c r="BW40" i="3"/>
  <c r="BY40" i="3"/>
  <c r="CA40" i="3"/>
  <c r="CB40" i="3"/>
  <c r="G42" i="3"/>
  <c r="L42" i="3"/>
  <c r="Q42" i="3"/>
  <c r="V42" i="3"/>
  <c r="AA42" i="3"/>
  <c r="AC42" i="3"/>
  <c r="AE42" i="3"/>
  <c r="AE96" i="3" s="1"/>
  <c r="AK42" i="3"/>
  <c r="AM42" i="3"/>
  <c r="AP42" i="3"/>
  <c r="AQ42" i="3"/>
  <c r="AQ96" i="3" s="1"/>
  <c r="AT42" i="3"/>
  <c r="AU42" i="3" s="1"/>
  <c r="AW42" i="3"/>
  <c r="BD42" i="3"/>
  <c r="BD96" i="3" s="1"/>
  <c r="BE96" i="3" s="1"/>
  <c r="BJ42" i="3"/>
  <c r="BO42" i="3"/>
  <c r="BT42" i="3"/>
  <c r="BY42" i="3"/>
  <c r="CA42" i="3"/>
  <c r="G43" i="3"/>
  <c r="L43" i="3"/>
  <c r="Q43" i="3"/>
  <c r="V43" i="3"/>
  <c r="AA43" i="3"/>
  <c r="AF43" i="3"/>
  <c r="AK43" i="3"/>
  <c r="AL43" i="3"/>
  <c r="AM43" i="3"/>
  <c r="AN43" i="3" s="1"/>
  <c r="AP43" i="3"/>
  <c r="AS43" i="3"/>
  <c r="AW43" i="3"/>
  <c r="AX43" i="3" s="1"/>
  <c r="BB43" i="3"/>
  <c r="BG43" i="3"/>
  <c r="BK43" i="3"/>
  <c r="BL43" i="3"/>
  <c r="BM43" i="3"/>
  <c r="BN43" i="3"/>
  <c r="BQ43" i="3"/>
  <c r="BR43" i="3"/>
  <c r="BS43" i="3"/>
  <c r="BT43" i="3"/>
  <c r="BU43" i="3"/>
  <c r="BW43" i="3"/>
  <c r="BW49" i="3"/>
  <c r="BX43" i="3"/>
  <c r="BY43" i="3"/>
  <c r="AM44" i="3"/>
  <c r="AN44" i="3"/>
  <c r="AN98" i="3" s="1"/>
  <c r="AO44" i="3"/>
  <c r="AP44" i="3"/>
  <c r="AQ44" i="3"/>
  <c r="AR44" i="3" s="1"/>
  <c r="AW44" i="3"/>
  <c r="AX44" i="3" s="1"/>
  <c r="BB44" i="3"/>
  <c r="BC44" i="3"/>
  <c r="BD44" i="3" s="1"/>
  <c r="BG44" i="3"/>
  <c r="BH44" i="3" s="1"/>
  <c r="BK44" i="3"/>
  <c r="BL44" i="3"/>
  <c r="BM44" i="3"/>
  <c r="BQ44" i="3"/>
  <c r="BR44" i="3" s="1"/>
  <c r="BU44" i="3"/>
  <c r="BW44" i="3"/>
  <c r="BX44" i="3"/>
  <c r="BY44" i="3"/>
  <c r="AC45" i="3"/>
  <c r="AE45" i="3"/>
  <c r="AJ45" i="3"/>
  <c r="AK45" i="3" s="1"/>
  <c r="AM45" i="3"/>
  <c r="AP45" i="3"/>
  <c r="AS45" i="3"/>
  <c r="AW45" i="3"/>
  <c r="AX45" i="3" s="1"/>
  <c r="BC45" i="3"/>
  <c r="BD45" i="3" s="1"/>
  <c r="BG45" i="3"/>
  <c r="BH45" i="3" s="1"/>
  <c r="BM45" i="3"/>
  <c r="BT45" i="3"/>
  <c r="F46" i="3"/>
  <c r="G46" i="3"/>
  <c r="H46" i="3"/>
  <c r="H49" i="3"/>
  <c r="I46" i="3"/>
  <c r="J46" i="3"/>
  <c r="K46" i="3"/>
  <c r="L46" i="3"/>
  <c r="M46" i="3"/>
  <c r="N46" i="3"/>
  <c r="O46" i="3"/>
  <c r="Q46" i="3"/>
  <c r="R46" i="3"/>
  <c r="S46" i="3"/>
  <c r="T46" i="3"/>
  <c r="U46" i="3"/>
  <c r="V46" i="3"/>
  <c r="W46" i="3"/>
  <c r="X46" i="3"/>
  <c r="Y46" i="3"/>
  <c r="Z46" i="3"/>
  <c r="Z49" i="3"/>
  <c r="AA49" i="3"/>
  <c r="AB46" i="3"/>
  <c r="AC46" i="3"/>
  <c r="AD46" i="3"/>
  <c r="AE46" i="3"/>
  <c r="AG46" i="3"/>
  <c r="AH46" i="3"/>
  <c r="AI46" i="3"/>
  <c r="AJ46" i="3"/>
  <c r="AJ100" i="3" s="1"/>
  <c r="AJ83" i="2" s="1"/>
  <c r="AM46" i="3"/>
  <c r="AP46" i="3"/>
  <c r="AS46" i="3"/>
  <c r="AT46" i="3"/>
  <c r="AU46" i="3" s="1"/>
  <c r="AW46" i="3"/>
  <c r="AX46" i="3" s="1"/>
  <c r="BB46" i="3"/>
  <c r="BF46" i="3"/>
  <c r="BF49" i="3"/>
  <c r="BN46" i="3"/>
  <c r="BT46" i="3"/>
  <c r="BU46" i="3"/>
  <c r="BU49" i="3"/>
  <c r="BY46" i="3"/>
  <c r="BZ46" i="3"/>
  <c r="CA46" i="3"/>
  <c r="G47" i="3"/>
  <c r="L47" i="3"/>
  <c r="Q47" i="3"/>
  <c r="V47" i="3"/>
  <c r="AA47" i="3"/>
  <c r="AF47" i="3"/>
  <c r="AK47" i="3"/>
  <c r="AM47" i="3"/>
  <c r="AN47" i="3"/>
  <c r="AP47" i="3"/>
  <c r="AW47" i="3"/>
  <c r="AX47" i="3" s="1"/>
  <c r="BD47" i="3"/>
  <c r="BE47" i="3" s="1"/>
  <c r="BG47" i="3"/>
  <c r="BH47" i="3" s="1"/>
  <c r="BO47" i="3"/>
  <c r="BT47" i="3"/>
  <c r="BY47" i="3"/>
  <c r="G48" i="3"/>
  <c r="L48" i="3"/>
  <c r="Q48" i="3"/>
  <c r="V48" i="3"/>
  <c r="AA48" i="3"/>
  <c r="AF48" i="3"/>
  <c r="AK48" i="3"/>
  <c r="AP48" i="3"/>
  <c r="AR48" i="3"/>
  <c r="AS48" i="3" s="1"/>
  <c r="AW48" i="3"/>
  <c r="AX48" i="3"/>
  <c r="BB48" i="3"/>
  <c r="BC48" i="3" s="1"/>
  <c r="BF48" i="3"/>
  <c r="BG48" i="3"/>
  <c r="BH48" i="3" s="1"/>
  <c r="BI48" i="3"/>
  <c r="BJ48" i="3" s="1"/>
  <c r="BL48" i="3"/>
  <c r="BL102" i="3" s="1"/>
  <c r="BQ48" i="3"/>
  <c r="BR48" i="3" s="1"/>
  <c r="BS48" i="3" s="1"/>
  <c r="BT48" i="3" s="1"/>
  <c r="BY48" i="3"/>
  <c r="CA48" i="3"/>
  <c r="D49" i="3"/>
  <c r="D51" i="3"/>
  <c r="F49" i="3"/>
  <c r="G49" i="3" s="1"/>
  <c r="I49" i="3"/>
  <c r="J49" i="3"/>
  <c r="K49" i="3"/>
  <c r="L49" i="3" s="1"/>
  <c r="M49" i="3"/>
  <c r="N49" i="3"/>
  <c r="O49" i="3"/>
  <c r="P49" i="3"/>
  <c r="Q49" i="3" s="1"/>
  <c r="R49" i="3"/>
  <c r="S49" i="3"/>
  <c r="T49" i="3"/>
  <c r="W49" i="3"/>
  <c r="X49" i="3"/>
  <c r="Y49" i="3"/>
  <c r="AB49" i="3"/>
  <c r="AG49" i="3"/>
  <c r="AH49" i="3"/>
  <c r="AL49" i="3"/>
  <c r="AV49" i="3"/>
  <c r="BA49" i="3"/>
  <c r="BK49" i="3"/>
  <c r="BP49" i="3"/>
  <c r="BZ49" i="3"/>
  <c r="D50" i="3"/>
  <c r="G50" i="3"/>
  <c r="L50" i="3"/>
  <c r="Q50" i="3"/>
  <c r="V50" i="3"/>
  <c r="W50" i="3"/>
  <c r="X50" i="3"/>
  <c r="Y50" i="3"/>
  <c r="Z50" i="3"/>
  <c r="AA50" i="3"/>
  <c r="AC50" i="3"/>
  <c r="AE50" i="3"/>
  <c r="AJ50" i="3"/>
  <c r="AK50" i="3"/>
  <c r="AM50" i="3"/>
  <c r="AS50" i="3"/>
  <c r="AT50" i="3" s="1"/>
  <c r="AU50" i="3" s="1"/>
  <c r="AW50" i="3"/>
  <c r="AX50" i="3" s="1"/>
  <c r="BB50" i="3"/>
  <c r="BC50" i="3" s="1"/>
  <c r="BG50" i="3"/>
  <c r="BL50" i="3"/>
  <c r="BM50" i="3" s="1"/>
  <c r="BQ50" i="3"/>
  <c r="BR50" i="3" s="1"/>
  <c r="BY50" i="3"/>
  <c r="CA50" i="3"/>
  <c r="C51" i="3"/>
  <c r="C53" i="3" s="1"/>
  <c r="E51" i="3"/>
  <c r="E52" i="3"/>
  <c r="D52" i="3"/>
  <c r="F52" i="3"/>
  <c r="G52" i="3" s="1"/>
  <c r="W52" i="3"/>
  <c r="X52" i="3"/>
  <c r="Y52" i="3"/>
  <c r="Z52" i="3" s="1"/>
  <c r="AA52" i="3" s="1"/>
  <c r="J60" i="3"/>
  <c r="R60" i="3"/>
  <c r="AD60" i="3"/>
  <c r="AL60" i="3"/>
  <c r="AM60" i="3"/>
  <c r="AY60" i="3"/>
  <c r="BJ60" i="3"/>
  <c r="BR60" i="3"/>
  <c r="CM60" i="3"/>
  <c r="CQ60" i="3"/>
  <c r="AL62" i="3"/>
  <c r="AM62" i="3"/>
  <c r="BA62" i="3"/>
  <c r="BA88" i="2"/>
  <c r="BB62" i="3"/>
  <c r="BB88" i="2" s="1"/>
  <c r="BC62" i="3"/>
  <c r="BC88" i="2" s="1"/>
  <c r="BD62" i="3"/>
  <c r="BF62" i="3"/>
  <c r="BG62" i="3"/>
  <c r="BG88" i="2" s="1"/>
  <c r="BH62" i="3"/>
  <c r="BH88" i="2" s="1"/>
  <c r="BI62" i="3"/>
  <c r="BK62" i="3"/>
  <c r="BL62" i="3"/>
  <c r="BM62" i="3"/>
  <c r="BM88" i="2" s="1"/>
  <c r="BN62" i="3"/>
  <c r="BP62" i="3"/>
  <c r="BQ62" i="3"/>
  <c r="BQ88" i="2" s="1"/>
  <c r="BR62" i="3"/>
  <c r="BR88" i="2" s="1"/>
  <c r="BS62" i="3"/>
  <c r="BU62" i="3"/>
  <c r="BV62" i="3"/>
  <c r="BW62" i="3"/>
  <c r="BW88" i="2" s="1"/>
  <c r="BX62" i="3"/>
  <c r="BZ62" i="3"/>
  <c r="CA62" i="3"/>
  <c r="CA88" i="2" s="1"/>
  <c r="C64" i="3"/>
  <c r="D64" i="3"/>
  <c r="E64" i="3"/>
  <c r="F64" i="3"/>
  <c r="H64" i="3"/>
  <c r="I64" i="3"/>
  <c r="J64" i="3"/>
  <c r="K64" i="3"/>
  <c r="M64" i="3"/>
  <c r="N64" i="3"/>
  <c r="O64" i="3"/>
  <c r="P64" i="3"/>
  <c r="R64" i="3"/>
  <c r="S64" i="3"/>
  <c r="T64" i="3"/>
  <c r="U64" i="3"/>
  <c r="W64" i="3"/>
  <c r="X64" i="3"/>
  <c r="Y64" i="3"/>
  <c r="Z64" i="3"/>
  <c r="AL64" i="3"/>
  <c r="AV64" i="3"/>
  <c r="BA64" i="3"/>
  <c r="BB64" i="3"/>
  <c r="BC64" i="3"/>
  <c r="BD64" i="3"/>
  <c r="BF64" i="3"/>
  <c r="BG64" i="3"/>
  <c r="BH64" i="3"/>
  <c r="BG218" i="4" s="1"/>
  <c r="BI64" i="3"/>
  <c r="BK64" i="3"/>
  <c r="BL64" i="3"/>
  <c r="BM64" i="3"/>
  <c r="BL218" i="4" s="1"/>
  <c r="BN64" i="3"/>
  <c r="BP64" i="3"/>
  <c r="BQ64" i="3"/>
  <c r="BR64" i="3"/>
  <c r="BQ218" i="4" s="1"/>
  <c r="BS64" i="3"/>
  <c r="BU64" i="3"/>
  <c r="BV64" i="3"/>
  <c r="BW64" i="3"/>
  <c r="BX64" i="3"/>
  <c r="BZ64" i="3"/>
  <c r="CA64" i="3"/>
  <c r="C65" i="3"/>
  <c r="D65" i="3"/>
  <c r="E65" i="3"/>
  <c r="F65" i="3"/>
  <c r="H65" i="3"/>
  <c r="I65" i="3"/>
  <c r="J65" i="3"/>
  <c r="K65" i="3"/>
  <c r="M65" i="3"/>
  <c r="N65" i="3"/>
  <c r="O65" i="3"/>
  <c r="P65" i="3"/>
  <c r="R65" i="3"/>
  <c r="S65" i="3"/>
  <c r="T65" i="3"/>
  <c r="U65" i="3"/>
  <c r="W65" i="3"/>
  <c r="X65" i="3"/>
  <c r="Y65" i="3"/>
  <c r="Z65" i="3"/>
  <c r="AQ65" i="3"/>
  <c r="AV65" i="3"/>
  <c r="AW65" i="3"/>
  <c r="AX65" i="3"/>
  <c r="AY65" i="3"/>
  <c r="BA65" i="3"/>
  <c r="BB65" i="3"/>
  <c r="BC65" i="3"/>
  <c r="BD65" i="3"/>
  <c r="BF65" i="3"/>
  <c r="BG65" i="3"/>
  <c r="BH65" i="3"/>
  <c r="BI65" i="3"/>
  <c r="BK65" i="3"/>
  <c r="BL65" i="3"/>
  <c r="BM65" i="3"/>
  <c r="BN65" i="3"/>
  <c r="BP65" i="3"/>
  <c r="BQ65" i="3"/>
  <c r="BR65" i="3"/>
  <c r="BS65" i="3"/>
  <c r="BU65" i="3"/>
  <c r="BV65" i="3"/>
  <c r="BW65" i="3"/>
  <c r="BX65" i="3"/>
  <c r="BZ65" i="3"/>
  <c r="CA65" i="3"/>
  <c r="CB65" i="3"/>
  <c r="CC65" i="3"/>
  <c r="C66" i="3"/>
  <c r="D66" i="3"/>
  <c r="E66" i="3"/>
  <c r="F66" i="3"/>
  <c r="H66" i="3"/>
  <c r="I66" i="3"/>
  <c r="J66" i="3"/>
  <c r="K66" i="3"/>
  <c r="M66" i="3"/>
  <c r="N66" i="3"/>
  <c r="O66" i="3"/>
  <c r="P66" i="3"/>
  <c r="R66" i="3"/>
  <c r="S66" i="3"/>
  <c r="T66" i="3"/>
  <c r="U66" i="3"/>
  <c r="W66" i="3"/>
  <c r="X66" i="3"/>
  <c r="Y66" i="3"/>
  <c r="Z66" i="3"/>
  <c r="AB66" i="3"/>
  <c r="AG66" i="3"/>
  <c r="AH66" i="3"/>
  <c r="AI66" i="3"/>
  <c r="AJ66" i="3"/>
  <c r="AL66" i="3"/>
  <c r="AM66" i="3"/>
  <c r="AN66" i="3"/>
  <c r="AO66" i="3"/>
  <c r="AQ66" i="3"/>
  <c r="AR66" i="3"/>
  <c r="AS66" i="3"/>
  <c r="AV66" i="3"/>
  <c r="AW66" i="3"/>
  <c r="AX66" i="3"/>
  <c r="AY66" i="3"/>
  <c r="BA66" i="3"/>
  <c r="BB66" i="3"/>
  <c r="BC66" i="3"/>
  <c r="BD66" i="3"/>
  <c r="BF66" i="3"/>
  <c r="BG66" i="3"/>
  <c r="BH66" i="3"/>
  <c r="BI66" i="3"/>
  <c r="BK66" i="3"/>
  <c r="BL66" i="3"/>
  <c r="BM66" i="3"/>
  <c r="BN66" i="3"/>
  <c r="BP66" i="3"/>
  <c r="BQ66" i="3"/>
  <c r="BR66" i="3"/>
  <c r="BS66" i="3"/>
  <c r="BU66" i="3"/>
  <c r="BZ66" i="3"/>
  <c r="CA66" i="3"/>
  <c r="C67" i="3"/>
  <c r="D67" i="3"/>
  <c r="E67" i="3"/>
  <c r="F67" i="3"/>
  <c r="H67" i="3"/>
  <c r="I67" i="3"/>
  <c r="J67" i="3"/>
  <c r="K67" i="3"/>
  <c r="M67" i="3"/>
  <c r="N67" i="3"/>
  <c r="O67" i="3"/>
  <c r="P67" i="3"/>
  <c r="R67" i="3"/>
  <c r="S67" i="3"/>
  <c r="T67" i="3"/>
  <c r="U67" i="3"/>
  <c r="W67" i="3"/>
  <c r="X67" i="3"/>
  <c r="Y67" i="3"/>
  <c r="Z67" i="3"/>
  <c r="AB67" i="3"/>
  <c r="AG67" i="3"/>
  <c r="AG77" i="2" s="1"/>
  <c r="AH67" i="3"/>
  <c r="AI67" i="3"/>
  <c r="AI77" i="2" s="1"/>
  <c r="AL67" i="3"/>
  <c r="AL77" i="2"/>
  <c r="AM67" i="3"/>
  <c r="AN67" i="3"/>
  <c r="AO67" i="3"/>
  <c r="AQ67" i="3"/>
  <c r="AQ77" i="2" s="1"/>
  <c r="AT77" i="2" s="1"/>
  <c r="AU77" i="2" s="1"/>
  <c r="AR67" i="3"/>
  <c r="AS67" i="3"/>
  <c r="AV67" i="3"/>
  <c r="AW67" i="3"/>
  <c r="AW77" i="2" s="1"/>
  <c r="BA67" i="3"/>
  <c r="BB67" i="3"/>
  <c r="BC67" i="3"/>
  <c r="BD67" i="3"/>
  <c r="BD77" i="2" s="1"/>
  <c r="BF67" i="3"/>
  <c r="BG67" i="3"/>
  <c r="BH67" i="3"/>
  <c r="BI67" i="3"/>
  <c r="BI77" i="2" s="1"/>
  <c r="BK67" i="3"/>
  <c r="BL67" i="3"/>
  <c r="BM67" i="3"/>
  <c r="BN67" i="3"/>
  <c r="BN77" i="2"/>
  <c r="BP67" i="3"/>
  <c r="BQ67" i="3"/>
  <c r="BR67" i="3"/>
  <c r="BS67" i="3"/>
  <c r="BS77" i="2" s="1"/>
  <c r="BU67" i="3"/>
  <c r="BU77" i="2" s="1"/>
  <c r="BV67" i="3"/>
  <c r="BW67" i="3"/>
  <c r="BX67" i="3"/>
  <c r="BX77" i="2" s="1"/>
  <c r="BZ67" i="3"/>
  <c r="BZ77" i="2" s="1"/>
  <c r="CA67" i="3"/>
  <c r="CB67" i="3"/>
  <c r="C68" i="3"/>
  <c r="D68" i="3"/>
  <c r="E68" i="3"/>
  <c r="F68" i="3"/>
  <c r="H68" i="3"/>
  <c r="I68" i="3"/>
  <c r="J68" i="3"/>
  <c r="K68" i="3"/>
  <c r="M68" i="3"/>
  <c r="N68" i="3"/>
  <c r="O68" i="3"/>
  <c r="P68" i="3"/>
  <c r="R68" i="3"/>
  <c r="S68" i="3"/>
  <c r="T68" i="3"/>
  <c r="U68" i="3"/>
  <c r="W68" i="3"/>
  <c r="X68" i="3"/>
  <c r="Y68" i="3"/>
  <c r="Z68" i="3"/>
  <c r="AB68" i="3"/>
  <c r="AE68" i="3"/>
  <c r="AG68" i="3"/>
  <c r="AH68" i="3"/>
  <c r="AI68" i="3"/>
  <c r="AJ68" i="3"/>
  <c r="AL68" i="3"/>
  <c r="AM68" i="3"/>
  <c r="AN68" i="3"/>
  <c r="AO68" i="3"/>
  <c r="AQ68" i="3"/>
  <c r="AR68" i="3"/>
  <c r="AS68" i="3"/>
  <c r="AV68" i="3"/>
  <c r="AW68" i="3"/>
  <c r="AX68" i="3"/>
  <c r="BA68" i="3"/>
  <c r="BB68" i="3"/>
  <c r="BC68" i="3"/>
  <c r="BD68" i="3"/>
  <c r="BF68" i="3"/>
  <c r="BG68" i="3"/>
  <c r="BH68" i="3"/>
  <c r="BI68" i="3"/>
  <c r="BK68" i="3"/>
  <c r="BL68" i="3"/>
  <c r="BM68" i="3"/>
  <c r="BN68" i="3"/>
  <c r="BP68" i="3"/>
  <c r="BQ68" i="3"/>
  <c r="BR68" i="3"/>
  <c r="BS68" i="3"/>
  <c r="BU68" i="3"/>
  <c r="BV68" i="3"/>
  <c r="BW68" i="3"/>
  <c r="BX68" i="3"/>
  <c r="BZ68" i="3"/>
  <c r="CA68" i="3"/>
  <c r="CB68" i="3"/>
  <c r="C69" i="3"/>
  <c r="D69" i="3"/>
  <c r="E69" i="3"/>
  <c r="F69" i="3"/>
  <c r="H69" i="3"/>
  <c r="I69" i="3"/>
  <c r="J69" i="3"/>
  <c r="K69" i="3"/>
  <c r="M69" i="3"/>
  <c r="N69" i="3"/>
  <c r="O69" i="3"/>
  <c r="P69" i="3"/>
  <c r="R69" i="3"/>
  <c r="S69" i="3"/>
  <c r="T69" i="3"/>
  <c r="U69" i="3"/>
  <c r="W69" i="3"/>
  <c r="X69" i="3"/>
  <c r="Y69" i="3"/>
  <c r="Z69" i="3"/>
  <c r="AB69" i="3"/>
  <c r="AD69" i="3"/>
  <c r="AE69" i="3"/>
  <c r="AG69" i="3"/>
  <c r="AH69" i="3"/>
  <c r="AI69" i="3"/>
  <c r="AJ69" i="3"/>
  <c r="AL69" i="3"/>
  <c r="AM69" i="3"/>
  <c r="AN69" i="3"/>
  <c r="AO69" i="3"/>
  <c r="AQ69" i="3"/>
  <c r="AR69" i="3"/>
  <c r="AS69" i="3"/>
  <c r="AV69" i="3"/>
  <c r="AW69" i="3"/>
  <c r="BA69" i="3"/>
  <c r="BB69" i="3"/>
  <c r="BC69" i="3"/>
  <c r="BD69" i="3"/>
  <c r="BF69" i="3"/>
  <c r="BG69" i="3"/>
  <c r="BH69" i="3"/>
  <c r="BI69" i="3"/>
  <c r="BK69" i="3"/>
  <c r="BL69" i="3"/>
  <c r="BM69" i="3"/>
  <c r="BN69" i="3"/>
  <c r="BP69" i="3"/>
  <c r="BQ69" i="3"/>
  <c r="BR69" i="3"/>
  <c r="BS69" i="3"/>
  <c r="BU69" i="3"/>
  <c r="BV69" i="3"/>
  <c r="BZ69" i="3"/>
  <c r="CA69" i="3"/>
  <c r="CB69" i="3"/>
  <c r="CC69" i="3"/>
  <c r="C70" i="3"/>
  <c r="D70" i="3"/>
  <c r="E70" i="3"/>
  <c r="F70" i="3"/>
  <c r="H70" i="3"/>
  <c r="I70" i="3"/>
  <c r="J70" i="3"/>
  <c r="K70" i="3"/>
  <c r="J219" i="4" s="1"/>
  <c r="M70" i="3"/>
  <c r="N70" i="3"/>
  <c r="O70" i="3"/>
  <c r="N219" i="4" s="1"/>
  <c r="P70" i="3"/>
  <c r="R70" i="3"/>
  <c r="S70" i="3"/>
  <c r="T70" i="3"/>
  <c r="S219" i="4" s="1"/>
  <c r="U70" i="3"/>
  <c r="W70" i="3"/>
  <c r="X70" i="3"/>
  <c r="Y70" i="3"/>
  <c r="X219" i="4" s="1"/>
  <c r="Z70" i="3"/>
  <c r="Y219" i="4" s="1"/>
  <c r="AB70" i="3"/>
  <c r="AB76" i="2"/>
  <c r="AE70" i="3"/>
  <c r="AD219" i="4" s="1"/>
  <c r="AG70" i="3"/>
  <c r="AF219" i="4" s="1"/>
  <c r="AH70" i="3"/>
  <c r="AI70" i="3"/>
  <c r="AL70" i="3"/>
  <c r="AK219" i="4" s="1"/>
  <c r="AM70" i="3"/>
  <c r="AM76" i="2" s="1"/>
  <c r="AN70" i="3"/>
  <c r="AO70" i="3"/>
  <c r="AQ70" i="3"/>
  <c r="AP219" i="4" s="1"/>
  <c r="AR70" i="3"/>
  <c r="AS70" i="3"/>
  <c r="AV70" i="3"/>
  <c r="AW70" i="3"/>
  <c r="BA70" i="3"/>
  <c r="BB70" i="3"/>
  <c r="BC70" i="3"/>
  <c r="BD70" i="3"/>
  <c r="BF70" i="3"/>
  <c r="BE219" i="4" s="1"/>
  <c r="BG70" i="3"/>
  <c r="BH70" i="3"/>
  <c r="BI70" i="3"/>
  <c r="BK70" i="3"/>
  <c r="BJ219" i="4"/>
  <c r="BL70" i="3"/>
  <c r="BM70" i="3"/>
  <c r="BN70" i="3"/>
  <c r="BM219" i="4"/>
  <c r="BP70" i="3"/>
  <c r="BQ70" i="3"/>
  <c r="BR70" i="3"/>
  <c r="BS70" i="3"/>
  <c r="BR219" i="4" s="1"/>
  <c r="BU70" i="3"/>
  <c r="BV70" i="3"/>
  <c r="BW70" i="3"/>
  <c r="BX70" i="3"/>
  <c r="BW219" i="4" s="1"/>
  <c r="BZ70" i="3"/>
  <c r="BY219" i="4"/>
  <c r="CA70" i="3"/>
  <c r="CB70" i="3"/>
  <c r="CC70" i="3"/>
  <c r="CB219" i="4"/>
  <c r="A71" i="3"/>
  <c r="C71" i="3"/>
  <c r="D71" i="3"/>
  <c r="E71" i="3"/>
  <c r="F71" i="3"/>
  <c r="H71" i="3"/>
  <c r="I71" i="3"/>
  <c r="J71" i="3"/>
  <c r="K71" i="3"/>
  <c r="M71" i="3"/>
  <c r="N71" i="3"/>
  <c r="O71" i="3"/>
  <c r="P71" i="3"/>
  <c r="R71" i="3"/>
  <c r="S71" i="3"/>
  <c r="T71" i="3"/>
  <c r="U71" i="3"/>
  <c r="W71" i="3"/>
  <c r="X71" i="3"/>
  <c r="Y71" i="3"/>
  <c r="Z71" i="3"/>
  <c r="AB71" i="3"/>
  <c r="AC71" i="3"/>
  <c r="AD71" i="3"/>
  <c r="AE71" i="3"/>
  <c r="AL71" i="3"/>
  <c r="AQ71" i="3"/>
  <c r="AR71" i="3"/>
  <c r="AS71" i="3"/>
  <c r="AV71" i="3"/>
  <c r="AW71" i="3"/>
  <c r="BA71" i="3"/>
  <c r="BB71" i="3"/>
  <c r="BC71" i="3"/>
  <c r="BD71" i="3"/>
  <c r="BF71" i="3"/>
  <c r="BG71" i="3"/>
  <c r="BH71" i="3"/>
  <c r="BI71" i="3"/>
  <c r="BK71" i="3"/>
  <c r="BL71" i="3"/>
  <c r="BM71" i="3"/>
  <c r="BN71" i="3"/>
  <c r="BP71" i="3"/>
  <c r="BQ71" i="3"/>
  <c r="BR71" i="3"/>
  <c r="BS71" i="3"/>
  <c r="BU71" i="3"/>
  <c r="BV71" i="3"/>
  <c r="BW71" i="3"/>
  <c r="BX71" i="3"/>
  <c r="BZ71" i="3"/>
  <c r="CA71" i="3"/>
  <c r="CB71" i="3"/>
  <c r="CC71" i="3"/>
  <c r="C72" i="3"/>
  <c r="D72" i="3"/>
  <c r="E72" i="3"/>
  <c r="F72" i="3"/>
  <c r="H72" i="3"/>
  <c r="I72" i="3"/>
  <c r="J72" i="3"/>
  <c r="K72" i="3"/>
  <c r="M72" i="3"/>
  <c r="N72" i="3"/>
  <c r="O72" i="3"/>
  <c r="P72" i="3"/>
  <c r="R72" i="3"/>
  <c r="S72" i="3"/>
  <c r="T72" i="3"/>
  <c r="U72" i="3"/>
  <c r="W72" i="3"/>
  <c r="X72" i="3"/>
  <c r="Y72" i="3"/>
  <c r="Z72" i="3"/>
  <c r="AB72" i="3"/>
  <c r="AG72" i="3"/>
  <c r="AH72" i="3"/>
  <c r="AI72" i="3"/>
  <c r="AL72" i="3"/>
  <c r="AM72" i="3"/>
  <c r="AN72" i="3"/>
  <c r="AO72" i="3"/>
  <c r="AQ72" i="3"/>
  <c r="AR72" i="3"/>
  <c r="AS72" i="3"/>
  <c r="AV72" i="3"/>
  <c r="AW72" i="3"/>
  <c r="BA72" i="3"/>
  <c r="BB72" i="3"/>
  <c r="BC72" i="3"/>
  <c r="BD72" i="3"/>
  <c r="BF72" i="3"/>
  <c r="BG72" i="3"/>
  <c r="BH72" i="3"/>
  <c r="BI72" i="3"/>
  <c r="BK72" i="3"/>
  <c r="BL72" i="3"/>
  <c r="BM72" i="3"/>
  <c r="BN72" i="3"/>
  <c r="BP72" i="3"/>
  <c r="BQ72" i="3"/>
  <c r="BR72" i="3"/>
  <c r="BS72" i="3"/>
  <c r="BU72" i="3"/>
  <c r="BV72" i="3"/>
  <c r="BW72" i="3"/>
  <c r="BX72" i="3"/>
  <c r="BZ72" i="3"/>
  <c r="CA72" i="3"/>
  <c r="CB72" i="3"/>
  <c r="CC72" i="3"/>
  <c r="C73" i="3"/>
  <c r="D73" i="3"/>
  <c r="E73" i="3"/>
  <c r="F73" i="3"/>
  <c r="H73" i="3"/>
  <c r="I73" i="3"/>
  <c r="J73" i="3"/>
  <c r="K73" i="3"/>
  <c r="M73" i="3"/>
  <c r="N73" i="3"/>
  <c r="O73" i="3"/>
  <c r="P73" i="3"/>
  <c r="R73" i="3"/>
  <c r="S73" i="3"/>
  <c r="T73" i="3"/>
  <c r="U73" i="3"/>
  <c r="W73" i="3"/>
  <c r="X73" i="3"/>
  <c r="Y73" i="3"/>
  <c r="Z73" i="3"/>
  <c r="AB73" i="3"/>
  <c r="AD73" i="3"/>
  <c r="AE73" i="3"/>
  <c r="AG73" i="3"/>
  <c r="AH73" i="3"/>
  <c r="AI73" i="3"/>
  <c r="AJ73" i="3"/>
  <c r="AL73" i="3"/>
  <c r="AM73" i="3"/>
  <c r="AN73" i="3"/>
  <c r="AO73" i="3"/>
  <c r="AQ73" i="3"/>
  <c r="AR73" i="3"/>
  <c r="AS73" i="3"/>
  <c r="AV73" i="3"/>
  <c r="AW73" i="3"/>
  <c r="BA73" i="3"/>
  <c r="BB73" i="3"/>
  <c r="BC73" i="3"/>
  <c r="BD73" i="3"/>
  <c r="BF73" i="3"/>
  <c r="BG73" i="3"/>
  <c r="BH73" i="3"/>
  <c r="BI73" i="3"/>
  <c r="BK73" i="3"/>
  <c r="BL73" i="3"/>
  <c r="BM73" i="3"/>
  <c r="BN73" i="3"/>
  <c r="BP73" i="3"/>
  <c r="BQ73" i="3"/>
  <c r="BR73" i="3"/>
  <c r="BS73" i="3"/>
  <c r="BU73" i="3"/>
  <c r="BV73" i="3"/>
  <c r="BW73" i="3"/>
  <c r="BX73" i="3"/>
  <c r="BZ73" i="3"/>
  <c r="CA73" i="3"/>
  <c r="CB73" i="3"/>
  <c r="C74" i="3"/>
  <c r="D74" i="3"/>
  <c r="E74" i="3"/>
  <c r="F74" i="3"/>
  <c r="H74" i="3"/>
  <c r="I74" i="3"/>
  <c r="J74" i="3"/>
  <c r="K74" i="3"/>
  <c r="M74" i="3"/>
  <c r="N74" i="3"/>
  <c r="N75" i="3"/>
  <c r="N76" i="3"/>
  <c r="N77" i="3"/>
  <c r="N78" i="3"/>
  <c r="N79" i="3"/>
  <c r="O74" i="3"/>
  <c r="P74" i="3"/>
  <c r="R74" i="3"/>
  <c r="S74" i="3"/>
  <c r="S75" i="3"/>
  <c r="S76" i="3"/>
  <c r="S77" i="3"/>
  <c r="S78" i="3"/>
  <c r="S79" i="3"/>
  <c r="T74" i="3"/>
  <c r="U74" i="3"/>
  <c r="W74" i="3"/>
  <c r="X74" i="3"/>
  <c r="X75" i="3"/>
  <c r="X76" i="3"/>
  <c r="X77" i="3"/>
  <c r="X78" i="3"/>
  <c r="X79" i="3"/>
  <c r="Y74" i="3"/>
  <c r="Z74" i="3"/>
  <c r="AB74" i="3"/>
  <c r="AC79" i="3"/>
  <c r="AE74" i="3"/>
  <c r="AG74" i="3"/>
  <c r="AH74" i="3"/>
  <c r="AI74" i="3"/>
  <c r="AL74" i="3"/>
  <c r="AM74" i="3"/>
  <c r="AN74" i="3"/>
  <c r="AO74" i="3"/>
  <c r="AQ74" i="3"/>
  <c r="AR74" i="3"/>
  <c r="AS74" i="3"/>
  <c r="AV74" i="3"/>
  <c r="AW74" i="3"/>
  <c r="BA74" i="3"/>
  <c r="BB74" i="3"/>
  <c r="BC74" i="3"/>
  <c r="BD74" i="3"/>
  <c r="BF74" i="3"/>
  <c r="BG74" i="3"/>
  <c r="BH74" i="3"/>
  <c r="BI74" i="3"/>
  <c r="BK74" i="3"/>
  <c r="BL74" i="3"/>
  <c r="BM74" i="3"/>
  <c r="BN74" i="3"/>
  <c r="BP74" i="3"/>
  <c r="BQ74" i="3"/>
  <c r="BR74" i="3"/>
  <c r="BS74" i="3"/>
  <c r="BU74" i="3"/>
  <c r="BV74" i="3"/>
  <c r="BW74" i="3"/>
  <c r="BX74" i="3"/>
  <c r="BZ74" i="3"/>
  <c r="CA74" i="3"/>
  <c r="C75" i="3"/>
  <c r="D75" i="3"/>
  <c r="E75" i="3"/>
  <c r="F75" i="3"/>
  <c r="H75" i="3"/>
  <c r="I75" i="3"/>
  <c r="J75" i="3"/>
  <c r="K75" i="3"/>
  <c r="M75" i="3"/>
  <c r="O75" i="3"/>
  <c r="O76" i="3"/>
  <c r="O77" i="3"/>
  <c r="O78" i="3"/>
  <c r="O79" i="3"/>
  <c r="P75" i="3"/>
  <c r="R75" i="3"/>
  <c r="T75" i="3"/>
  <c r="T76" i="3"/>
  <c r="T77" i="3"/>
  <c r="T78" i="3"/>
  <c r="T79" i="3"/>
  <c r="U75" i="3"/>
  <c r="W75" i="3"/>
  <c r="Y75" i="3"/>
  <c r="Y76" i="3"/>
  <c r="Y77" i="3"/>
  <c r="Y78" i="3"/>
  <c r="Y79" i="3"/>
  <c r="Z75" i="3"/>
  <c r="AB75" i="3"/>
  <c r="AG75" i="3"/>
  <c r="AH75" i="3"/>
  <c r="AI75" i="3"/>
  <c r="AI76" i="3"/>
  <c r="AI77" i="3"/>
  <c r="AI78" i="3"/>
  <c r="AI79" i="3"/>
  <c r="AL75" i="3"/>
  <c r="AM75" i="3"/>
  <c r="AN75" i="3"/>
  <c r="AO75" i="3"/>
  <c r="AQ75" i="3"/>
  <c r="AR75" i="3"/>
  <c r="AS75" i="3"/>
  <c r="AT75" i="3"/>
  <c r="AV75" i="3"/>
  <c r="AW75" i="3"/>
  <c r="BA75" i="3"/>
  <c r="BB75" i="3"/>
  <c r="BC75" i="3"/>
  <c r="BD75" i="3"/>
  <c r="BF75" i="3"/>
  <c r="BG75" i="3"/>
  <c r="BH75" i="3"/>
  <c r="BI75" i="3"/>
  <c r="BK75" i="3"/>
  <c r="BL75" i="3"/>
  <c r="BM75" i="3"/>
  <c r="BN75" i="3"/>
  <c r="BP75" i="3"/>
  <c r="BQ75" i="3"/>
  <c r="BR75" i="3"/>
  <c r="BS75" i="3"/>
  <c r="BU75" i="3"/>
  <c r="BV75" i="3"/>
  <c r="BW75" i="3"/>
  <c r="BX75" i="3"/>
  <c r="BX76" i="3"/>
  <c r="BX77" i="3"/>
  <c r="BX78" i="3"/>
  <c r="BX79" i="3"/>
  <c r="BZ75" i="3"/>
  <c r="CA75" i="3"/>
  <c r="CB75" i="3"/>
  <c r="C76" i="3"/>
  <c r="D76" i="3"/>
  <c r="E76" i="3"/>
  <c r="F76" i="3"/>
  <c r="H76" i="3"/>
  <c r="H77" i="3"/>
  <c r="H78" i="3"/>
  <c r="H79" i="3"/>
  <c r="I76" i="3"/>
  <c r="J76" i="3"/>
  <c r="K76" i="3"/>
  <c r="M76" i="3"/>
  <c r="M77" i="3"/>
  <c r="M78" i="3"/>
  <c r="M79" i="3"/>
  <c r="P76" i="3"/>
  <c r="R76" i="3"/>
  <c r="R77" i="3"/>
  <c r="R78" i="3"/>
  <c r="R79" i="3"/>
  <c r="U76" i="3"/>
  <c r="W76" i="3"/>
  <c r="W77" i="3"/>
  <c r="W78" i="3"/>
  <c r="W79" i="3"/>
  <c r="Z76" i="3"/>
  <c r="AB76" i="3"/>
  <c r="AB77" i="3"/>
  <c r="AB78" i="3"/>
  <c r="AB79" i="3"/>
  <c r="AG76" i="3"/>
  <c r="AH76" i="3"/>
  <c r="AL76" i="3"/>
  <c r="AL77" i="3"/>
  <c r="AL78" i="3"/>
  <c r="AL79" i="3"/>
  <c r="AM76" i="3"/>
  <c r="AN76" i="3"/>
  <c r="AO76" i="3"/>
  <c r="AQ76" i="3"/>
  <c r="AQ77" i="3"/>
  <c r="AQ78" i="3"/>
  <c r="AQ79" i="3"/>
  <c r="AR76" i="3"/>
  <c r="AS76" i="3"/>
  <c r="AV76" i="3"/>
  <c r="AW76" i="3"/>
  <c r="BA76" i="3"/>
  <c r="BB76" i="3"/>
  <c r="BC76" i="3"/>
  <c r="BD76" i="3"/>
  <c r="BF76" i="3"/>
  <c r="BG76" i="3"/>
  <c r="BH76" i="3"/>
  <c r="BI76" i="3"/>
  <c r="BK76" i="3"/>
  <c r="BL76" i="3"/>
  <c r="BM76" i="3"/>
  <c r="BN76" i="3"/>
  <c r="BP76" i="3"/>
  <c r="BQ76" i="3"/>
  <c r="BR76" i="3"/>
  <c r="BS76" i="3"/>
  <c r="BU76" i="3"/>
  <c r="BV76" i="3"/>
  <c r="BV77" i="3"/>
  <c r="BV78" i="3"/>
  <c r="BV79" i="3"/>
  <c r="BW76" i="3"/>
  <c r="BZ76" i="3"/>
  <c r="CA76" i="3"/>
  <c r="CA77" i="3"/>
  <c r="CA78" i="3"/>
  <c r="CA79" i="3"/>
  <c r="C77" i="3"/>
  <c r="D77" i="3"/>
  <c r="E77" i="3"/>
  <c r="F77" i="3"/>
  <c r="I77" i="3"/>
  <c r="J77" i="3"/>
  <c r="K77" i="3"/>
  <c r="P77" i="3"/>
  <c r="U77" i="3"/>
  <c r="Z77" i="3"/>
  <c r="AG77" i="3"/>
  <c r="AH77" i="3"/>
  <c r="AM77" i="3"/>
  <c r="AN77" i="3"/>
  <c r="AO77" i="3"/>
  <c r="AR77" i="3"/>
  <c r="AS77" i="3"/>
  <c r="AV77" i="3"/>
  <c r="AW77" i="3"/>
  <c r="BA77" i="3"/>
  <c r="BB77" i="3"/>
  <c r="BC77" i="3"/>
  <c r="BD77" i="3"/>
  <c r="BF77" i="3"/>
  <c r="BG77" i="3"/>
  <c r="BH77" i="3"/>
  <c r="BI77" i="3"/>
  <c r="BK77" i="3"/>
  <c r="BL77" i="3"/>
  <c r="BM77" i="3"/>
  <c r="BN77" i="3"/>
  <c r="BP77" i="3"/>
  <c r="BQ77" i="3"/>
  <c r="BR77" i="3"/>
  <c r="BS77" i="3"/>
  <c r="BU77" i="3"/>
  <c r="BW77" i="3"/>
  <c r="BZ77" i="3"/>
  <c r="CB77" i="3"/>
  <c r="C78" i="3"/>
  <c r="D78" i="3"/>
  <c r="E78" i="3"/>
  <c r="F78" i="3"/>
  <c r="I78" i="3"/>
  <c r="J78" i="3"/>
  <c r="K78" i="3"/>
  <c r="P78" i="3"/>
  <c r="U78" i="3"/>
  <c r="Z78" i="3"/>
  <c r="AE78" i="3"/>
  <c r="AG78" i="3"/>
  <c r="AH78" i="3"/>
  <c r="AM78" i="3"/>
  <c r="AN78" i="3"/>
  <c r="AO78" i="3"/>
  <c r="AO79" i="3"/>
  <c r="AR78" i="3"/>
  <c r="AS78" i="3"/>
  <c r="AT78" i="3"/>
  <c r="AV78" i="3"/>
  <c r="AW78" i="3"/>
  <c r="BW78" i="3"/>
  <c r="BZ78" i="3"/>
  <c r="CB78" i="3"/>
  <c r="C79" i="3"/>
  <c r="D79" i="3"/>
  <c r="E79" i="3"/>
  <c r="F79" i="3"/>
  <c r="I79" i="3"/>
  <c r="J79" i="3"/>
  <c r="K79" i="3"/>
  <c r="P79" i="3"/>
  <c r="U79" i="3"/>
  <c r="Z79" i="3"/>
  <c r="AD79" i="3"/>
  <c r="AE79" i="3"/>
  <c r="AG79" i="3"/>
  <c r="AH79" i="3"/>
  <c r="AM79" i="3"/>
  <c r="AN79" i="3"/>
  <c r="AR79" i="3"/>
  <c r="AS79" i="3"/>
  <c r="AV79" i="3"/>
  <c r="AW79" i="3"/>
  <c r="BA79" i="3"/>
  <c r="BB79" i="3"/>
  <c r="BC79" i="3"/>
  <c r="BD79" i="3"/>
  <c r="BF79" i="3"/>
  <c r="BG79" i="3"/>
  <c r="BH79" i="3"/>
  <c r="BI79" i="3"/>
  <c r="BK79" i="3"/>
  <c r="BL79" i="3"/>
  <c r="BM79" i="3"/>
  <c r="BN79" i="3"/>
  <c r="BP79" i="3"/>
  <c r="BQ79" i="3"/>
  <c r="BR79" i="3"/>
  <c r="BS79" i="3"/>
  <c r="BU79" i="3"/>
  <c r="BW79" i="3"/>
  <c r="BZ79" i="3"/>
  <c r="CB79" i="3"/>
  <c r="C80" i="3"/>
  <c r="D80" i="3"/>
  <c r="E80" i="3"/>
  <c r="F80" i="3"/>
  <c r="H80" i="3"/>
  <c r="I80" i="3"/>
  <c r="J80" i="3"/>
  <c r="K80" i="3"/>
  <c r="M80" i="3"/>
  <c r="N80" i="3"/>
  <c r="O80" i="3"/>
  <c r="P80" i="3"/>
  <c r="R80" i="3"/>
  <c r="S80" i="3"/>
  <c r="T80" i="3"/>
  <c r="U80" i="3"/>
  <c r="W80" i="3"/>
  <c r="X80" i="3"/>
  <c r="Y80" i="3"/>
  <c r="Z80" i="3"/>
  <c r="AB80" i="3"/>
  <c r="AC80" i="3"/>
  <c r="AD80" i="3"/>
  <c r="AE80" i="3"/>
  <c r="AG80" i="3"/>
  <c r="AH80" i="3"/>
  <c r="AI80" i="3"/>
  <c r="AL80" i="3"/>
  <c r="AM80" i="3"/>
  <c r="AN80" i="3"/>
  <c r="AO80" i="3"/>
  <c r="AQ80" i="3"/>
  <c r="AR80" i="3"/>
  <c r="AS80" i="3"/>
  <c r="AV80" i="3"/>
  <c r="AW80" i="3"/>
  <c r="BA80" i="3"/>
  <c r="BB80" i="3"/>
  <c r="BC80" i="3"/>
  <c r="BD80" i="3"/>
  <c r="BF80" i="3"/>
  <c r="BG80" i="3"/>
  <c r="BH80" i="3"/>
  <c r="BI80" i="3"/>
  <c r="BK80" i="3"/>
  <c r="BL80" i="3"/>
  <c r="BM80" i="3"/>
  <c r="BN80" i="3"/>
  <c r="BP80" i="3"/>
  <c r="BQ80" i="3"/>
  <c r="BR80" i="3"/>
  <c r="BS80" i="3"/>
  <c r="BU80" i="3"/>
  <c r="BV80" i="3"/>
  <c r="BW80" i="3"/>
  <c r="BX80" i="3"/>
  <c r="BZ80" i="3"/>
  <c r="CA80" i="3"/>
  <c r="CB80" i="3"/>
  <c r="C81" i="3"/>
  <c r="D81" i="3"/>
  <c r="E81" i="3"/>
  <c r="F81" i="3"/>
  <c r="H81" i="3"/>
  <c r="I81" i="3"/>
  <c r="J81" i="3"/>
  <c r="K81" i="3"/>
  <c r="M81" i="3"/>
  <c r="N81" i="3"/>
  <c r="O81" i="3"/>
  <c r="P81" i="3"/>
  <c r="R81" i="3"/>
  <c r="S81" i="3"/>
  <c r="T81" i="3"/>
  <c r="U81" i="3"/>
  <c r="W81" i="3"/>
  <c r="X81" i="3"/>
  <c r="Y81" i="3"/>
  <c r="Z81" i="3"/>
  <c r="AB81" i="3"/>
  <c r="AC81" i="3"/>
  <c r="AD81" i="3"/>
  <c r="AE81" i="3"/>
  <c r="AG81" i="3"/>
  <c r="AH81" i="3"/>
  <c r="AI81" i="3"/>
  <c r="AL81" i="3"/>
  <c r="AM81" i="3"/>
  <c r="AN81" i="3"/>
  <c r="AO81" i="3"/>
  <c r="AQ81" i="3"/>
  <c r="AR81" i="3"/>
  <c r="AS81" i="3"/>
  <c r="AV81" i="3"/>
  <c r="AW81" i="3"/>
  <c r="BU81" i="3"/>
  <c r="BV81" i="3"/>
  <c r="BW81" i="3"/>
  <c r="BX81" i="3"/>
  <c r="BX85" i="3"/>
  <c r="BZ81" i="3"/>
  <c r="CA81" i="3"/>
  <c r="CB81" i="3"/>
  <c r="C82" i="3"/>
  <c r="D82" i="3"/>
  <c r="E82" i="3"/>
  <c r="F82" i="3"/>
  <c r="H82" i="3"/>
  <c r="I82" i="3"/>
  <c r="J82" i="3"/>
  <c r="K82" i="3"/>
  <c r="M82" i="3"/>
  <c r="N82" i="3"/>
  <c r="O82" i="3"/>
  <c r="P82" i="3"/>
  <c r="R82" i="3"/>
  <c r="S82" i="3"/>
  <c r="T82" i="3"/>
  <c r="U82" i="3"/>
  <c r="W82" i="3"/>
  <c r="X82" i="3"/>
  <c r="Y82" i="3"/>
  <c r="Z82" i="3"/>
  <c r="AB82" i="3"/>
  <c r="AG82" i="3"/>
  <c r="AH82" i="3"/>
  <c r="AI82" i="3"/>
  <c r="AJ82" i="3"/>
  <c r="AL82" i="3"/>
  <c r="AM82" i="3"/>
  <c r="AN82" i="3"/>
  <c r="AO82" i="3"/>
  <c r="AQ82" i="3"/>
  <c r="AR82" i="3"/>
  <c r="AS82" i="3"/>
  <c r="AV82" i="3"/>
  <c r="AW82" i="3"/>
  <c r="BA82" i="3"/>
  <c r="BB82" i="3"/>
  <c r="BE82" i="3" s="1"/>
  <c r="BC82" i="3"/>
  <c r="BD82" i="3"/>
  <c r="BF82" i="3"/>
  <c r="BG82" i="3"/>
  <c r="BH82" i="3"/>
  <c r="BI82" i="3"/>
  <c r="BK82" i="3"/>
  <c r="BL82" i="3"/>
  <c r="BM82" i="3"/>
  <c r="BN82" i="3"/>
  <c r="BP82" i="3"/>
  <c r="BQ82" i="3"/>
  <c r="BR82" i="3"/>
  <c r="BS82" i="3"/>
  <c r="BU82" i="3"/>
  <c r="BV82" i="3"/>
  <c r="BW82" i="3"/>
  <c r="BX82" i="3"/>
  <c r="BZ82" i="3"/>
  <c r="CA82" i="3"/>
  <c r="CB82" i="3"/>
  <c r="C83" i="3"/>
  <c r="D83" i="3"/>
  <c r="E83" i="3"/>
  <c r="F83" i="3"/>
  <c r="H83" i="3"/>
  <c r="I83" i="3"/>
  <c r="J83" i="3"/>
  <c r="K83" i="3"/>
  <c r="M83" i="3"/>
  <c r="N83" i="3"/>
  <c r="O83" i="3"/>
  <c r="P83" i="3"/>
  <c r="R83" i="3"/>
  <c r="S83" i="3"/>
  <c r="T83" i="3"/>
  <c r="U83" i="3"/>
  <c r="W83" i="3"/>
  <c r="X83" i="3"/>
  <c r="Y83" i="3"/>
  <c r="Z83" i="3"/>
  <c r="AB83" i="3"/>
  <c r="AC83" i="3"/>
  <c r="AD83" i="3"/>
  <c r="AE83" i="3"/>
  <c r="AG83" i="3"/>
  <c r="AH83" i="3"/>
  <c r="AI83" i="3"/>
  <c r="AL83" i="3"/>
  <c r="AM83" i="3"/>
  <c r="AN83" i="3"/>
  <c r="AO83" i="3"/>
  <c r="AQ83" i="3"/>
  <c r="AR83" i="3"/>
  <c r="AS83" i="3"/>
  <c r="AV83" i="3"/>
  <c r="AW83" i="3"/>
  <c r="BA83" i="3"/>
  <c r="BB83" i="3"/>
  <c r="BC83" i="3"/>
  <c r="BD83" i="3"/>
  <c r="BF83" i="3"/>
  <c r="BG83" i="3"/>
  <c r="BH83" i="3"/>
  <c r="BI83" i="3"/>
  <c r="BK83" i="3"/>
  <c r="BL83" i="3"/>
  <c r="BM83" i="3"/>
  <c r="BN83" i="3"/>
  <c r="BP83" i="3"/>
  <c r="BQ83" i="3"/>
  <c r="BR83" i="3"/>
  <c r="BS83" i="3"/>
  <c r="BV83" i="3"/>
  <c r="BW83" i="3"/>
  <c r="BX83" i="3"/>
  <c r="BZ83" i="3"/>
  <c r="CA83" i="3"/>
  <c r="C84" i="3"/>
  <c r="D84" i="3"/>
  <c r="E84" i="3"/>
  <c r="F84" i="3"/>
  <c r="H84" i="3"/>
  <c r="I84" i="3"/>
  <c r="J84" i="3"/>
  <c r="K84" i="3"/>
  <c r="M84" i="3"/>
  <c r="N84" i="3"/>
  <c r="O84" i="3"/>
  <c r="P84" i="3"/>
  <c r="R84" i="3"/>
  <c r="S84" i="3"/>
  <c r="T84" i="3"/>
  <c r="U84" i="3"/>
  <c r="W84" i="3"/>
  <c r="X84" i="3"/>
  <c r="Y84" i="3"/>
  <c r="Z84" i="3"/>
  <c r="AB84" i="3"/>
  <c r="AC84" i="3"/>
  <c r="AD84" i="3"/>
  <c r="AE84" i="3"/>
  <c r="AG84" i="3"/>
  <c r="AH84" i="3"/>
  <c r="AI84" i="3"/>
  <c r="AJ84" i="3"/>
  <c r="AL84" i="3"/>
  <c r="AM84" i="3"/>
  <c r="AN84" i="3"/>
  <c r="AQ84" i="3"/>
  <c r="AR84" i="3"/>
  <c r="AS84" i="3"/>
  <c r="AV84" i="3"/>
  <c r="AW84" i="3"/>
  <c r="BA84" i="3"/>
  <c r="BB84" i="3"/>
  <c r="BC84" i="3"/>
  <c r="BD84" i="3"/>
  <c r="BF84" i="3"/>
  <c r="BG84" i="3"/>
  <c r="BH84" i="3"/>
  <c r="BI84" i="3"/>
  <c r="BK84" i="3"/>
  <c r="BL84" i="3"/>
  <c r="BM84" i="3"/>
  <c r="BN84" i="3"/>
  <c r="BP84" i="3"/>
  <c r="BQ84" i="3"/>
  <c r="BR84" i="3"/>
  <c r="BS84" i="3"/>
  <c r="BV84" i="3"/>
  <c r="BW84" i="3"/>
  <c r="BX84" i="3"/>
  <c r="BZ84" i="3"/>
  <c r="CA84" i="3"/>
  <c r="CB84" i="3"/>
  <c r="CC84" i="3"/>
  <c r="C89" i="3"/>
  <c r="C195" i="1"/>
  <c r="D89" i="3"/>
  <c r="E89" i="3"/>
  <c r="F89" i="3"/>
  <c r="H89" i="3"/>
  <c r="I89" i="3"/>
  <c r="J89" i="3"/>
  <c r="K89" i="3"/>
  <c r="M89" i="3"/>
  <c r="N89" i="3"/>
  <c r="M221" i="4"/>
  <c r="O89" i="3"/>
  <c r="P89" i="3"/>
  <c r="R89" i="3"/>
  <c r="S89" i="3"/>
  <c r="S195" i="1" s="1"/>
  <c r="T89" i="3"/>
  <c r="U89" i="3"/>
  <c r="W89" i="3"/>
  <c r="X89" i="3"/>
  <c r="Y89" i="3"/>
  <c r="Z89" i="3"/>
  <c r="AB89" i="3"/>
  <c r="AE89" i="3"/>
  <c r="AG89" i="3"/>
  <c r="AH89" i="3"/>
  <c r="AI89" i="3"/>
  <c r="AJ89" i="3"/>
  <c r="AL89" i="3"/>
  <c r="AL126" i="2"/>
  <c r="AQ89" i="3"/>
  <c r="AQ126" i="2"/>
  <c r="AR89" i="3"/>
  <c r="AS89" i="3"/>
  <c r="AV89" i="3"/>
  <c r="AU221" i="4"/>
  <c r="AW89" i="3"/>
  <c r="AV221" i="4"/>
  <c r="BA89" i="3"/>
  <c r="AZ221" i="4"/>
  <c r="BF89" i="3"/>
  <c r="BK89" i="3"/>
  <c r="BP89" i="3"/>
  <c r="BP126" i="2"/>
  <c r="BQ89" i="3"/>
  <c r="BU89" i="3"/>
  <c r="BU126" i="2" s="1"/>
  <c r="BY126" i="2" s="1"/>
  <c r="BV89" i="3"/>
  <c r="BV126" i="2" s="1"/>
  <c r="BW89" i="3"/>
  <c r="BX89" i="3"/>
  <c r="BW221" i="4" s="1"/>
  <c r="BZ89" i="3"/>
  <c r="BZ126" i="2"/>
  <c r="CA89" i="3"/>
  <c r="BZ221" i="4" s="1"/>
  <c r="CB89" i="3"/>
  <c r="CB126" i="2"/>
  <c r="C90" i="3"/>
  <c r="D90" i="3"/>
  <c r="E90" i="3"/>
  <c r="F90" i="3"/>
  <c r="H90" i="3"/>
  <c r="I90" i="3"/>
  <c r="J90" i="3"/>
  <c r="K90" i="3"/>
  <c r="M90" i="3"/>
  <c r="N90" i="3"/>
  <c r="O90" i="3"/>
  <c r="P90" i="3"/>
  <c r="R90" i="3"/>
  <c r="S90" i="3"/>
  <c r="T90" i="3"/>
  <c r="U90" i="3"/>
  <c r="W90" i="3"/>
  <c r="X90" i="3"/>
  <c r="Y90" i="3"/>
  <c r="Z90" i="3"/>
  <c r="AB90" i="3"/>
  <c r="AC90" i="3"/>
  <c r="AD90" i="3"/>
  <c r="AG90" i="3"/>
  <c r="AH90" i="3"/>
  <c r="AI90" i="3"/>
  <c r="AJ90" i="3"/>
  <c r="AL90" i="3"/>
  <c r="AM90" i="3"/>
  <c r="AN90" i="3"/>
  <c r="AO90" i="3"/>
  <c r="AQ90" i="3"/>
  <c r="AR90" i="3"/>
  <c r="AS90" i="3"/>
  <c r="AV90" i="3"/>
  <c r="BA90" i="3"/>
  <c r="BB90" i="3"/>
  <c r="BF90" i="3"/>
  <c r="BK90" i="3"/>
  <c r="BK133" i="2"/>
  <c r="BL90" i="3"/>
  <c r="BP90" i="3"/>
  <c r="BP133" i="2" s="1"/>
  <c r="BQ90" i="3"/>
  <c r="BQ133" i="2"/>
  <c r="BR90" i="3"/>
  <c r="BR133" i="2" s="1"/>
  <c r="BS90" i="3"/>
  <c r="BS133" i="2" s="1"/>
  <c r="BS135" i="2" s="1"/>
  <c r="BU90" i="3"/>
  <c r="BV90" i="3"/>
  <c r="BV133" i="2" s="1"/>
  <c r="BW90" i="3"/>
  <c r="BW133" i="2" s="1"/>
  <c r="BZ90" i="3"/>
  <c r="CA90" i="3"/>
  <c r="CB90" i="3"/>
  <c r="CB133" i="2" s="1"/>
  <c r="CR90" i="3"/>
  <c r="CS90" i="3" s="1"/>
  <c r="C91" i="3"/>
  <c r="D91" i="3"/>
  <c r="E91" i="3"/>
  <c r="F91" i="3"/>
  <c r="H91" i="3"/>
  <c r="I91" i="3"/>
  <c r="J91" i="3"/>
  <c r="K91" i="3"/>
  <c r="M91" i="3"/>
  <c r="N91" i="3"/>
  <c r="O91" i="3"/>
  <c r="P91" i="3"/>
  <c r="R91" i="3"/>
  <c r="S91" i="3"/>
  <c r="T91" i="3"/>
  <c r="U91" i="3"/>
  <c r="W91" i="3"/>
  <c r="X91" i="3"/>
  <c r="Y91" i="3"/>
  <c r="Z91" i="3"/>
  <c r="AB91" i="3"/>
  <c r="AG91" i="3"/>
  <c r="AH91" i="3"/>
  <c r="AI91" i="3"/>
  <c r="AL91" i="3"/>
  <c r="AM91" i="3"/>
  <c r="AQ91" i="3"/>
  <c r="AV91" i="3"/>
  <c r="BA91" i="3"/>
  <c r="BF91" i="3"/>
  <c r="BG91" i="3"/>
  <c r="BK91" i="3"/>
  <c r="BP91" i="3"/>
  <c r="BQ91" i="3"/>
  <c r="BU91" i="3"/>
  <c r="BV91" i="3"/>
  <c r="BW91" i="3"/>
  <c r="BX91" i="3"/>
  <c r="BZ91" i="3"/>
  <c r="CA91" i="3"/>
  <c r="CB91" i="3"/>
  <c r="C92" i="3"/>
  <c r="D92" i="3"/>
  <c r="E92" i="3"/>
  <c r="F92" i="3"/>
  <c r="H92" i="3"/>
  <c r="I92" i="3"/>
  <c r="J92" i="3"/>
  <c r="K92" i="3"/>
  <c r="M92" i="3"/>
  <c r="N92" i="3"/>
  <c r="O92" i="3"/>
  <c r="P92" i="3"/>
  <c r="R92" i="3"/>
  <c r="S92" i="3"/>
  <c r="T92" i="3"/>
  <c r="U92" i="3"/>
  <c r="W92" i="3"/>
  <c r="X92" i="3"/>
  <c r="AA92" i="3" s="1"/>
  <c r="Y92" i="3"/>
  <c r="Z92" i="3"/>
  <c r="AB92" i="3"/>
  <c r="AD92" i="3"/>
  <c r="AG92" i="3"/>
  <c r="AH92" i="3"/>
  <c r="AI92" i="3"/>
  <c r="AJ92" i="3"/>
  <c r="AL92" i="3"/>
  <c r="AM92" i="3"/>
  <c r="AQ92" i="3"/>
  <c r="AV92" i="3"/>
  <c r="AW92" i="3"/>
  <c r="BA92" i="3"/>
  <c r="BB92" i="3"/>
  <c r="BF92" i="3"/>
  <c r="BG92" i="3"/>
  <c r="BK92" i="3"/>
  <c r="BL92" i="3"/>
  <c r="BP92" i="3"/>
  <c r="BQ92" i="3"/>
  <c r="BR92" i="3"/>
  <c r="BS92" i="3"/>
  <c r="BU92" i="3"/>
  <c r="BV92" i="3"/>
  <c r="BW92" i="3"/>
  <c r="BX92" i="3"/>
  <c r="BZ92" i="3"/>
  <c r="CA92" i="3"/>
  <c r="CB92" i="3"/>
  <c r="CC92" i="3"/>
  <c r="C93" i="3"/>
  <c r="D93" i="3"/>
  <c r="E93" i="3"/>
  <c r="F93" i="3"/>
  <c r="H93" i="3"/>
  <c r="I93" i="3"/>
  <c r="J93" i="3"/>
  <c r="K93" i="3"/>
  <c r="M93" i="3"/>
  <c r="N93" i="3"/>
  <c r="O93" i="3"/>
  <c r="P93" i="3"/>
  <c r="R93" i="3"/>
  <c r="S93" i="3"/>
  <c r="T93" i="3"/>
  <c r="U93" i="3"/>
  <c r="W93" i="3"/>
  <c r="X93" i="3"/>
  <c r="AB93" i="3"/>
  <c r="AC93" i="3"/>
  <c r="AD93" i="3"/>
  <c r="AE93" i="3"/>
  <c r="AG93" i="3"/>
  <c r="AH93" i="3"/>
  <c r="AI93" i="3"/>
  <c r="AL93" i="3"/>
  <c r="AM93" i="3"/>
  <c r="AS93" i="3"/>
  <c r="AV93" i="3"/>
  <c r="BA93" i="3"/>
  <c r="BB93" i="3"/>
  <c r="BC93" i="3"/>
  <c r="BD93" i="3"/>
  <c r="BK93" i="3"/>
  <c r="BL93" i="3"/>
  <c r="BP93" i="3"/>
  <c r="BQ93" i="3"/>
  <c r="BR93" i="3"/>
  <c r="BS93" i="3"/>
  <c r="BU93" i="3"/>
  <c r="BV93" i="3"/>
  <c r="BW93" i="3"/>
  <c r="BX93" i="3"/>
  <c r="BZ93" i="3"/>
  <c r="CA93" i="3"/>
  <c r="CB93" i="3"/>
  <c r="AT94" i="3"/>
  <c r="C96" i="3"/>
  <c r="G96" i="3"/>
  <c r="D96" i="3"/>
  <c r="E96" i="3"/>
  <c r="F96" i="3"/>
  <c r="H96" i="3"/>
  <c r="I96" i="3"/>
  <c r="J96" i="3"/>
  <c r="K96" i="3"/>
  <c r="M96" i="3"/>
  <c r="N96" i="3"/>
  <c r="O96" i="3"/>
  <c r="P96" i="3"/>
  <c r="R96" i="3"/>
  <c r="S96" i="3"/>
  <c r="T96" i="3"/>
  <c r="U96" i="3"/>
  <c r="W96" i="3"/>
  <c r="X96" i="3"/>
  <c r="Y96" i="3"/>
  <c r="Z96" i="3"/>
  <c r="AB96" i="3"/>
  <c r="AC96" i="3"/>
  <c r="AD96" i="3"/>
  <c r="AG96" i="3"/>
  <c r="AH96" i="3"/>
  <c r="AI96" i="3"/>
  <c r="AJ96" i="3"/>
  <c r="AL96" i="3"/>
  <c r="AR96" i="3"/>
  <c r="AS96" i="3"/>
  <c r="AV96" i="3"/>
  <c r="BA96" i="3"/>
  <c r="BB96" i="3"/>
  <c r="BC96" i="3"/>
  <c r="BF96" i="3"/>
  <c r="BG96" i="3"/>
  <c r="BH96" i="3"/>
  <c r="BI96" i="3"/>
  <c r="BK96" i="3"/>
  <c r="BL96" i="3"/>
  <c r="BM96" i="3"/>
  <c r="BN96" i="3"/>
  <c r="BP96" i="3"/>
  <c r="BQ96" i="3"/>
  <c r="BR96" i="3"/>
  <c r="BS96" i="3"/>
  <c r="BU96" i="3"/>
  <c r="BV96" i="3"/>
  <c r="BW96" i="3"/>
  <c r="BX96" i="3"/>
  <c r="BZ96" i="3"/>
  <c r="C97" i="3"/>
  <c r="D97" i="3"/>
  <c r="E97" i="3"/>
  <c r="F97" i="3"/>
  <c r="H97" i="3"/>
  <c r="I97" i="3"/>
  <c r="J97" i="3"/>
  <c r="K97" i="3"/>
  <c r="M97" i="3"/>
  <c r="N97" i="3"/>
  <c r="N82" i="2" s="1"/>
  <c r="O97" i="3"/>
  <c r="O82" i="2"/>
  <c r="P97" i="3"/>
  <c r="P82" i="2" s="1"/>
  <c r="R97" i="3"/>
  <c r="R82" i="2" s="1"/>
  <c r="V82" i="2" s="1"/>
  <c r="S97" i="3"/>
  <c r="S82" i="2" s="1"/>
  <c r="T97" i="3"/>
  <c r="T82" i="2"/>
  <c r="U97" i="3"/>
  <c r="U82" i="2" s="1"/>
  <c r="W97" i="3"/>
  <c r="X97" i="3"/>
  <c r="Y97" i="3"/>
  <c r="Y82" i="2" s="1"/>
  <c r="Z97" i="3"/>
  <c r="Z82" i="2"/>
  <c r="AB97" i="3"/>
  <c r="AB82" i="2" s="1"/>
  <c r="AC97" i="3"/>
  <c r="AC82" i="2" s="1"/>
  <c r="AD97" i="3"/>
  <c r="AD82" i="2" s="1"/>
  <c r="AE97" i="3"/>
  <c r="AG97" i="3"/>
  <c r="AG82" i="2" s="1"/>
  <c r="AK82" i="2" s="1"/>
  <c r="AH97" i="3"/>
  <c r="AI97" i="3"/>
  <c r="AJ97" i="3"/>
  <c r="AL97" i="3"/>
  <c r="AL82" i="2" s="1"/>
  <c r="AQ97" i="3"/>
  <c r="AQ82" i="2"/>
  <c r="AR97" i="3"/>
  <c r="AV97" i="3"/>
  <c r="AV82" i="2" s="1"/>
  <c r="BA97" i="3"/>
  <c r="BF97" i="3"/>
  <c r="BF82" i="2" s="1"/>
  <c r="BK97" i="3"/>
  <c r="BK82" i="2" s="1"/>
  <c r="BL97" i="3"/>
  <c r="BL82" i="2" s="1"/>
  <c r="BM97" i="3"/>
  <c r="BP97" i="3"/>
  <c r="BP82" i="2" s="1"/>
  <c r="BP84" i="2" s="1"/>
  <c r="BQ97" i="3"/>
  <c r="BR97" i="3"/>
  <c r="BR82" i="2" s="1"/>
  <c r="BS97" i="3"/>
  <c r="BS82" i="2" s="1"/>
  <c r="BS84" i="2" s="1"/>
  <c r="BU97" i="3"/>
  <c r="BU82" i="2" s="1"/>
  <c r="BV97" i="3"/>
  <c r="BV82" i="2"/>
  <c r="BW97" i="3"/>
  <c r="BW82" i="2" s="1"/>
  <c r="BX97" i="3"/>
  <c r="BZ97" i="3"/>
  <c r="BZ82" i="2" s="1"/>
  <c r="CA97" i="3"/>
  <c r="CA82" i="2" s="1"/>
  <c r="CA84" i="2" s="1"/>
  <c r="CB97" i="3"/>
  <c r="CB82" i="2" s="1"/>
  <c r="AL98" i="3"/>
  <c r="AM98" i="3"/>
  <c r="AV98" i="3"/>
  <c r="BA98" i="3"/>
  <c r="BB98" i="3"/>
  <c r="BF98" i="3"/>
  <c r="BG98" i="3"/>
  <c r="BK98" i="3"/>
  <c r="BL98" i="3"/>
  <c r="BP98" i="3"/>
  <c r="BU98" i="3"/>
  <c r="BV98" i="3"/>
  <c r="BW98" i="3"/>
  <c r="BX98" i="3"/>
  <c r="BZ98" i="3"/>
  <c r="CA98" i="3"/>
  <c r="CB98" i="3"/>
  <c r="C99" i="3"/>
  <c r="D99" i="3"/>
  <c r="E99" i="3"/>
  <c r="F99" i="3"/>
  <c r="H99" i="3"/>
  <c r="I99" i="3"/>
  <c r="J99" i="3"/>
  <c r="K99" i="3"/>
  <c r="M99" i="3"/>
  <c r="Q99" i="3" s="1"/>
  <c r="Q103" i="3" s="1"/>
  <c r="N99" i="3"/>
  <c r="O99" i="3"/>
  <c r="P99" i="3"/>
  <c r="R99" i="3"/>
  <c r="S99" i="3"/>
  <c r="T99" i="3"/>
  <c r="U99" i="3"/>
  <c r="W99" i="3"/>
  <c r="X99" i="3"/>
  <c r="Y99" i="3"/>
  <c r="Z99" i="3"/>
  <c r="AB99" i="3"/>
  <c r="AC99" i="3"/>
  <c r="AD99" i="3"/>
  <c r="AG99" i="3"/>
  <c r="AH99" i="3"/>
  <c r="AI99" i="3"/>
  <c r="AJ99" i="3"/>
  <c r="AL99" i="3"/>
  <c r="AQ99" i="3"/>
  <c r="AR99" i="3"/>
  <c r="AV99" i="3"/>
  <c r="AV76" i="2" s="1"/>
  <c r="BA99" i="3"/>
  <c r="BA76" i="2" s="1"/>
  <c r="BB99" i="3"/>
  <c r="BB76" i="2"/>
  <c r="BC99" i="3"/>
  <c r="BC76" i="2" s="1"/>
  <c r="BF99" i="3"/>
  <c r="BF76" i="2" s="1"/>
  <c r="BJ76" i="2" s="1"/>
  <c r="BG99" i="3"/>
  <c r="BK99" i="3"/>
  <c r="BK76" i="2"/>
  <c r="BL99" i="3"/>
  <c r="BL76" i="2" s="1"/>
  <c r="BP99" i="3"/>
  <c r="BQ99" i="3"/>
  <c r="BQ76" i="2"/>
  <c r="BR99" i="3"/>
  <c r="BS99" i="3"/>
  <c r="BS76" i="2"/>
  <c r="BU99" i="3"/>
  <c r="BU76" i="2" s="1"/>
  <c r="BV99" i="3"/>
  <c r="BV76" i="2"/>
  <c r="BW99" i="3"/>
  <c r="BW76" i="2" s="1"/>
  <c r="BX99" i="3"/>
  <c r="BX76" i="2" s="1"/>
  <c r="BX78" i="2" s="1"/>
  <c r="BZ99" i="3"/>
  <c r="BZ76" i="2" s="1"/>
  <c r="CA99" i="3"/>
  <c r="CB99" i="3"/>
  <c r="CB76" i="2" s="1"/>
  <c r="CD76" i="2" s="1"/>
  <c r="CE76" i="2"/>
  <c r="C100" i="3"/>
  <c r="D100" i="3"/>
  <c r="E100" i="3"/>
  <c r="F100" i="3"/>
  <c r="H100" i="3"/>
  <c r="I100" i="3"/>
  <c r="J100" i="3"/>
  <c r="K100" i="3"/>
  <c r="M100" i="3"/>
  <c r="M83" i="2" s="1"/>
  <c r="N100" i="3"/>
  <c r="N83" i="2" s="1"/>
  <c r="O100" i="3"/>
  <c r="O83" i="2" s="1"/>
  <c r="P100" i="3"/>
  <c r="P83" i="2"/>
  <c r="R100" i="3"/>
  <c r="R83" i="2" s="1"/>
  <c r="S100" i="3"/>
  <c r="T100" i="3"/>
  <c r="T83" i="2" s="1"/>
  <c r="U100" i="3"/>
  <c r="W100" i="3"/>
  <c r="W83" i="2"/>
  <c r="X100" i="3"/>
  <c r="X83" i="2" s="1"/>
  <c r="Y100" i="3"/>
  <c r="Y83" i="2" s="1"/>
  <c r="Z100" i="3"/>
  <c r="Z83" i="2" s="1"/>
  <c r="AB100" i="3"/>
  <c r="AC100" i="3"/>
  <c r="AC83" i="2" s="1"/>
  <c r="AD100" i="3"/>
  <c r="AD70" i="2"/>
  <c r="AD69" i="2"/>
  <c r="AG100" i="3"/>
  <c r="AG70" i="2" s="1"/>
  <c r="AH100" i="3"/>
  <c r="AI100" i="3"/>
  <c r="AI83" i="2"/>
  <c r="AL100" i="3"/>
  <c r="AL83" i="2" s="1"/>
  <c r="AQ100" i="3"/>
  <c r="AQ83" i="2"/>
  <c r="AR100" i="3"/>
  <c r="AV100" i="3"/>
  <c r="AV83" i="2" s="1"/>
  <c r="AW100" i="3"/>
  <c r="AW70" i="2" s="1"/>
  <c r="AW57" i="2" s="1"/>
  <c r="BA100" i="3"/>
  <c r="BA83" i="2"/>
  <c r="BB100" i="3"/>
  <c r="BB83" i="2" s="1"/>
  <c r="BF100" i="3"/>
  <c r="BK100" i="3"/>
  <c r="BK83" i="2" s="1"/>
  <c r="BL100" i="3"/>
  <c r="BL83" i="2" s="1"/>
  <c r="BM100" i="3"/>
  <c r="BM83" i="2" s="1"/>
  <c r="BP100" i="3"/>
  <c r="BP83" i="2" s="1"/>
  <c r="BQ100" i="3"/>
  <c r="BQ83" i="2" s="1"/>
  <c r="BR100" i="3"/>
  <c r="BS100" i="3"/>
  <c r="BU100" i="3"/>
  <c r="BU83" i="2" s="1"/>
  <c r="BV100" i="3"/>
  <c r="BV83" i="2" s="1"/>
  <c r="BW100" i="3"/>
  <c r="BW83" i="2" s="1"/>
  <c r="BX100" i="3"/>
  <c r="BZ100" i="3"/>
  <c r="CA100" i="3"/>
  <c r="CA83" i="2" s="1"/>
  <c r="CB100" i="3"/>
  <c r="CB83" i="2" s="1"/>
  <c r="C101" i="3"/>
  <c r="D101" i="3"/>
  <c r="E101" i="3"/>
  <c r="F101" i="3"/>
  <c r="H101" i="3"/>
  <c r="I101" i="3"/>
  <c r="J101" i="3"/>
  <c r="K101" i="3"/>
  <c r="M101" i="3"/>
  <c r="N101" i="3"/>
  <c r="O101" i="3"/>
  <c r="P101" i="3"/>
  <c r="R101" i="3"/>
  <c r="S101" i="3"/>
  <c r="T101" i="3"/>
  <c r="U101" i="3"/>
  <c r="W101" i="3"/>
  <c r="X101" i="3"/>
  <c r="Y101" i="3"/>
  <c r="Z101" i="3"/>
  <c r="AB101" i="3"/>
  <c r="AC101" i="3"/>
  <c r="AD101" i="3"/>
  <c r="AE101" i="3"/>
  <c r="AG101" i="3"/>
  <c r="AH101" i="3"/>
  <c r="AI101" i="3"/>
  <c r="AJ101" i="3"/>
  <c r="AL101" i="3"/>
  <c r="AM101" i="3"/>
  <c r="AV101" i="3"/>
  <c r="BA101" i="3"/>
  <c r="BB101" i="3"/>
  <c r="BB102" i="3"/>
  <c r="BC101" i="3"/>
  <c r="BD101" i="3"/>
  <c r="BF101" i="3"/>
  <c r="BG101" i="3"/>
  <c r="BK101" i="3"/>
  <c r="BL101" i="3"/>
  <c r="BM101" i="3"/>
  <c r="BN101" i="3"/>
  <c r="BP101" i="3"/>
  <c r="BQ101" i="3"/>
  <c r="BR101" i="3"/>
  <c r="BS101" i="3"/>
  <c r="BU101" i="3"/>
  <c r="BV101" i="3"/>
  <c r="BW101" i="3"/>
  <c r="BX101" i="3"/>
  <c r="BZ101" i="3"/>
  <c r="CA101" i="3"/>
  <c r="CB101" i="3"/>
  <c r="C102" i="3"/>
  <c r="D102" i="3"/>
  <c r="E102" i="3"/>
  <c r="F102" i="3"/>
  <c r="H102" i="3"/>
  <c r="I102" i="3"/>
  <c r="J102" i="3"/>
  <c r="K102" i="3"/>
  <c r="M102" i="3"/>
  <c r="N102" i="3"/>
  <c r="O102" i="3"/>
  <c r="P102" i="3"/>
  <c r="R102" i="3"/>
  <c r="S102" i="3"/>
  <c r="T102" i="3"/>
  <c r="U102" i="3"/>
  <c r="W102" i="3"/>
  <c r="X102" i="3"/>
  <c r="Y102" i="3"/>
  <c r="Z102" i="3"/>
  <c r="AB102" i="3"/>
  <c r="AC102" i="3"/>
  <c r="AD102" i="3"/>
  <c r="AE102" i="3"/>
  <c r="AG102" i="3"/>
  <c r="AH102" i="3"/>
  <c r="AI102" i="3"/>
  <c r="AJ102" i="3"/>
  <c r="AL102" i="3"/>
  <c r="AM102" i="3"/>
  <c r="AN102" i="3"/>
  <c r="AO102" i="3"/>
  <c r="AQ102" i="3"/>
  <c r="AR102" i="3"/>
  <c r="AV102" i="3"/>
  <c r="BA102" i="3"/>
  <c r="BF102" i="3"/>
  <c r="BG102" i="3"/>
  <c r="BH102" i="3"/>
  <c r="BI102" i="3"/>
  <c r="BK102" i="3"/>
  <c r="BP102" i="3"/>
  <c r="BQ102" i="3"/>
  <c r="BU102" i="3"/>
  <c r="BV102" i="3"/>
  <c r="BW102" i="3"/>
  <c r="BX102" i="3"/>
  <c r="BZ102" i="3"/>
  <c r="CA102" i="3"/>
  <c r="AT103" i="3"/>
  <c r="C104" i="3"/>
  <c r="D104" i="3"/>
  <c r="E104" i="3"/>
  <c r="F104" i="3"/>
  <c r="H104" i="3"/>
  <c r="I104" i="3"/>
  <c r="J104" i="3"/>
  <c r="K104" i="3"/>
  <c r="M104" i="3"/>
  <c r="N104" i="3"/>
  <c r="O104" i="3"/>
  <c r="P104" i="3"/>
  <c r="R104" i="3"/>
  <c r="S104" i="3"/>
  <c r="T104" i="3"/>
  <c r="U104" i="3"/>
  <c r="W104" i="3"/>
  <c r="X104" i="3"/>
  <c r="Y104" i="3"/>
  <c r="Z104" i="3"/>
  <c r="AB104" i="3"/>
  <c r="AC104" i="3"/>
  <c r="AD104" i="3"/>
  <c r="AG104" i="3"/>
  <c r="AH104" i="3"/>
  <c r="AI104" i="3"/>
  <c r="AL104" i="3"/>
  <c r="AQ104" i="3"/>
  <c r="AR104" i="3"/>
  <c r="AS104" i="3"/>
  <c r="AV104" i="3"/>
  <c r="BA104" i="3"/>
  <c r="BF104" i="3"/>
  <c r="BK104" i="3"/>
  <c r="BL104" i="3"/>
  <c r="BP104" i="3"/>
  <c r="BU104" i="3"/>
  <c r="BV104" i="3"/>
  <c r="BW104" i="3"/>
  <c r="BX104" i="3"/>
  <c r="BZ104" i="3"/>
  <c r="CA104" i="3"/>
  <c r="CB104" i="3"/>
  <c r="CC104" i="3"/>
  <c r="C106" i="3"/>
  <c r="G106" i="3" s="1"/>
  <c r="W106" i="3"/>
  <c r="AA106" i="3" s="1"/>
  <c r="A1" i="2"/>
  <c r="C5" i="2"/>
  <c r="D5" i="2"/>
  <c r="E5" i="2"/>
  <c r="F5" i="2"/>
  <c r="G5" i="2"/>
  <c r="H5" i="2"/>
  <c r="I5" i="2"/>
  <c r="J5" i="2"/>
  <c r="K5" i="2"/>
  <c r="L5" i="2"/>
  <c r="M5" i="2"/>
  <c r="N5" i="2"/>
  <c r="O5" i="2"/>
  <c r="P5" i="2"/>
  <c r="Q5" i="2"/>
  <c r="R5" i="2"/>
  <c r="S5" i="2"/>
  <c r="T5" i="2"/>
  <c r="U5" i="2"/>
  <c r="V5" i="2"/>
  <c r="W5" i="2"/>
  <c r="X5" i="2"/>
  <c r="Y5" i="2"/>
  <c r="Z5" i="2"/>
  <c r="AA5" i="2"/>
  <c r="AB5" i="2"/>
  <c r="AC5" i="2"/>
  <c r="AD5" i="2"/>
  <c r="AE5" i="2"/>
  <c r="AF5" i="2"/>
  <c r="AG5" i="2"/>
  <c r="AH5" i="2"/>
  <c r="AI5" i="2"/>
  <c r="AJ5" i="2"/>
  <c r="AK5" i="2"/>
  <c r="AL5" i="2"/>
  <c r="AM5" i="2"/>
  <c r="AN5" i="2"/>
  <c r="AO5" i="2"/>
  <c r="AP5" i="2"/>
  <c r="AQ5" i="2"/>
  <c r="AR5" i="2"/>
  <c r="AS5" i="2"/>
  <c r="AT5" i="2"/>
  <c r="AU5" i="2"/>
  <c r="AV5" i="2"/>
  <c r="AW5" i="2"/>
  <c r="AX5" i="2"/>
  <c r="AY5" i="2"/>
  <c r="AZ5" i="2"/>
  <c r="BA5" i="2"/>
  <c r="BB5" i="2"/>
  <c r="BC5" i="2"/>
  <c r="BD5" i="2"/>
  <c r="BE5" i="2"/>
  <c r="BF5" i="2"/>
  <c r="BG5" i="2"/>
  <c r="BH5" i="2"/>
  <c r="BI5" i="2"/>
  <c r="BJ5" i="2"/>
  <c r="BK5" i="2"/>
  <c r="BL5" i="2"/>
  <c r="BM5" i="2"/>
  <c r="BN5" i="2"/>
  <c r="BO5" i="2"/>
  <c r="BP5" i="2"/>
  <c r="BQ5" i="2"/>
  <c r="BR5" i="2"/>
  <c r="BS5" i="2"/>
  <c r="BT5" i="2"/>
  <c r="BU5" i="2"/>
  <c r="BV5" i="2"/>
  <c r="BW5" i="2"/>
  <c r="BX5" i="2"/>
  <c r="BY5" i="2"/>
  <c r="BZ5" i="2"/>
  <c r="CA5" i="2"/>
  <c r="CB5" i="2"/>
  <c r="CC5" i="2"/>
  <c r="CD5" i="2"/>
  <c r="CE5" i="2"/>
  <c r="CF5" i="2"/>
  <c r="CG5" i="2"/>
  <c r="CH5" i="2"/>
  <c r="CI5" i="2"/>
  <c r="CJ5" i="2"/>
  <c r="CK5" i="2"/>
  <c r="CL5" i="2"/>
  <c r="CM5" i="2"/>
  <c r="CN5" i="2"/>
  <c r="CO5" i="2"/>
  <c r="CP5" i="2"/>
  <c r="CQ5" i="2"/>
  <c r="CR5" i="2"/>
  <c r="CS5" i="2"/>
  <c r="G8" i="2"/>
  <c r="L8" i="2"/>
  <c r="Q8" i="2"/>
  <c r="V8" i="2"/>
  <c r="AA8" i="2"/>
  <c r="AF8" i="2"/>
  <c r="AK8" i="2"/>
  <c r="AP8" i="2"/>
  <c r="AU8" i="2"/>
  <c r="AZ8" i="2"/>
  <c r="BE8" i="2"/>
  <c r="BJ8" i="2"/>
  <c r="BO8" i="2"/>
  <c r="BT8" i="2"/>
  <c r="BY8" i="2"/>
  <c r="G9" i="2"/>
  <c r="L9" i="2"/>
  <c r="Q9" i="2"/>
  <c r="V9" i="2"/>
  <c r="AA9" i="2"/>
  <c r="Z210" i="4" s="1"/>
  <c r="AF9" i="2"/>
  <c r="AK9" i="2"/>
  <c r="AP9" i="2"/>
  <c r="AU9" i="2"/>
  <c r="AZ9" i="2"/>
  <c r="BE9" i="2"/>
  <c r="BJ9" i="2"/>
  <c r="BO9" i="2"/>
  <c r="BT9" i="2"/>
  <c r="BY9" i="2"/>
  <c r="BX210" i="4"/>
  <c r="CD9" i="2"/>
  <c r="G10" i="2"/>
  <c r="L10" i="2"/>
  <c r="K211" i="4"/>
  <c r="Q10" i="2"/>
  <c r="V10" i="2"/>
  <c r="U211" i="4" s="1"/>
  <c r="AA10" i="2"/>
  <c r="AF10" i="2"/>
  <c r="AE211" i="4" s="1"/>
  <c r="AK10" i="2"/>
  <c r="AP10" i="2"/>
  <c r="AO211" i="4" s="1"/>
  <c r="AU10" i="2"/>
  <c r="AT211" i="4" s="1"/>
  <c r="AZ10" i="2"/>
  <c r="AY211" i="4" s="1"/>
  <c r="BE10" i="2"/>
  <c r="BJ10" i="2"/>
  <c r="BI211" i="4" s="1"/>
  <c r="BO10" i="2"/>
  <c r="BT10" i="2"/>
  <c r="BS211" i="4" s="1"/>
  <c r="BY10" i="2"/>
  <c r="G11" i="2"/>
  <c r="L11" i="2"/>
  <c r="Q11" i="2"/>
  <c r="V11" i="2"/>
  <c r="AA11" i="2"/>
  <c r="AF11" i="2"/>
  <c r="AK11" i="2"/>
  <c r="AP11" i="2"/>
  <c r="AU11" i="2"/>
  <c r="AZ11" i="2"/>
  <c r="BE11" i="2"/>
  <c r="BJ11" i="2"/>
  <c r="BO11" i="2"/>
  <c r="BT11" i="2"/>
  <c r="BV11" i="2"/>
  <c r="BX11" i="2"/>
  <c r="BY11" i="2" s="1"/>
  <c r="CD11" i="2"/>
  <c r="CK11" i="2"/>
  <c r="CL11" i="2" s="1"/>
  <c r="CM11" i="2" s="1"/>
  <c r="G12" i="2"/>
  <c r="L12" i="2"/>
  <c r="Q12" i="2"/>
  <c r="V12" i="2"/>
  <c r="AA12" i="2"/>
  <c r="AF12" i="2"/>
  <c r="AK12" i="2"/>
  <c r="AP12" i="2"/>
  <c r="AU12" i="2"/>
  <c r="AZ12" i="2"/>
  <c r="BE12" i="2"/>
  <c r="BJ12" i="2"/>
  <c r="BO12" i="2"/>
  <c r="BT12" i="2"/>
  <c r="BV12" i="2"/>
  <c r="BX12" i="2"/>
  <c r="BY12" i="2" s="1"/>
  <c r="G13" i="2"/>
  <c r="L13" i="2"/>
  <c r="Q13" i="2"/>
  <c r="V13" i="2"/>
  <c r="AA13" i="2"/>
  <c r="AF13" i="2"/>
  <c r="AK13" i="2"/>
  <c r="AP13" i="2"/>
  <c r="AU13" i="2"/>
  <c r="AZ13" i="2"/>
  <c r="BE13" i="2"/>
  <c r="BJ13" i="2"/>
  <c r="BO13" i="2"/>
  <c r="BT13" i="2"/>
  <c r="BY13" i="2"/>
  <c r="G14" i="2"/>
  <c r="L14" i="2"/>
  <c r="Q14" i="2"/>
  <c r="V14" i="2"/>
  <c r="AA14" i="2"/>
  <c r="AE14" i="2"/>
  <c r="AF14" i="2"/>
  <c r="AK14" i="2"/>
  <c r="AP14" i="2"/>
  <c r="AU14" i="2"/>
  <c r="AZ14" i="2"/>
  <c r="BE14" i="2"/>
  <c r="BJ14" i="2"/>
  <c r="BL14" i="2"/>
  <c r="BM14" i="2"/>
  <c r="BO14" i="2"/>
  <c r="BT14" i="2"/>
  <c r="BY14" i="2"/>
  <c r="C15" i="2"/>
  <c r="C24" i="2" s="1"/>
  <c r="D15" i="2"/>
  <c r="D24" i="2" s="1"/>
  <c r="E15" i="2"/>
  <c r="F15" i="2"/>
  <c r="G15" i="2" s="1"/>
  <c r="H15" i="2"/>
  <c r="H24" i="2" s="1"/>
  <c r="I15" i="2"/>
  <c r="I24" i="2" s="1"/>
  <c r="H199" i="4" s="1"/>
  <c r="J15" i="2"/>
  <c r="J24" i="2" s="1"/>
  <c r="I199" i="4" s="1"/>
  <c r="K15" i="2"/>
  <c r="M15" i="2"/>
  <c r="M24" i="2" s="1"/>
  <c r="L199" i="4" s="1"/>
  <c r="N15" i="2"/>
  <c r="O15" i="2"/>
  <c r="O24" i="2" s="1"/>
  <c r="N199" i="4" s="1"/>
  <c r="P15" i="2"/>
  <c r="R15" i="2"/>
  <c r="R24" i="2" s="1"/>
  <c r="Q199" i="4" s="1"/>
  <c r="S15" i="2"/>
  <c r="T15" i="2"/>
  <c r="T24" i="2" s="1"/>
  <c r="S199" i="4" s="1"/>
  <c r="U15" i="2"/>
  <c r="V15" i="2" s="1"/>
  <c r="W15" i="2"/>
  <c r="W24" i="2" s="1"/>
  <c r="V199" i="4" s="1"/>
  <c r="X15" i="2"/>
  <c r="Y15" i="2"/>
  <c r="Y24" i="2" s="1"/>
  <c r="Z15" i="2"/>
  <c r="AA15" i="2" s="1"/>
  <c r="AB15" i="2"/>
  <c r="AB24" i="2" s="1"/>
  <c r="AA199" i="4" s="1"/>
  <c r="AC15" i="2"/>
  <c r="AC24" i="2" s="1"/>
  <c r="AD15" i="2"/>
  <c r="AD24" i="2" s="1"/>
  <c r="AC199" i="4" s="1"/>
  <c r="AE15" i="2"/>
  <c r="AF15" i="2"/>
  <c r="AG15" i="2"/>
  <c r="AG24" i="2" s="1"/>
  <c r="AF199" i="4" s="1"/>
  <c r="AH15" i="2"/>
  <c r="AH24" i="2" s="1"/>
  <c r="AG199" i="4" s="1"/>
  <c r="AI15" i="2"/>
  <c r="AI24" i="2"/>
  <c r="AH199" i="4" s="1"/>
  <c r="AJ15" i="2"/>
  <c r="AK15" i="2" s="1"/>
  <c r="AL15" i="2"/>
  <c r="AL24" i="2" s="1"/>
  <c r="AK199" i="4" s="1"/>
  <c r="AM15" i="2"/>
  <c r="AM24" i="2"/>
  <c r="AL199" i="4" s="1"/>
  <c r="AN15" i="2"/>
  <c r="AN24" i="2" s="1"/>
  <c r="AM199" i="4" s="1"/>
  <c r="AO15" i="2"/>
  <c r="AP15" i="2" s="1"/>
  <c r="AQ15" i="2"/>
  <c r="AQ24" i="2" s="1"/>
  <c r="AP199" i="4" s="1"/>
  <c r="AR15" i="2"/>
  <c r="AR24" i="2" s="1"/>
  <c r="AQ199" i="4" s="1"/>
  <c r="AS15" i="2"/>
  <c r="AS24" i="2" s="1"/>
  <c r="AR199" i="4" s="1"/>
  <c r="AT15" i="2"/>
  <c r="AU15" i="2" s="1"/>
  <c r="AV15" i="2"/>
  <c r="AV24" i="2" s="1"/>
  <c r="AU199" i="4" s="1"/>
  <c r="AW15" i="2"/>
  <c r="AX15" i="2"/>
  <c r="AX24" i="2" s="1"/>
  <c r="AW199" i="4" s="1"/>
  <c r="AY15" i="2"/>
  <c r="AZ15" i="2" s="1"/>
  <c r="BA15" i="2"/>
  <c r="BA24" i="2"/>
  <c r="AZ199" i="4" s="1"/>
  <c r="BB15" i="2"/>
  <c r="BB24" i="2" s="1"/>
  <c r="BA199" i="4" s="1"/>
  <c r="BC15" i="2"/>
  <c r="BC24" i="2" s="1"/>
  <c r="BB199" i="4" s="1"/>
  <c r="BD15" i="2"/>
  <c r="BF15" i="2"/>
  <c r="BF24" i="2" s="1"/>
  <c r="BE199" i="4" s="1"/>
  <c r="BG15" i="2"/>
  <c r="BG24" i="2" s="1"/>
  <c r="BF199" i="4" s="1"/>
  <c r="BH15" i="2"/>
  <c r="BI15" i="2"/>
  <c r="BK15" i="2"/>
  <c r="BK24" i="2" s="1"/>
  <c r="BJ199" i="4" s="1"/>
  <c r="BL15" i="2"/>
  <c r="BL24" i="2" s="1"/>
  <c r="BK199" i="4" s="1"/>
  <c r="BM15" i="2"/>
  <c r="BM24" i="2" s="1"/>
  <c r="BL199" i="4" s="1"/>
  <c r="BN15" i="2"/>
  <c r="BO15" i="2" s="1"/>
  <c r="BP15" i="2"/>
  <c r="BP24" i="2" s="1"/>
  <c r="BO199" i="4" s="1"/>
  <c r="BQ15" i="2"/>
  <c r="BR15" i="2"/>
  <c r="BS15" i="2"/>
  <c r="BT15" i="2"/>
  <c r="BU15" i="2"/>
  <c r="BU24" i="2" s="1"/>
  <c r="BT199" i="4" s="1"/>
  <c r="BW15" i="2"/>
  <c r="BW24" i="2" s="1"/>
  <c r="BV199" i="4" s="1"/>
  <c r="BZ15" i="2"/>
  <c r="BZ24" i="2"/>
  <c r="BY199" i="4" s="1"/>
  <c r="CA15" i="2"/>
  <c r="CA24" i="2" s="1"/>
  <c r="BZ199" i="4" s="1"/>
  <c r="CB15" i="2"/>
  <c r="G17" i="2"/>
  <c r="L17" i="2"/>
  <c r="Q17" i="2"/>
  <c r="V17" i="2"/>
  <c r="AA17" i="2"/>
  <c r="AF17" i="2"/>
  <c r="AK17" i="2"/>
  <c r="AP17" i="2"/>
  <c r="AU17" i="2"/>
  <c r="AZ17" i="2"/>
  <c r="BE17" i="2"/>
  <c r="BJ17" i="2"/>
  <c r="BM17" i="2"/>
  <c r="BO17" i="2"/>
  <c r="BT17" i="2"/>
  <c r="BY17" i="2"/>
  <c r="G18" i="2"/>
  <c r="L18" i="2"/>
  <c r="Q18" i="2"/>
  <c r="V18" i="2"/>
  <c r="AA18" i="2"/>
  <c r="AF18" i="2"/>
  <c r="AK18" i="2"/>
  <c r="AP18" i="2"/>
  <c r="AU18" i="2"/>
  <c r="AZ18" i="2"/>
  <c r="BE18" i="2"/>
  <c r="BJ18" i="2"/>
  <c r="BO18" i="2"/>
  <c r="BT18" i="2"/>
  <c r="BY18" i="2"/>
  <c r="CD18" i="2"/>
  <c r="G19" i="2"/>
  <c r="L19" i="2"/>
  <c r="Q19" i="2"/>
  <c r="V19" i="2"/>
  <c r="AA19" i="2"/>
  <c r="AF19" i="2"/>
  <c r="AK19" i="2"/>
  <c r="AP19" i="2"/>
  <c r="AU19" i="2"/>
  <c r="AZ19" i="2"/>
  <c r="BE19" i="2"/>
  <c r="BJ19" i="2"/>
  <c r="BO19" i="2"/>
  <c r="BT19" i="2"/>
  <c r="BY19" i="2"/>
  <c r="G20" i="2"/>
  <c r="L20" i="2"/>
  <c r="Q20" i="2"/>
  <c r="V20" i="2"/>
  <c r="AA20" i="2"/>
  <c r="AF20" i="2"/>
  <c r="AK20" i="2"/>
  <c r="AP20" i="2"/>
  <c r="AQ39" i="3" s="1"/>
  <c r="AU20" i="2"/>
  <c r="AZ20" i="2"/>
  <c r="BE20" i="2"/>
  <c r="BF39" i="3" s="1"/>
  <c r="BG39" i="3" s="1"/>
  <c r="BJ20" i="2"/>
  <c r="BO20" i="2"/>
  <c r="BT20" i="2"/>
  <c r="BY20" i="2"/>
  <c r="CD20" i="2"/>
  <c r="G21" i="2"/>
  <c r="L21" i="2"/>
  <c r="Q21" i="2"/>
  <c r="V21" i="2"/>
  <c r="AA21" i="2"/>
  <c r="AF21" i="2"/>
  <c r="AK21" i="2"/>
  <c r="AP21" i="2"/>
  <c r="AU21" i="2"/>
  <c r="AZ21" i="2"/>
  <c r="BE21" i="2"/>
  <c r="BJ21" i="2"/>
  <c r="BO21" i="2"/>
  <c r="BT21" i="2"/>
  <c r="BY21" i="2"/>
  <c r="CD21" i="2"/>
  <c r="G22" i="2"/>
  <c r="L22" i="2"/>
  <c r="Q22" i="2"/>
  <c r="T22" i="2"/>
  <c r="U22" i="2"/>
  <c r="V22" i="2"/>
  <c r="AA22" i="2"/>
  <c r="AE22" i="2"/>
  <c r="AF22" i="2"/>
  <c r="AK22" i="2"/>
  <c r="AP22" i="2"/>
  <c r="AU22" i="2"/>
  <c r="AZ22" i="2"/>
  <c r="BE22" i="2"/>
  <c r="BJ22" i="2"/>
  <c r="BO22" i="2"/>
  <c r="BT22" i="2"/>
  <c r="BY22" i="2"/>
  <c r="E24" i="2"/>
  <c r="N24" i="2"/>
  <c r="S24" i="2"/>
  <c r="R199" i="4" s="1"/>
  <c r="X24" i="2"/>
  <c r="Z24" i="2"/>
  <c r="AA24" i="2" s="1"/>
  <c r="AW24" i="2"/>
  <c r="AV199" i="4" s="1"/>
  <c r="BH24" i="2"/>
  <c r="BN24" i="2"/>
  <c r="BO24" i="2" s="1"/>
  <c r="BQ24" i="2"/>
  <c r="BP199" i="4" s="1"/>
  <c r="BR24" i="2"/>
  <c r="BQ199" i="4" s="1"/>
  <c r="CB24" i="2"/>
  <c r="CA199" i="4" s="1"/>
  <c r="G26" i="2"/>
  <c r="L26" i="2"/>
  <c r="Q26" i="2"/>
  <c r="V26" i="2"/>
  <c r="AA26" i="2"/>
  <c r="AF26" i="2"/>
  <c r="AK26" i="2"/>
  <c r="AP26" i="2"/>
  <c r="AU26" i="2"/>
  <c r="AZ26" i="2"/>
  <c r="BE26" i="2"/>
  <c r="BJ26" i="2"/>
  <c r="BO26" i="2"/>
  <c r="BT26" i="2"/>
  <c r="BY26" i="2"/>
  <c r="G27" i="2"/>
  <c r="L27" i="2"/>
  <c r="Q27" i="2"/>
  <c r="V27" i="2"/>
  <c r="AA27" i="2"/>
  <c r="AF27" i="2"/>
  <c r="AK27" i="2"/>
  <c r="AP27" i="2"/>
  <c r="AU27" i="2"/>
  <c r="AZ27" i="2"/>
  <c r="BE27" i="2"/>
  <c r="BJ27" i="2"/>
  <c r="BO27" i="2"/>
  <c r="BT27" i="2"/>
  <c r="BY27" i="2"/>
  <c r="G28" i="2"/>
  <c r="L28" i="2"/>
  <c r="Q28" i="2"/>
  <c r="V28" i="2"/>
  <c r="AA28" i="2"/>
  <c r="AF28" i="2"/>
  <c r="AK28" i="2"/>
  <c r="AP28" i="2"/>
  <c r="AU28" i="2"/>
  <c r="AZ28" i="2"/>
  <c r="BE28" i="2"/>
  <c r="BJ28" i="2"/>
  <c r="BO28" i="2"/>
  <c r="BT28" i="2"/>
  <c r="BY28" i="2"/>
  <c r="G29" i="2"/>
  <c r="L29" i="2"/>
  <c r="Q29" i="2"/>
  <c r="V29" i="2"/>
  <c r="AA29" i="2"/>
  <c r="AF29" i="2"/>
  <c r="AK29" i="2"/>
  <c r="AP29" i="2"/>
  <c r="AU29" i="2"/>
  <c r="AZ29" i="2"/>
  <c r="BE29" i="2"/>
  <c r="BJ29" i="2"/>
  <c r="BO29" i="2"/>
  <c r="BT29" i="2"/>
  <c r="BY29" i="2"/>
  <c r="C30" i="2"/>
  <c r="C34" i="2" s="1"/>
  <c r="C43" i="2" s="1"/>
  <c r="D30" i="2"/>
  <c r="D34" i="2" s="1"/>
  <c r="D43" i="2" s="1"/>
  <c r="E30" i="2"/>
  <c r="F30" i="2"/>
  <c r="G30" i="2" s="1"/>
  <c r="H30" i="2"/>
  <c r="H34" i="2" s="1"/>
  <c r="H43" i="2" s="1"/>
  <c r="I30" i="2"/>
  <c r="I34" i="2" s="1"/>
  <c r="I43" i="2" s="1"/>
  <c r="J30" i="2"/>
  <c r="J34" i="2" s="1"/>
  <c r="J43" i="2" s="1"/>
  <c r="I200" i="4" s="1"/>
  <c r="K30" i="2"/>
  <c r="L30" i="2" s="1"/>
  <c r="M30" i="2"/>
  <c r="M34" i="2" s="1"/>
  <c r="M43" i="2" s="1"/>
  <c r="N30" i="2"/>
  <c r="N34" i="2" s="1"/>
  <c r="N43" i="2" s="1"/>
  <c r="O30" i="2"/>
  <c r="O34" i="2" s="1"/>
  <c r="O43" i="2" s="1"/>
  <c r="P30" i="2"/>
  <c r="Q30" i="2" s="1"/>
  <c r="R30" i="2"/>
  <c r="S30" i="2"/>
  <c r="T30" i="2"/>
  <c r="T34" i="2"/>
  <c r="T43" i="2" s="1"/>
  <c r="U30" i="2"/>
  <c r="V30" i="2" s="1"/>
  <c r="W30" i="2"/>
  <c r="X30" i="2"/>
  <c r="Y30" i="2"/>
  <c r="Z30" i="2"/>
  <c r="Z34" i="2" s="1"/>
  <c r="AB30" i="2"/>
  <c r="AC30" i="2"/>
  <c r="AC34" i="2" s="1"/>
  <c r="AC43" i="2" s="1"/>
  <c r="AD30" i="2"/>
  <c r="AD34" i="2" s="1"/>
  <c r="AD43" i="2" s="1"/>
  <c r="AE30" i="2"/>
  <c r="AE34" i="2" s="1"/>
  <c r="AE43" i="2" s="1"/>
  <c r="AG30" i="2"/>
  <c r="AG34" i="2" s="1"/>
  <c r="AG43" i="2" s="1"/>
  <c r="AH30" i="2"/>
  <c r="AH34" i="2" s="1"/>
  <c r="AH43" i="2" s="1"/>
  <c r="AI30" i="2"/>
  <c r="AI34" i="2" s="1"/>
  <c r="AI43" i="2" s="1"/>
  <c r="AJ30" i="2"/>
  <c r="AL30" i="2"/>
  <c r="AL34" i="2" s="1"/>
  <c r="AL43" i="2" s="1"/>
  <c r="AM30" i="2"/>
  <c r="AM34" i="2" s="1"/>
  <c r="AM43" i="2" s="1"/>
  <c r="AL200" i="4" s="1"/>
  <c r="AN30" i="2"/>
  <c r="AN34" i="2" s="1"/>
  <c r="AO30" i="2"/>
  <c r="AP30" i="2" s="1"/>
  <c r="AQ30" i="2"/>
  <c r="AR30" i="2"/>
  <c r="AR34" i="2" s="1"/>
  <c r="AR43" i="2" s="1"/>
  <c r="AS30" i="2"/>
  <c r="AT30" i="2"/>
  <c r="AU30" i="2" s="1"/>
  <c r="AV30" i="2"/>
  <c r="AV34" i="2" s="1"/>
  <c r="AV43" i="2" s="1"/>
  <c r="AW30" i="2"/>
  <c r="AW34" i="2" s="1"/>
  <c r="AW43" i="2" s="1"/>
  <c r="AX30" i="2"/>
  <c r="AY30" i="2"/>
  <c r="AZ30" i="2" s="1"/>
  <c r="BA30" i="2"/>
  <c r="BB30" i="2"/>
  <c r="BC30" i="2"/>
  <c r="BC34" i="2" s="1"/>
  <c r="BC43" i="2" s="1"/>
  <c r="BD30" i="2"/>
  <c r="BE30" i="2" s="1"/>
  <c r="BE200" i="1" s="1"/>
  <c r="BF30" i="2"/>
  <c r="BF34" i="2" s="1"/>
  <c r="BF43" i="2" s="1"/>
  <c r="BG30" i="2"/>
  <c r="BG34" i="2" s="1"/>
  <c r="BG43" i="2" s="1"/>
  <c r="BG51" i="2" s="1"/>
  <c r="BG52" i="2" s="1"/>
  <c r="BH30" i="2"/>
  <c r="BH34" i="2" s="1"/>
  <c r="BH43" i="2" s="1"/>
  <c r="BI30" i="2"/>
  <c r="BJ30" i="2" s="1"/>
  <c r="BK30" i="2"/>
  <c r="BK34" i="2" s="1"/>
  <c r="BK43" i="2" s="1"/>
  <c r="BL30" i="2"/>
  <c r="BL34" i="2" s="1"/>
  <c r="BL43" i="2" s="1"/>
  <c r="BM30" i="2"/>
  <c r="BN30" i="2"/>
  <c r="BO30" i="2"/>
  <c r="BP30" i="2"/>
  <c r="BP34" i="2" s="1"/>
  <c r="BP43" i="2" s="1"/>
  <c r="BQ30" i="2"/>
  <c r="BQ34" i="2" s="1"/>
  <c r="BQ43" i="2" s="1"/>
  <c r="BR30" i="2"/>
  <c r="BR34" i="2" s="1"/>
  <c r="BR43" i="2" s="1"/>
  <c r="BS30" i="2"/>
  <c r="BS34" i="2" s="1"/>
  <c r="BT34" i="2" s="1"/>
  <c r="BU30" i="2"/>
  <c r="BV30" i="2"/>
  <c r="BV34" i="2" s="1"/>
  <c r="BV43" i="2" s="1"/>
  <c r="BW30" i="2"/>
  <c r="BW34" i="2" s="1"/>
  <c r="BW43" i="2" s="1"/>
  <c r="BX30" i="2"/>
  <c r="BY30" i="2" s="1"/>
  <c r="BY199" i="1" s="1"/>
  <c r="BZ30" i="2"/>
  <c r="BZ34" i="2" s="1"/>
  <c r="BZ43" i="2" s="1"/>
  <c r="CA30" i="2"/>
  <c r="CA34" i="2" s="1"/>
  <c r="CA43" i="2" s="1"/>
  <c r="CB30" i="2"/>
  <c r="CB34" i="2" s="1"/>
  <c r="CB43" i="2" s="1"/>
  <c r="G31" i="2"/>
  <c r="L31" i="2"/>
  <c r="Q31" i="2"/>
  <c r="V31" i="2"/>
  <c r="AA31" i="2"/>
  <c r="AA30" i="2" s="1"/>
  <c r="AF31" i="2"/>
  <c r="AK31" i="2"/>
  <c r="AP31" i="2"/>
  <c r="AU31" i="2"/>
  <c r="AZ31" i="2"/>
  <c r="BE31" i="2"/>
  <c r="BJ31" i="2"/>
  <c r="BO31" i="2"/>
  <c r="BY31" i="2"/>
  <c r="CD31" i="2"/>
  <c r="CI31" i="2"/>
  <c r="CN31" i="2"/>
  <c r="CS31" i="2"/>
  <c r="G32" i="2"/>
  <c r="L32" i="2"/>
  <c r="Q32" i="2"/>
  <c r="V32" i="2"/>
  <c r="AA32" i="2"/>
  <c r="AF32" i="2"/>
  <c r="AK32" i="2"/>
  <c r="AP32" i="2"/>
  <c r="AU32" i="2"/>
  <c r="AZ32" i="2"/>
  <c r="BE32" i="2"/>
  <c r="BJ32" i="2"/>
  <c r="BO32" i="2"/>
  <c r="BT32" i="2"/>
  <c r="BY32" i="2"/>
  <c r="CC32" i="2"/>
  <c r="CD32" i="2" s="1"/>
  <c r="G33" i="2"/>
  <c r="L33" i="2"/>
  <c r="Q33" i="2"/>
  <c r="V33" i="2"/>
  <c r="AA33" i="2"/>
  <c r="AF33" i="2"/>
  <c r="AK33" i="2"/>
  <c r="AP33" i="2"/>
  <c r="AU33" i="2"/>
  <c r="AZ33" i="2"/>
  <c r="BE33" i="2"/>
  <c r="BJ33" i="2"/>
  <c r="BO33" i="2"/>
  <c r="BT33" i="2"/>
  <c r="BY33" i="2"/>
  <c r="CD33" i="2"/>
  <c r="E34" i="2"/>
  <c r="E43" i="2" s="1"/>
  <c r="S34" i="2"/>
  <c r="S43" i="2" s="1"/>
  <c r="W34" i="2"/>
  <c r="W43" i="2" s="1"/>
  <c r="AQ34" i="2"/>
  <c r="AQ43" i="2" s="1"/>
  <c r="BA34" i="2"/>
  <c r="BA43" i="2" s="1"/>
  <c r="G35" i="2"/>
  <c r="L35" i="2"/>
  <c r="Q35" i="2"/>
  <c r="V35" i="2"/>
  <c r="AA35" i="2"/>
  <c r="AF35" i="2"/>
  <c r="AK35" i="2"/>
  <c r="AP35" i="2"/>
  <c r="AU35" i="2"/>
  <c r="AZ35" i="2"/>
  <c r="BE35" i="2"/>
  <c r="BJ35" i="2"/>
  <c r="BO35" i="2"/>
  <c r="BT35" i="2"/>
  <c r="BY35" i="2"/>
  <c r="CD35" i="2"/>
  <c r="CI35" i="2"/>
  <c r="CN35" i="2"/>
  <c r="CS35" i="2"/>
  <c r="G36" i="2"/>
  <c r="L36" i="2"/>
  <c r="K212" i="4" s="1"/>
  <c r="Q36" i="2"/>
  <c r="V36" i="2"/>
  <c r="AA36" i="2"/>
  <c r="AF36" i="2"/>
  <c r="AK36" i="2"/>
  <c r="AP36" i="2"/>
  <c r="AU36" i="2"/>
  <c r="AZ36" i="2"/>
  <c r="AY212" i="4" s="1"/>
  <c r="BE36" i="2"/>
  <c r="BJ36" i="2"/>
  <c r="BO36" i="2"/>
  <c r="BT36" i="2"/>
  <c r="BY36" i="2"/>
  <c r="CS36" i="2"/>
  <c r="AN37" i="2"/>
  <c r="AN53" i="2" s="1"/>
  <c r="AP37" i="2"/>
  <c r="AU37" i="2"/>
  <c r="AZ37" i="2"/>
  <c r="BE37" i="2"/>
  <c r="BJ37" i="2"/>
  <c r="BO37" i="2"/>
  <c r="BT37" i="2"/>
  <c r="BY37" i="2"/>
  <c r="AP38" i="2"/>
  <c r="AU38" i="2"/>
  <c r="AZ38" i="2"/>
  <c r="BE38" i="2"/>
  <c r="BJ38" i="2"/>
  <c r="BO38" i="2"/>
  <c r="BT38" i="2"/>
  <c r="BY38" i="2"/>
  <c r="CD38" i="2"/>
  <c r="G39" i="2"/>
  <c r="L39" i="2"/>
  <c r="L190" i="1" s="1"/>
  <c r="Q39" i="2"/>
  <c r="V39" i="2"/>
  <c r="AA39" i="2"/>
  <c r="Z202" i="4" s="1"/>
  <c r="AF39" i="2"/>
  <c r="AF190" i="1" s="1"/>
  <c r="AK39" i="2"/>
  <c r="AP39" i="2"/>
  <c r="AU39" i="2"/>
  <c r="AZ39" i="2"/>
  <c r="BE39" i="2"/>
  <c r="BJ39" i="2"/>
  <c r="BO39" i="2"/>
  <c r="BN202" i="4" s="1"/>
  <c r="BT39" i="2"/>
  <c r="BY39" i="2"/>
  <c r="G40" i="2"/>
  <c r="L40" i="2"/>
  <c r="Q40" i="2"/>
  <c r="V40" i="2"/>
  <c r="AA40" i="2"/>
  <c r="AF40" i="2"/>
  <c r="AK40" i="2"/>
  <c r="AP40" i="2"/>
  <c r="AU40" i="2"/>
  <c r="AZ40" i="2"/>
  <c r="BE40" i="2"/>
  <c r="BJ40" i="2"/>
  <c r="BO40" i="2"/>
  <c r="BT40" i="2"/>
  <c r="BY40" i="2"/>
  <c r="CD40" i="2"/>
  <c r="G41" i="2"/>
  <c r="L41" i="2"/>
  <c r="Q41" i="2"/>
  <c r="V41" i="2"/>
  <c r="AA41" i="2"/>
  <c r="AB41" i="2"/>
  <c r="AC41" i="2"/>
  <c r="AD41" i="2"/>
  <c r="AE41" i="2"/>
  <c r="AF41" i="2"/>
  <c r="AG41" i="2"/>
  <c r="AH41" i="2"/>
  <c r="AI41" i="2"/>
  <c r="AJ41" i="2"/>
  <c r="AJ29" i="3"/>
  <c r="AL41" i="2"/>
  <c r="AM41" i="2"/>
  <c r="AN41" i="2"/>
  <c r="AO41" i="2"/>
  <c r="AP41" i="2"/>
  <c r="AQ41" i="2"/>
  <c r="AR41" i="2"/>
  <c r="AS41" i="2"/>
  <c r="AT41" i="2"/>
  <c r="AU41" i="2"/>
  <c r="AV41" i="2"/>
  <c r="AW41" i="2"/>
  <c r="AX29" i="3"/>
  <c r="AY29" i="3" s="1"/>
  <c r="AX41" i="2"/>
  <c r="AY41" i="2"/>
  <c r="AZ41" i="2"/>
  <c r="BA41" i="2"/>
  <c r="BB41" i="2"/>
  <c r="BC41" i="2"/>
  <c r="BD41" i="2"/>
  <c r="BE41" i="2"/>
  <c r="BF41" i="2"/>
  <c r="BG41" i="2"/>
  <c r="BH41" i="2"/>
  <c r="BI41" i="2"/>
  <c r="BJ41" i="2"/>
  <c r="BK41" i="2"/>
  <c r="BL41" i="2"/>
  <c r="BM41" i="2"/>
  <c r="BN41" i="2"/>
  <c r="BO41" i="2"/>
  <c r="BP41" i="2"/>
  <c r="BQ41" i="2"/>
  <c r="BR41" i="2"/>
  <c r="BS41" i="2"/>
  <c r="BT41" i="2"/>
  <c r="BU41" i="2"/>
  <c r="BV41" i="2"/>
  <c r="BW41" i="2"/>
  <c r="BX41" i="2"/>
  <c r="BY41" i="2"/>
  <c r="CD41" i="2"/>
  <c r="G44" i="2"/>
  <c r="L44" i="2"/>
  <c r="Q44" i="2"/>
  <c r="V44" i="2"/>
  <c r="AA44" i="2"/>
  <c r="AF44" i="2"/>
  <c r="AJ44" i="2"/>
  <c r="AK44" i="2"/>
  <c r="AP44" i="2"/>
  <c r="AU44" i="2"/>
  <c r="AZ44" i="2"/>
  <c r="BE44" i="2"/>
  <c r="BJ44" i="2"/>
  <c r="BO44" i="2"/>
  <c r="BT44" i="2"/>
  <c r="BY44" i="2"/>
  <c r="CA56" i="2"/>
  <c r="G45" i="2"/>
  <c r="L73" i="2" s="1"/>
  <c r="H45" i="2"/>
  <c r="I45" i="2"/>
  <c r="J45" i="2"/>
  <c r="K57" i="2"/>
  <c r="L45" i="2"/>
  <c r="Q73" i="2"/>
  <c r="Q45" i="2"/>
  <c r="V45" i="2"/>
  <c r="AA73" i="2" s="1"/>
  <c r="AA45" i="2"/>
  <c r="AF73" i="2" s="1"/>
  <c r="AF45" i="2"/>
  <c r="AK45" i="2"/>
  <c r="AP45" i="2"/>
  <c r="AU45" i="2"/>
  <c r="AZ45" i="2"/>
  <c r="BE73" i="2" s="1"/>
  <c r="BE45" i="2"/>
  <c r="BJ73" i="2" s="1"/>
  <c r="BJ45" i="2"/>
  <c r="BO73" i="2" s="1"/>
  <c r="BO45" i="2"/>
  <c r="BT73" i="2" s="1"/>
  <c r="BT45" i="2"/>
  <c r="BY73" i="2" s="1"/>
  <c r="BY45" i="2"/>
  <c r="G46" i="2"/>
  <c r="L46" i="2"/>
  <c r="Q46" i="2"/>
  <c r="V46" i="2"/>
  <c r="AA46" i="2"/>
  <c r="AE46" i="2"/>
  <c r="AF46" i="2"/>
  <c r="AK46" i="2"/>
  <c r="AP46" i="2"/>
  <c r="AU46" i="2"/>
  <c r="AZ46" i="2"/>
  <c r="BE46" i="2"/>
  <c r="BJ46" i="2"/>
  <c r="BO46" i="2"/>
  <c r="BT46" i="2"/>
  <c r="BY46" i="2"/>
  <c r="CA46" i="2"/>
  <c r="CB46" i="2"/>
  <c r="CD46" i="2"/>
  <c r="G47" i="2"/>
  <c r="L47" i="2"/>
  <c r="Q47" i="2"/>
  <c r="Q85" i="2" s="1"/>
  <c r="V47" i="2"/>
  <c r="AA47" i="2"/>
  <c r="AF47" i="2"/>
  <c r="AK47" i="2"/>
  <c r="AP47" i="2"/>
  <c r="AU47" i="2"/>
  <c r="AZ47" i="2"/>
  <c r="BD47" i="2"/>
  <c r="BE47" i="2"/>
  <c r="BJ47" i="2"/>
  <c r="BM47" i="2"/>
  <c r="BM57" i="2"/>
  <c r="BO47" i="2"/>
  <c r="BT47" i="2"/>
  <c r="BY47" i="2"/>
  <c r="CB47" i="2"/>
  <c r="G48" i="2"/>
  <c r="L48" i="2"/>
  <c r="Q48" i="2"/>
  <c r="V48" i="2"/>
  <c r="AA48" i="2"/>
  <c r="AF48" i="2"/>
  <c r="AH48" i="2"/>
  <c r="AH50" i="2"/>
  <c r="AK48" i="2"/>
  <c r="AP48" i="2"/>
  <c r="AU48" i="2"/>
  <c r="AZ48" i="2"/>
  <c r="BE48" i="2"/>
  <c r="BJ48" i="2"/>
  <c r="BM48" i="2"/>
  <c r="BO48" i="2"/>
  <c r="BT48" i="2"/>
  <c r="BY48" i="2"/>
  <c r="C50" i="2"/>
  <c r="D50" i="2"/>
  <c r="E50" i="2"/>
  <c r="F50" i="2"/>
  <c r="G50" i="2" s="1"/>
  <c r="H50" i="2"/>
  <c r="I50" i="2"/>
  <c r="J50" i="2"/>
  <c r="K50" i="2"/>
  <c r="L50" i="2" s="1"/>
  <c r="M50" i="2"/>
  <c r="N50" i="2"/>
  <c r="O50" i="2"/>
  <c r="P50" i="2"/>
  <c r="Q50" i="2"/>
  <c r="R50" i="2"/>
  <c r="S50" i="2"/>
  <c r="T50" i="2"/>
  <c r="U50" i="2"/>
  <c r="V50" i="2" s="1"/>
  <c r="W50" i="2"/>
  <c r="X50" i="2"/>
  <c r="Y50" i="2"/>
  <c r="Z50" i="2"/>
  <c r="AA50" i="2" s="1"/>
  <c r="AB50" i="2"/>
  <c r="AC50" i="2"/>
  <c r="AD50" i="2"/>
  <c r="AE50" i="2"/>
  <c r="AF50" i="2" s="1"/>
  <c r="AG50" i="2"/>
  <c r="AI50" i="2"/>
  <c r="AJ50" i="2"/>
  <c r="AK50" i="2" s="1"/>
  <c r="AL50" i="2"/>
  <c r="AM50" i="2"/>
  <c r="AN50" i="2"/>
  <c r="AO50" i="2"/>
  <c r="AP50" i="2"/>
  <c r="AQ50" i="2"/>
  <c r="AR50" i="2"/>
  <c r="AS50" i="2"/>
  <c r="AT50" i="2"/>
  <c r="AU50" i="2" s="1"/>
  <c r="AV50" i="2"/>
  <c r="AW50" i="2"/>
  <c r="AX50" i="2"/>
  <c r="AY50" i="2"/>
  <c r="AZ50" i="2" s="1"/>
  <c r="BA50" i="2"/>
  <c r="BB50" i="2"/>
  <c r="BC50" i="2"/>
  <c r="BD50" i="2"/>
  <c r="BE50" i="2" s="1"/>
  <c r="BF50" i="2"/>
  <c r="BG50" i="2"/>
  <c r="BH50" i="2"/>
  <c r="BI50" i="2"/>
  <c r="BJ50" i="2" s="1"/>
  <c r="BK50" i="2"/>
  <c r="BL50" i="2"/>
  <c r="BM50" i="2"/>
  <c r="BN50" i="2"/>
  <c r="BO50" i="2" s="1"/>
  <c r="BP50" i="2"/>
  <c r="BQ50" i="2"/>
  <c r="BR50" i="2"/>
  <c r="BS50" i="2"/>
  <c r="BT50" i="2" s="1"/>
  <c r="BU50" i="2"/>
  <c r="BV50" i="2"/>
  <c r="BW50" i="2"/>
  <c r="BX50" i="2"/>
  <c r="BY50" i="2"/>
  <c r="BZ50" i="2"/>
  <c r="CA50" i="2"/>
  <c r="CB50" i="2"/>
  <c r="AQ53" i="2"/>
  <c r="AR53" i="2"/>
  <c r="AS53" i="2"/>
  <c r="AT53" i="2"/>
  <c r="AV53" i="2"/>
  <c r="AW53" i="2"/>
  <c r="AX53" i="2"/>
  <c r="AY53" i="2"/>
  <c r="BA53" i="2"/>
  <c r="BB53" i="2"/>
  <c r="BC53" i="2"/>
  <c r="BD53" i="2"/>
  <c r="BF53" i="2"/>
  <c r="BG53" i="2"/>
  <c r="BH53" i="2"/>
  <c r="BI53" i="2"/>
  <c r="BK53" i="2"/>
  <c r="BL53" i="2"/>
  <c r="BM53" i="2"/>
  <c r="BN53" i="2"/>
  <c r="BP53" i="2"/>
  <c r="BQ53" i="2"/>
  <c r="BR53" i="2"/>
  <c r="BS53" i="2"/>
  <c r="BU53" i="2"/>
  <c r="BV53" i="2"/>
  <c r="BW53" i="2"/>
  <c r="BX53" i="2"/>
  <c r="BZ53" i="2"/>
  <c r="CA53" i="2"/>
  <c r="CB53" i="2"/>
  <c r="H56" i="2"/>
  <c r="I56" i="2"/>
  <c r="J56" i="2"/>
  <c r="K56" i="2"/>
  <c r="M56" i="2"/>
  <c r="N56" i="2"/>
  <c r="O56" i="2"/>
  <c r="Q56" i="2" s="1"/>
  <c r="P56" i="2"/>
  <c r="R56" i="2"/>
  <c r="S56" i="2"/>
  <c r="T56" i="2"/>
  <c r="V56" i="2" s="1"/>
  <c r="U56" i="2"/>
  <c r="W56" i="2"/>
  <c r="X56" i="2"/>
  <c r="Y56" i="2"/>
  <c r="AA56" i="2" s="1"/>
  <c r="Z56" i="2"/>
  <c r="AB56" i="2"/>
  <c r="AC56" i="2"/>
  <c r="AD56" i="2"/>
  <c r="AF56" i="2" s="1"/>
  <c r="AE56" i="2"/>
  <c r="AG56" i="2"/>
  <c r="AH56" i="2"/>
  <c r="AI56" i="2"/>
  <c r="AK56" i="2" s="1"/>
  <c r="AJ56" i="2"/>
  <c r="AL56" i="2"/>
  <c r="AM56" i="2"/>
  <c r="AN56" i="2"/>
  <c r="AP56" i="2" s="1"/>
  <c r="AO56" i="2"/>
  <c r="AQ56" i="2"/>
  <c r="AR56" i="2"/>
  <c r="AS56" i="2"/>
  <c r="AT56" i="2"/>
  <c r="AV56" i="2"/>
  <c r="AW56" i="2"/>
  <c r="AX56" i="2"/>
  <c r="AZ56" i="2" s="1"/>
  <c r="AY56" i="2"/>
  <c r="BA56" i="2"/>
  <c r="BB56" i="2"/>
  <c r="BC56" i="2"/>
  <c r="BE56" i="2" s="1"/>
  <c r="BD56" i="2"/>
  <c r="BF56" i="2"/>
  <c r="BG56" i="2"/>
  <c r="BH56" i="2"/>
  <c r="BJ56" i="2" s="1"/>
  <c r="BI56" i="2"/>
  <c r="BK56" i="2"/>
  <c r="BL56" i="2"/>
  <c r="BM56" i="2"/>
  <c r="BO56" i="2" s="1"/>
  <c r="BN56" i="2"/>
  <c r="BP56" i="2"/>
  <c r="BQ56" i="2"/>
  <c r="BR56" i="2"/>
  <c r="BT56" i="2" s="1"/>
  <c r="BS56" i="2"/>
  <c r="BU56" i="2"/>
  <c r="BV56" i="2"/>
  <c r="BW56" i="2"/>
  <c r="BY56" i="2" s="1"/>
  <c r="BX56" i="2"/>
  <c r="BZ56" i="2"/>
  <c r="CB56" i="2"/>
  <c r="H57" i="2"/>
  <c r="I57" i="2"/>
  <c r="J57" i="2"/>
  <c r="M57" i="2"/>
  <c r="N57" i="2"/>
  <c r="O57" i="2"/>
  <c r="P57" i="2"/>
  <c r="R57" i="2"/>
  <c r="S57" i="2"/>
  <c r="V57" i="2" s="1"/>
  <c r="T57" i="2"/>
  <c r="U57" i="2"/>
  <c r="W57" i="2"/>
  <c r="X57" i="2"/>
  <c r="AA57" i="2" s="1"/>
  <c r="Y57" i="2"/>
  <c r="Z57" i="2"/>
  <c r="BB57" i="2"/>
  <c r="BC57" i="2"/>
  <c r="BG57" i="2"/>
  <c r="BH57" i="2"/>
  <c r="BK57" i="2"/>
  <c r="BL57" i="2"/>
  <c r="BO57" i="2" s="1"/>
  <c r="BN57" i="2"/>
  <c r="BP57" i="2"/>
  <c r="BQ57" i="2"/>
  <c r="BR57" i="2"/>
  <c r="BT57" i="2" s="1"/>
  <c r="BS57" i="2"/>
  <c r="BV57" i="2"/>
  <c r="BX57" i="2"/>
  <c r="BZ57" i="2"/>
  <c r="CB57" i="2"/>
  <c r="CC59" i="2"/>
  <c r="CC62" i="2" s="1"/>
  <c r="BN60" i="2"/>
  <c r="BS60" i="2"/>
  <c r="BX60" i="2"/>
  <c r="BL61" i="2"/>
  <c r="BM61" i="2"/>
  <c r="BN61" i="2"/>
  <c r="BQ61" i="2"/>
  <c r="BR61" i="2" s="1"/>
  <c r="BY61" i="2"/>
  <c r="BF63" i="2"/>
  <c r="BG63" i="2"/>
  <c r="BH63" i="2"/>
  <c r="BI63" i="2"/>
  <c r="BJ63" i="2" s="1"/>
  <c r="BK63" i="2"/>
  <c r="BL63" i="2"/>
  <c r="BM63" i="2"/>
  <c r="BN63" i="2"/>
  <c r="BP63" i="2"/>
  <c r="BQ59" i="2" s="1"/>
  <c r="BQ63" i="2"/>
  <c r="BR63" i="2"/>
  <c r="BS63" i="2"/>
  <c r="BU59" i="2" s="1"/>
  <c r="BU62" i="2" s="1"/>
  <c r="BU63" i="2"/>
  <c r="BV63" i="2"/>
  <c r="BW63" i="2"/>
  <c r="BX59" i="2" s="1"/>
  <c r="BX63" i="2"/>
  <c r="CD59" i="2" s="1"/>
  <c r="BZ63" i="2"/>
  <c r="CA59" i="2" s="1"/>
  <c r="CA63" i="2"/>
  <c r="L68" i="2"/>
  <c r="Q68" i="2"/>
  <c r="V68" i="2"/>
  <c r="AA68" i="2"/>
  <c r="AC68" i="2"/>
  <c r="AF68" i="2"/>
  <c r="AD68" i="2"/>
  <c r="AH68" i="2"/>
  <c r="AI68" i="2" s="1"/>
  <c r="AL68" i="2"/>
  <c r="AM68" i="2"/>
  <c r="AN68" i="2" s="1"/>
  <c r="AP68" i="2" s="1"/>
  <c r="AR68" i="2"/>
  <c r="AS68" i="2" s="1"/>
  <c r="AZ68" i="2"/>
  <c r="BE68" i="2"/>
  <c r="BJ68" i="2"/>
  <c r="BO68" i="2"/>
  <c r="BU68" i="2"/>
  <c r="BW68" i="2"/>
  <c r="BX68" i="2"/>
  <c r="BZ68" i="2"/>
  <c r="CA68" i="2"/>
  <c r="CA69" i="2"/>
  <c r="CB68" i="2"/>
  <c r="CB69" i="2" s="1"/>
  <c r="V69" i="2"/>
  <c r="AE69" i="2"/>
  <c r="AO69" i="2"/>
  <c r="AS69" i="2"/>
  <c r="AT69" i="2"/>
  <c r="AV69" i="2"/>
  <c r="AW69" i="2"/>
  <c r="AX69" i="2"/>
  <c r="AY69" i="2"/>
  <c r="BA69" i="2"/>
  <c r="BA70" i="2" s="1"/>
  <c r="BB69" i="2"/>
  <c r="BC69" i="2"/>
  <c r="BF69" i="2"/>
  <c r="BF70" i="2" s="1"/>
  <c r="BF57" i="2" s="1"/>
  <c r="BG69" i="2"/>
  <c r="BH69" i="2"/>
  <c r="BI69" i="2"/>
  <c r="BI70" i="2" s="1"/>
  <c r="BK69" i="2"/>
  <c r="BL69" i="2"/>
  <c r="BM69" i="2"/>
  <c r="BN69" i="2"/>
  <c r="BP69" i="2"/>
  <c r="BQ69" i="2"/>
  <c r="BR69" i="2"/>
  <c r="BV69" i="2"/>
  <c r="BW69" i="2" s="1"/>
  <c r="BZ69" i="2"/>
  <c r="L70" i="2"/>
  <c r="L69" i="2"/>
  <c r="Q70" i="2"/>
  <c r="Q69" i="2"/>
  <c r="V70" i="2"/>
  <c r="AA70" i="2"/>
  <c r="AA69" i="2"/>
  <c r="AT70" i="2"/>
  <c r="AT57" i="2" s="1"/>
  <c r="BD70" i="2"/>
  <c r="BD57" i="2" s="1"/>
  <c r="BO70" i="2"/>
  <c r="BT70" i="2"/>
  <c r="BU70" i="2"/>
  <c r="BU57" i="2"/>
  <c r="BS71" i="2"/>
  <c r="AZ73" i="2"/>
  <c r="AE74" i="2"/>
  <c r="AF74" i="2" s="1"/>
  <c r="AJ74" i="2"/>
  <c r="AK74" i="2" s="1"/>
  <c r="AO74" i="2"/>
  <c r="AP74" i="2"/>
  <c r="AT74" i="2"/>
  <c r="AU74" i="2" s="1"/>
  <c r="AZ74" i="2"/>
  <c r="BE74" i="2"/>
  <c r="BJ74" i="2"/>
  <c r="BO74" i="2"/>
  <c r="BT74" i="2"/>
  <c r="BY74" i="2"/>
  <c r="CD74" i="2"/>
  <c r="CI74" i="2"/>
  <c r="CN74" i="2"/>
  <c r="CS74" i="2"/>
  <c r="AF75" i="2"/>
  <c r="AK75" i="2"/>
  <c r="AP75" i="2"/>
  <c r="AU75" i="2"/>
  <c r="AZ75" i="2"/>
  <c r="BE75" i="2"/>
  <c r="BJ75" i="2"/>
  <c r="BO75" i="2"/>
  <c r="BT75" i="2"/>
  <c r="BY75" i="2"/>
  <c r="CD75" i="2"/>
  <c r="CI75" i="2"/>
  <c r="CN75" i="2"/>
  <c r="CS75" i="2"/>
  <c r="AG76" i="2"/>
  <c r="AT76" i="2"/>
  <c r="BP76" i="2"/>
  <c r="AB77" i="2"/>
  <c r="AH77" i="2"/>
  <c r="AN77" i="2"/>
  <c r="AO77" i="2"/>
  <c r="AS77" i="2"/>
  <c r="AV77" i="2"/>
  <c r="BB77" i="2"/>
  <c r="BC77" i="2"/>
  <c r="BG77" i="2"/>
  <c r="BH77" i="2"/>
  <c r="BL77" i="2"/>
  <c r="BM77" i="2"/>
  <c r="BQ77" i="2"/>
  <c r="BR77" i="2"/>
  <c r="BW77" i="2"/>
  <c r="CA77" i="2"/>
  <c r="CS78" i="2"/>
  <c r="C79" i="2"/>
  <c r="D73" i="2" s="1"/>
  <c r="D79" i="2"/>
  <c r="E73" i="2"/>
  <c r="E79" i="2"/>
  <c r="F73" i="2" s="1"/>
  <c r="F79" i="2"/>
  <c r="H73" i="2" s="1"/>
  <c r="H79" i="2"/>
  <c r="I73" i="2" s="1"/>
  <c r="I79" i="2"/>
  <c r="J73" i="2" s="1"/>
  <c r="J79" i="2"/>
  <c r="K73" i="2" s="1"/>
  <c r="K79" i="2"/>
  <c r="M73" i="2"/>
  <c r="M79" i="2"/>
  <c r="N73" i="2" s="1"/>
  <c r="N79" i="2"/>
  <c r="O73" i="2" s="1"/>
  <c r="O79" i="2"/>
  <c r="P73" i="2" s="1"/>
  <c r="P79" i="2"/>
  <c r="R73" i="2" s="1"/>
  <c r="R79" i="2"/>
  <c r="S73" i="2"/>
  <c r="S79" i="2"/>
  <c r="T73" i="2" s="1"/>
  <c r="T79" i="2"/>
  <c r="U73" i="2" s="1"/>
  <c r="U79" i="2"/>
  <c r="W73" i="2" s="1"/>
  <c r="W79" i="2"/>
  <c r="X73" i="2" s="1"/>
  <c r="X79" i="2"/>
  <c r="Y73" i="2" s="1"/>
  <c r="Y79" i="2"/>
  <c r="Z73" i="2" s="1"/>
  <c r="Z79" i="2"/>
  <c r="AB79" i="2"/>
  <c r="AC79" i="2"/>
  <c r="AD73" i="2"/>
  <c r="AD79" i="2"/>
  <c r="AE73" i="2" s="1"/>
  <c r="AE79" i="2"/>
  <c r="AG73" i="2" s="1"/>
  <c r="AG79" i="2"/>
  <c r="AH73" i="2" s="1"/>
  <c r="AH79" i="2"/>
  <c r="AI73" i="2" s="1"/>
  <c r="AI79" i="2"/>
  <c r="AJ73" i="2" s="1"/>
  <c r="AJ79" i="2"/>
  <c r="AL73" i="2" s="1"/>
  <c r="AP73" i="2" s="1"/>
  <c r="AL79" i="2"/>
  <c r="AM73" i="2" s="1"/>
  <c r="AM79" i="2"/>
  <c r="AN73" i="2" s="1"/>
  <c r="AN79" i="2"/>
  <c r="AO73" i="2" s="1"/>
  <c r="AO79" i="2"/>
  <c r="AQ73" i="2"/>
  <c r="AQ79" i="2"/>
  <c r="AR73" i="2" s="1"/>
  <c r="AR79" i="2"/>
  <c r="AS73" i="2" s="1"/>
  <c r="AS79" i="2"/>
  <c r="AT73" i="2" s="1"/>
  <c r="AT79" i="2"/>
  <c r="AV73" i="2" s="1"/>
  <c r="AV79" i="2"/>
  <c r="AW73" i="2" s="1"/>
  <c r="AW79" i="2"/>
  <c r="AX73" i="2" s="1"/>
  <c r="AX79" i="2"/>
  <c r="AY73" i="2" s="1"/>
  <c r="AY79" i="2"/>
  <c r="BA79" i="2"/>
  <c r="BB73" i="2" s="1"/>
  <c r="BB79" i="2"/>
  <c r="BC73" i="2" s="1"/>
  <c r="BC79" i="2"/>
  <c r="BD73" i="2" s="1"/>
  <c r="BD79" i="2"/>
  <c r="BF79" i="2"/>
  <c r="BG73" i="2" s="1"/>
  <c r="BG79" i="2"/>
  <c r="BH73" i="2" s="1"/>
  <c r="BH79" i="2"/>
  <c r="BI73" i="2" s="1"/>
  <c r="BI79" i="2"/>
  <c r="BK79" i="2"/>
  <c r="BL73" i="2" s="1"/>
  <c r="BL79" i="2"/>
  <c r="BM73" i="2" s="1"/>
  <c r="BM79" i="2"/>
  <c r="BN73" i="2" s="1"/>
  <c r="BN79" i="2"/>
  <c r="BP79" i="2"/>
  <c r="BQ73" i="2" s="1"/>
  <c r="BQ79" i="2"/>
  <c r="BR73" i="2" s="1"/>
  <c r="BR79" i="2"/>
  <c r="BS73" i="2" s="1"/>
  <c r="BS79" i="2"/>
  <c r="BU79" i="2"/>
  <c r="BV73" i="2" s="1"/>
  <c r="BV79" i="2"/>
  <c r="BW73" i="2" s="1"/>
  <c r="BW79" i="2"/>
  <c r="BX73" i="2"/>
  <c r="BX79" i="2"/>
  <c r="BZ79" i="2"/>
  <c r="CA73" i="2" s="1"/>
  <c r="CA79" i="2"/>
  <c r="CB73" i="2" s="1"/>
  <c r="CB79" i="2"/>
  <c r="CC73" i="2" s="1"/>
  <c r="M81" i="2"/>
  <c r="AT82" i="2"/>
  <c r="CS82" i="2"/>
  <c r="U83" i="2"/>
  <c r="AT83" i="2"/>
  <c r="BF83" i="2"/>
  <c r="BS83" i="2"/>
  <c r="BZ83" i="2"/>
  <c r="CS84" i="2"/>
  <c r="M85" i="2"/>
  <c r="N81" i="2" s="1"/>
  <c r="N85" i="2"/>
  <c r="O81" i="2" s="1"/>
  <c r="O85" i="2"/>
  <c r="P85" i="2"/>
  <c r="R81" i="2" s="1"/>
  <c r="R85" i="2"/>
  <c r="S81" i="2" s="1"/>
  <c r="S85" i="2"/>
  <c r="T81" i="2" s="1"/>
  <c r="T85" i="2"/>
  <c r="U81" i="2" s="1"/>
  <c r="U85" i="2"/>
  <c r="W85" i="2"/>
  <c r="X81" i="2" s="1"/>
  <c r="X85" i="2"/>
  <c r="Y81" i="2" s="1"/>
  <c r="Y85" i="2"/>
  <c r="Z81" i="2" s="1"/>
  <c r="Z85" i="2"/>
  <c r="AB81" i="2" s="1"/>
  <c r="AF81" i="2" s="1"/>
  <c r="AB85" i="2"/>
  <c r="AC81" i="2" s="1"/>
  <c r="AC85" i="2"/>
  <c r="AD81" i="2"/>
  <c r="AD85" i="2"/>
  <c r="AE81" i="2" s="1"/>
  <c r="AE85" i="2"/>
  <c r="AG81" i="2" s="1"/>
  <c r="AG85" i="2"/>
  <c r="AH81" i="2"/>
  <c r="AH85" i="2"/>
  <c r="AI81" i="2" s="1"/>
  <c r="AI85" i="2"/>
  <c r="AJ81" i="2" s="1"/>
  <c r="AJ85" i="2"/>
  <c r="AL81" i="2" s="1"/>
  <c r="AL85" i="2"/>
  <c r="AM81" i="2" s="1"/>
  <c r="AM85" i="2"/>
  <c r="AN81" i="2" s="1"/>
  <c r="AN85" i="2"/>
  <c r="AO81" i="2"/>
  <c r="AO85" i="2"/>
  <c r="AQ81" i="2" s="1"/>
  <c r="AQ85" i="2"/>
  <c r="AR81" i="2"/>
  <c r="AR85" i="2"/>
  <c r="AS81" i="2" s="1"/>
  <c r="AS85" i="2"/>
  <c r="AT81" i="2" s="1"/>
  <c r="AT84" i="2" s="1"/>
  <c r="AT85" i="2"/>
  <c r="AV81" i="2" s="1"/>
  <c r="AV85" i="2"/>
  <c r="AW81" i="2"/>
  <c r="AW85" i="2"/>
  <c r="AX81" i="2" s="1"/>
  <c r="AX85" i="2"/>
  <c r="AY81" i="2"/>
  <c r="AY85" i="2"/>
  <c r="BA81" i="2" s="1"/>
  <c r="BA85" i="2"/>
  <c r="BB81" i="2" s="1"/>
  <c r="BB85" i="2"/>
  <c r="BC81" i="2" s="1"/>
  <c r="BC85" i="2"/>
  <c r="BD81" i="2" s="1"/>
  <c r="BD85" i="2"/>
  <c r="BF81" i="2" s="1"/>
  <c r="BF85" i="2"/>
  <c r="BG81" i="2"/>
  <c r="BG85" i="2"/>
  <c r="BH81" i="2" s="1"/>
  <c r="BH85" i="2"/>
  <c r="BI81" i="2" s="1"/>
  <c r="BI85" i="2"/>
  <c r="BK81" i="2" s="1"/>
  <c r="BK85" i="2"/>
  <c r="BL81" i="2" s="1"/>
  <c r="BL85" i="2"/>
  <c r="BM81" i="2" s="1"/>
  <c r="BM85" i="2"/>
  <c r="BN81" i="2" s="1"/>
  <c r="BN85" i="2"/>
  <c r="BP81" i="2" s="1"/>
  <c r="BP85" i="2"/>
  <c r="BQ81" i="2" s="1"/>
  <c r="BQ85" i="2"/>
  <c r="BR81" i="2"/>
  <c r="BR85" i="2"/>
  <c r="BS81" i="2" s="1"/>
  <c r="BS85" i="2"/>
  <c r="BU81" i="2" s="1"/>
  <c r="BU85" i="2"/>
  <c r="BV81" i="2" s="1"/>
  <c r="BV85" i="2"/>
  <c r="BW85" i="2"/>
  <c r="BX81" i="2" s="1"/>
  <c r="BX85" i="2"/>
  <c r="BZ81" i="2" s="1"/>
  <c r="BZ85" i="2"/>
  <c r="CA81" i="2"/>
  <c r="CA85" i="2"/>
  <c r="CB81" i="2" s="1"/>
  <c r="CB85" i="2"/>
  <c r="CC81" i="2"/>
  <c r="BA87" i="2"/>
  <c r="BE87" i="2" s="1"/>
  <c r="BD88" i="2"/>
  <c r="BF88" i="2"/>
  <c r="BI88" i="2"/>
  <c r="BK88" i="2"/>
  <c r="BL88" i="2"/>
  <c r="BN88" i="2"/>
  <c r="BP88" i="2"/>
  <c r="BS88" i="2"/>
  <c r="BU88" i="2"/>
  <c r="BX88" i="2"/>
  <c r="BZ88" i="2"/>
  <c r="CK89" i="2"/>
  <c r="CL89" i="2"/>
  <c r="CM89" i="2"/>
  <c r="CO89" i="2"/>
  <c r="CP89" i="2"/>
  <c r="CQ89" i="2"/>
  <c r="CR89" i="2"/>
  <c r="BA90" i="2"/>
  <c r="BB87" i="2" s="1"/>
  <c r="BB90" i="2"/>
  <c r="BC87" i="2" s="1"/>
  <c r="BC90" i="2"/>
  <c r="BD87" i="2" s="1"/>
  <c r="BD90" i="2"/>
  <c r="BF87" i="2" s="1"/>
  <c r="BF90" i="2"/>
  <c r="BG87" i="2"/>
  <c r="BG90" i="2"/>
  <c r="BH87" i="2" s="1"/>
  <c r="BH90" i="2"/>
  <c r="BI90" i="2"/>
  <c r="BK87" i="2" s="1"/>
  <c r="BK90" i="2"/>
  <c r="BL87" i="2" s="1"/>
  <c r="BL90" i="2"/>
  <c r="BM87" i="2" s="1"/>
  <c r="BM90" i="2"/>
  <c r="BN87" i="2"/>
  <c r="BN90" i="2"/>
  <c r="BP87" i="2" s="1"/>
  <c r="BT87" i="2" s="1"/>
  <c r="BP90" i="2"/>
  <c r="BQ87" i="2" s="1"/>
  <c r="BQ90" i="2"/>
  <c r="BR87" i="2" s="1"/>
  <c r="BR90" i="2"/>
  <c r="BS90" i="2"/>
  <c r="BU87" i="2" s="1"/>
  <c r="BY87" i="2" s="1"/>
  <c r="BU90" i="2"/>
  <c r="BV87" i="2"/>
  <c r="BV90" i="2"/>
  <c r="BW87" i="2" s="1"/>
  <c r="BW89" i="2" s="1"/>
  <c r="BW90" i="2"/>
  <c r="BX87" i="2" s="1"/>
  <c r="BX89" i="2" s="1"/>
  <c r="BX90" i="2"/>
  <c r="BZ90" i="2"/>
  <c r="CA90" i="2"/>
  <c r="CB87" i="2" s="1"/>
  <c r="CB90" i="2"/>
  <c r="CC87" i="2" s="1"/>
  <c r="K102" i="2"/>
  <c r="M102" i="2"/>
  <c r="N102" i="2"/>
  <c r="O102" i="2"/>
  <c r="P102" i="2"/>
  <c r="R102" i="2"/>
  <c r="S102" i="2"/>
  <c r="T102" i="2"/>
  <c r="U102" i="2"/>
  <c r="W102" i="2"/>
  <c r="X102" i="2"/>
  <c r="Y102" i="2"/>
  <c r="Z102" i="2"/>
  <c r="AB102" i="2"/>
  <c r="AC102" i="2"/>
  <c r="AD102" i="2"/>
  <c r="AE102" i="2"/>
  <c r="AG102" i="2"/>
  <c r="AH102" i="2"/>
  <c r="AI102" i="2"/>
  <c r="AJ102" i="2"/>
  <c r="AL102" i="2"/>
  <c r="AM102" i="2"/>
  <c r="AN102" i="2"/>
  <c r="AO102" i="2"/>
  <c r="AQ102" i="2"/>
  <c r="AR102" i="2"/>
  <c r="AS102" i="2"/>
  <c r="AT102" i="2"/>
  <c r="AV102" i="2"/>
  <c r="AW102" i="2"/>
  <c r="AX102" i="2"/>
  <c r="AY102" i="2"/>
  <c r="BA102" i="2"/>
  <c r="BB102" i="2"/>
  <c r="BC102" i="2"/>
  <c r="BD102" i="2"/>
  <c r="BF102" i="2"/>
  <c r="BG102" i="2"/>
  <c r="BH102" i="2"/>
  <c r="BI102" i="2"/>
  <c r="BJ102" i="2"/>
  <c r="BK102" i="2"/>
  <c r="BL102" i="2"/>
  <c r="BM102" i="2"/>
  <c r="BN102" i="2"/>
  <c r="BP102" i="2"/>
  <c r="BQ102" i="2"/>
  <c r="BR102" i="2"/>
  <c r="BS102" i="2"/>
  <c r="BU102" i="2"/>
  <c r="BV102" i="2"/>
  <c r="BW102" i="2"/>
  <c r="BX102" i="2"/>
  <c r="BZ102" i="2"/>
  <c r="CA102" i="2"/>
  <c r="CB102" i="2"/>
  <c r="H103" i="2"/>
  <c r="I103" i="2"/>
  <c r="J103" i="2"/>
  <c r="K103" i="2"/>
  <c r="M103" i="2"/>
  <c r="N103" i="2"/>
  <c r="O103" i="2"/>
  <c r="P103" i="2"/>
  <c r="R103" i="2"/>
  <c r="S103" i="2"/>
  <c r="T103" i="2"/>
  <c r="U103" i="2"/>
  <c r="W103" i="2"/>
  <c r="X103" i="2"/>
  <c r="Y103" i="2"/>
  <c r="Z103" i="2"/>
  <c r="AB103" i="2"/>
  <c r="AC103" i="2"/>
  <c r="AD103" i="2"/>
  <c r="AE103" i="2"/>
  <c r="AG103" i="2"/>
  <c r="AH103" i="2"/>
  <c r="AI103" i="2"/>
  <c r="AJ103" i="2"/>
  <c r="AL103" i="2"/>
  <c r="AN103" i="2"/>
  <c r="AO103" i="2"/>
  <c r="AQ103" i="2"/>
  <c r="AR103" i="2"/>
  <c r="AS103" i="2"/>
  <c r="AT103" i="2"/>
  <c r="AV103" i="2"/>
  <c r="AX103" i="2"/>
  <c r="AY103" i="2"/>
  <c r="BA103" i="2"/>
  <c r="BB103" i="2"/>
  <c r="BC103" i="2"/>
  <c r="BD103" i="2"/>
  <c r="BF103" i="2"/>
  <c r="BG103" i="2"/>
  <c r="BH103" i="2"/>
  <c r="BI103" i="2"/>
  <c r="BK103" i="2"/>
  <c r="BL103" i="2"/>
  <c r="BM103" i="2"/>
  <c r="BN103" i="2"/>
  <c r="BP103" i="2"/>
  <c r="BQ103" i="2"/>
  <c r="BR103" i="2"/>
  <c r="BS103" i="2"/>
  <c r="BU103" i="2"/>
  <c r="BV103" i="2"/>
  <c r="BW103" i="2"/>
  <c r="BX103" i="2"/>
  <c r="BZ103" i="2"/>
  <c r="CA103" i="2"/>
  <c r="CB103" i="2"/>
  <c r="BW117" i="2"/>
  <c r="BX117" i="2"/>
  <c r="BU118" i="2"/>
  <c r="BU119" i="2" s="1"/>
  <c r="BW118" i="2"/>
  <c r="BX118" i="2" s="1"/>
  <c r="BX119" i="2" s="1"/>
  <c r="BZ118" i="2"/>
  <c r="BZ119" i="2" s="1"/>
  <c r="AV119" i="2"/>
  <c r="AW119" i="2"/>
  <c r="AX119" i="2"/>
  <c r="AY119" i="2"/>
  <c r="BA119" i="2"/>
  <c r="BB119" i="2"/>
  <c r="BC119" i="2"/>
  <c r="BD119" i="2"/>
  <c r="BF119" i="2"/>
  <c r="BG119" i="2"/>
  <c r="BH119" i="2"/>
  <c r="BI119" i="2"/>
  <c r="BK119" i="2"/>
  <c r="BL119" i="2"/>
  <c r="BM119" i="2"/>
  <c r="BN119" i="2"/>
  <c r="BP119" i="2"/>
  <c r="BQ119" i="2"/>
  <c r="BR119" i="2"/>
  <c r="BS119" i="2"/>
  <c r="BV119" i="2"/>
  <c r="CA119" i="2"/>
  <c r="CB119" i="2"/>
  <c r="AX120" i="2"/>
  <c r="AY120" i="2"/>
  <c r="BA120" i="2"/>
  <c r="BB120" i="2"/>
  <c r="BC120" i="2"/>
  <c r="BD120" i="2"/>
  <c r="BF121" i="2"/>
  <c r="BG121" i="2"/>
  <c r="BH121" i="2"/>
  <c r="BI121" i="2"/>
  <c r="BK121" i="2"/>
  <c r="BL121" i="2"/>
  <c r="BM121" i="2"/>
  <c r="BN121" i="2"/>
  <c r="BP121" i="2"/>
  <c r="BQ121" i="2"/>
  <c r="BR121" i="2"/>
  <c r="BS121" i="2"/>
  <c r="BU121" i="2"/>
  <c r="BV121" i="2"/>
  <c r="BW121" i="2"/>
  <c r="BZ121" i="2"/>
  <c r="CA121" i="2"/>
  <c r="CB121" i="2"/>
  <c r="AB125" i="2"/>
  <c r="AC125" i="2"/>
  <c r="AD125" i="2"/>
  <c r="AE125" i="2"/>
  <c r="AF125" i="2"/>
  <c r="AG125" i="2"/>
  <c r="AH125" i="2"/>
  <c r="AI125" i="2"/>
  <c r="AJ125" i="2"/>
  <c r="AK125" i="2"/>
  <c r="AL125" i="2"/>
  <c r="AM125" i="2"/>
  <c r="AN125" i="2"/>
  <c r="AO125" i="2"/>
  <c r="AP125" i="2" s="1"/>
  <c r="AQ125" i="2"/>
  <c r="AR125" i="2"/>
  <c r="AS125" i="2"/>
  <c r="AT125" i="2"/>
  <c r="AU125" i="2" s="1"/>
  <c r="AV125" i="2"/>
  <c r="AW125" i="2"/>
  <c r="AX125" i="2"/>
  <c r="AY125" i="2"/>
  <c r="AZ125" i="2" s="1"/>
  <c r="BA125" i="2"/>
  <c r="AT126" i="2"/>
  <c r="AX126" i="2"/>
  <c r="BB126" i="2"/>
  <c r="BF126" i="2"/>
  <c r="BF127" i="2"/>
  <c r="BG127" i="2"/>
  <c r="BH127" i="2"/>
  <c r="BI127" i="2"/>
  <c r="BK127" i="2"/>
  <c r="BL127" i="2"/>
  <c r="BM127" i="2"/>
  <c r="BN127" i="2"/>
  <c r="BP127" i="2"/>
  <c r="BQ127" i="2"/>
  <c r="BR127" i="2"/>
  <c r="BS127" i="2"/>
  <c r="BV127" i="2"/>
  <c r="BW127" i="2"/>
  <c r="BX127" i="2"/>
  <c r="BZ127" i="2"/>
  <c r="CA127" i="2" s="1"/>
  <c r="CS128" i="2"/>
  <c r="BA129" i="2"/>
  <c r="BB125" i="2" s="1"/>
  <c r="BB129" i="2"/>
  <c r="BC125" i="2"/>
  <c r="BC129" i="2"/>
  <c r="BD125" i="2" s="1"/>
  <c r="BE125" i="2" s="1"/>
  <c r="BD129" i="2"/>
  <c r="BF125" i="2" s="1"/>
  <c r="BF129" i="2"/>
  <c r="BG125" i="2" s="1"/>
  <c r="BG129" i="2"/>
  <c r="BH125" i="2" s="1"/>
  <c r="BH129" i="2"/>
  <c r="BI125" i="2" s="1"/>
  <c r="BI129" i="2"/>
  <c r="BK125" i="2" s="1"/>
  <c r="BK129" i="2"/>
  <c r="BL125" i="2" s="1"/>
  <c r="BL129" i="2"/>
  <c r="BM125" i="2" s="1"/>
  <c r="BM129" i="2"/>
  <c r="BN125" i="2" s="1"/>
  <c r="BN129" i="2"/>
  <c r="BP125" i="2"/>
  <c r="BP129" i="2"/>
  <c r="BQ125" i="2" s="1"/>
  <c r="BQ129" i="2"/>
  <c r="BR125" i="2"/>
  <c r="BR129" i="2"/>
  <c r="BS125" i="2" s="1"/>
  <c r="BS129" i="2"/>
  <c r="BU125" i="2" s="1"/>
  <c r="BU129" i="2"/>
  <c r="BV125" i="2" s="1"/>
  <c r="BV129" i="2"/>
  <c r="BW125" i="2" s="1"/>
  <c r="BW129" i="2"/>
  <c r="BX125" i="2" s="1"/>
  <c r="BY125" i="2" s="1"/>
  <c r="BX129" i="2"/>
  <c r="BZ125" i="2"/>
  <c r="BZ129" i="2"/>
  <c r="CA125" i="2" s="1"/>
  <c r="CA129" i="2"/>
  <c r="CB125" i="2"/>
  <c r="CB129" i="2"/>
  <c r="CC125" i="2" s="1"/>
  <c r="BA132" i="2"/>
  <c r="BF133" i="2"/>
  <c r="BX133" i="2"/>
  <c r="CN133" i="2"/>
  <c r="CS133" i="2"/>
  <c r="BF134" i="2"/>
  <c r="BG134" i="2"/>
  <c r="BH134" i="2"/>
  <c r="BH135" i="2" s="1"/>
  <c r="BI134" i="2"/>
  <c r="BK134" i="2"/>
  <c r="BL134" i="2"/>
  <c r="BM134" i="2"/>
  <c r="BN134" i="2"/>
  <c r="BP134" i="2"/>
  <c r="BQ134" i="2"/>
  <c r="BR134" i="2"/>
  <c r="BS134" i="2"/>
  <c r="BU134" i="2"/>
  <c r="BW134" i="2"/>
  <c r="BX134" i="2"/>
  <c r="BZ134" i="2"/>
  <c r="CA134" i="2"/>
  <c r="CB134" i="2"/>
  <c r="CC134" i="2"/>
  <c r="CN134" i="2"/>
  <c r="CS134" i="2"/>
  <c r="CN135" i="2"/>
  <c r="CS135" i="2"/>
  <c r="BA136" i="2"/>
  <c r="BB132" i="2" s="1"/>
  <c r="BB136" i="2"/>
  <c r="BC132" i="2" s="1"/>
  <c r="BC136" i="2"/>
  <c r="BD132" i="2" s="1"/>
  <c r="BD136" i="2"/>
  <c r="BF132" i="2" s="1"/>
  <c r="BF136" i="2"/>
  <c r="BG132" i="2"/>
  <c r="BG136" i="2"/>
  <c r="BH132" i="2" s="1"/>
  <c r="BH136" i="2"/>
  <c r="BI132" i="2"/>
  <c r="BI136" i="2"/>
  <c r="BK136" i="2"/>
  <c r="BL132" i="2" s="1"/>
  <c r="BL136" i="2"/>
  <c r="BM132" i="2" s="1"/>
  <c r="BM136" i="2"/>
  <c r="BN132" i="2" s="1"/>
  <c r="BN136" i="2"/>
  <c r="BP132" i="2" s="1"/>
  <c r="BP136" i="2"/>
  <c r="BQ132" i="2"/>
  <c r="BQ136" i="2"/>
  <c r="BR132" i="2" s="1"/>
  <c r="BR136" i="2"/>
  <c r="BS132" i="2"/>
  <c r="BS136" i="2"/>
  <c r="BU136" i="2"/>
  <c r="BV132" i="2" s="1"/>
  <c r="BV136" i="2"/>
  <c r="BW132" i="2" s="1"/>
  <c r="BW136" i="2"/>
  <c r="BX132" i="2" s="1"/>
  <c r="BX136" i="2"/>
  <c r="BZ132" i="2" s="1"/>
  <c r="BZ136" i="2"/>
  <c r="CA132" i="2"/>
  <c r="CA136" i="2"/>
  <c r="CB132" i="2" s="1"/>
  <c r="CB136" i="2"/>
  <c r="CC132" i="2" s="1"/>
  <c r="CD132" i="2"/>
  <c r="CS138" i="2"/>
  <c r="BF140" i="2"/>
  <c r="BG140" i="2"/>
  <c r="BH140" i="2"/>
  <c r="BI140" i="2"/>
  <c r="BK140" i="2"/>
  <c r="BL140" i="2"/>
  <c r="BM140" i="2"/>
  <c r="BN140" i="2"/>
  <c r="BP140" i="2"/>
  <c r="BQ140" i="2"/>
  <c r="BR140" i="2"/>
  <c r="BS140" i="2"/>
  <c r="BU140" i="2"/>
  <c r="BU138" i="2" s="1"/>
  <c r="BV140" i="2"/>
  <c r="BW140" i="2"/>
  <c r="BX140" i="2"/>
  <c r="BZ140" i="2"/>
  <c r="CA140" i="2"/>
  <c r="A1" i="4"/>
  <c r="B5" i="4"/>
  <c r="B189" i="4" s="1"/>
  <c r="C5" i="4"/>
  <c r="C189" i="4" s="1"/>
  <c r="D5" i="4"/>
  <c r="D189" i="4" s="1"/>
  <c r="E5" i="4"/>
  <c r="E189" i="4" s="1"/>
  <c r="F5" i="4"/>
  <c r="F189" i="4" s="1"/>
  <c r="G5" i="4"/>
  <c r="G189" i="4" s="1"/>
  <c r="H5" i="4"/>
  <c r="H189" i="4" s="1"/>
  <c r="I5" i="4"/>
  <c r="I189" i="4" s="1"/>
  <c r="J5" i="4"/>
  <c r="J189" i="4" s="1"/>
  <c r="K5" i="4"/>
  <c r="K189" i="4" s="1"/>
  <c r="L5" i="4"/>
  <c r="L189" i="4" s="1"/>
  <c r="M5" i="4"/>
  <c r="M189" i="4" s="1"/>
  <c r="N5" i="4"/>
  <c r="N189" i="4" s="1"/>
  <c r="O5" i="4"/>
  <c r="O189" i="4"/>
  <c r="P5" i="4"/>
  <c r="P189" i="4" s="1"/>
  <c r="Q5" i="4"/>
  <c r="Q189" i="4" s="1"/>
  <c r="R5" i="4"/>
  <c r="R189" i="4" s="1"/>
  <c r="S5" i="4"/>
  <c r="S189" i="4"/>
  <c r="T5" i="4"/>
  <c r="T189" i="4" s="1"/>
  <c r="U5" i="4"/>
  <c r="U189" i="4" s="1"/>
  <c r="V5" i="4"/>
  <c r="V189" i="4" s="1"/>
  <c r="W5" i="4"/>
  <c r="W189" i="4" s="1"/>
  <c r="X5" i="4"/>
  <c r="X189" i="4" s="1"/>
  <c r="Y5" i="4"/>
  <c r="Y189" i="4" s="1"/>
  <c r="Z5" i="4"/>
  <c r="Z189" i="4" s="1"/>
  <c r="AA5" i="4"/>
  <c r="AA189" i="4" s="1"/>
  <c r="AB5" i="4"/>
  <c r="AC5" i="4"/>
  <c r="AD5" i="4"/>
  <c r="AD59" i="4" s="1"/>
  <c r="AE5" i="4"/>
  <c r="AE189" i="4" s="1"/>
  <c r="AF5" i="4"/>
  <c r="AF189" i="4" s="1"/>
  <c r="AG5" i="4"/>
  <c r="AH5" i="4"/>
  <c r="AH189" i="4" s="1"/>
  <c r="AI5" i="4"/>
  <c r="AI59" i="4" s="1"/>
  <c r="AJ5" i="4"/>
  <c r="AJ189" i="4" s="1"/>
  <c r="AK5" i="4"/>
  <c r="AK189" i="4" s="1"/>
  <c r="AL5" i="4"/>
  <c r="AL59" i="4" s="1"/>
  <c r="AM5" i="4"/>
  <c r="AM59" i="4" s="1"/>
  <c r="AN5" i="4"/>
  <c r="AN189" i="4" s="1"/>
  <c r="AO5" i="4"/>
  <c r="AO189" i="4" s="1"/>
  <c r="AP5" i="4"/>
  <c r="AP59" i="4" s="1"/>
  <c r="AQ5" i="4"/>
  <c r="AQ59" i="4" s="1"/>
  <c r="AR5" i="4"/>
  <c r="AR59" i="4" s="1"/>
  <c r="AS5" i="4"/>
  <c r="AT5" i="4"/>
  <c r="AT189" i="4" s="1"/>
  <c r="AU5" i="4"/>
  <c r="AU59" i="4" s="1"/>
  <c r="AV5" i="4"/>
  <c r="AV189" i="4" s="1"/>
  <c r="AW5" i="4"/>
  <c r="AW189" i="4" s="1"/>
  <c r="AX5" i="4"/>
  <c r="AX189" i="4" s="1"/>
  <c r="AY5" i="4"/>
  <c r="AY189" i="4" s="1"/>
  <c r="AZ5" i="4"/>
  <c r="AZ59" i="4" s="1"/>
  <c r="BA5" i="4"/>
  <c r="BB5" i="4"/>
  <c r="BB189" i="4" s="1"/>
  <c r="BC5" i="4"/>
  <c r="BC189" i="4" s="1"/>
  <c r="BD5" i="4"/>
  <c r="BD189" i="4" s="1"/>
  <c r="BE5" i="4"/>
  <c r="BE189" i="4" s="1"/>
  <c r="BF5" i="4"/>
  <c r="BG5" i="4"/>
  <c r="BH5" i="4"/>
  <c r="BI5" i="4"/>
  <c r="BI189" i="4" s="1"/>
  <c r="BJ5" i="4"/>
  <c r="BK5" i="4"/>
  <c r="BL5" i="4"/>
  <c r="BL189" i="4" s="1"/>
  <c r="BM5" i="4"/>
  <c r="BN5" i="4"/>
  <c r="BN189" i="4" s="1"/>
  <c r="BO5" i="4"/>
  <c r="BP5" i="4"/>
  <c r="BQ5" i="4"/>
  <c r="BR5" i="4"/>
  <c r="BS5" i="4"/>
  <c r="BS189" i="4" s="1"/>
  <c r="BT5" i="4"/>
  <c r="BU5" i="4"/>
  <c r="BV5" i="4"/>
  <c r="BV189" i="4" s="1"/>
  <c r="BW5" i="4"/>
  <c r="BX5" i="4"/>
  <c r="BX189" i="4" s="1"/>
  <c r="BY5" i="4"/>
  <c r="BZ5" i="4"/>
  <c r="CA5" i="4"/>
  <c r="CB5" i="4"/>
  <c r="CC5" i="4"/>
  <c r="CD5" i="4"/>
  <c r="CE5" i="4"/>
  <c r="CF5" i="4"/>
  <c r="CF189" i="4" s="1"/>
  <c r="CG5" i="4"/>
  <c r="CH5" i="4"/>
  <c r="CH189" i="4" s="1"/>
  <c r="CI5" i="4"/>
  <c r="CK5" i="4"/>
  <c r="CL5" i="4"/>
  <c r="CL189" i="4" s="1"/>
  <c r="CM5" i="4"/>
  <c r="CM189" i="4" s="1"/>
  <c r="CN5" i="4"/>
  <c r="CN189" i="4" s="1"/>
  <c r="CO5" i="4"/>
  <c r="CO189" i="4" s="1"/>
  <c r="CP5" i="4"/>
  <c r="CP189" i="4" s="1"/>
  <c r="CQ5" i="4"/>
  <c r="CQ189" i="4" s="1"/>
  <c r="CR5" i="4"/>
  <c r="CR189" i="4" s="1"/>
  <c r="K10" i="4"/>
  <c r="P10" i="4"/>
  <c r="U10" i="4"/>
  <c r="Z10" i="4"/>
  <c r="AE10" i="4"/>
  <c r="AJ10" i="4"/>
  <c r="AO10" i="4"/>
  <c r="AT10" i="4"/>
  <c r="AY10" i="4"/>
  <c r="BD10" i="4"/>
  <c r="BI10" i="4"/>
  <c r="BN10" i="4"/>
  <c r="BS10" i="4"/>
  <c r="BX10" i="4"/>
  <c r="CC10" i="4"/>
  <c r="CH10" i="4"/>
  <c r="CM10" i="4"/>
  <c r="CR10" i="4"/>
  <c r="K12" i="4"/>
  <c r="P12" i="4"/>
  <c r="U12" i="4"/>
  <c r="Z12" i="4"/>
  <c r="AE12" i="4"/>
  <c r="AJ12" i="4"/>
  <c r="AO12" i="4"/>
  <c r="AT12" i="4"/>
  <c r="AY12" i="4"/>
  <c r="BD12" i="4"/>
  <c r="BI12" i="4"/>
  <c r="BN12" i="4"/>
  <c r="BS12" i="4"/>
  <c r="BX12" i="4"/>
  <c r="CC12" i="4"/>
  <c r="CH12" i="4"/>
  <c r="CM12" i="4"/>
  <c r="CR12" i="4"/>
  <c r="K13" i="4"/>
  <c r="P13" i="4"/>
  <c r="U13" i="4"/>
  <c r="Z13" i="4"/>
  <c r="AE13" i="4"/>
  <c r="AJ13" i="4"/>
  <c r="AO13" i="4"/>
  <c r="AT13" i="4"/>
  <c r="AY13" i="4"/>
  <c r="BA13" i="4"/>
  <c r="BB13" i="4" s="1"/>
  <c r="BI13" i="4"/>
  <c r="BN13" i="4"/>
  <c r="BS13" i="4"/>
  <c r="BX13" i="4"/>
  <c r="CC13" i="4"/>
  <c r="CH13" i="4"/>
  <c r="CM13" i="4"/>
  <c r="CR13" i="4"/>
  <c r="K14" i="4"/>
  <c r="P14" i="4"/>
  <c r="U14" i="4"/>
  <c r="Z14" i="4"/>
  <c r="AE14" i="4"/>
  <c r="AJ14" i="4"/>
  <c r="AO14" i="4"/>
  <c r="AT14" i="4"/>
  <c r="AY14" i="4"/>
  <c r="BD14" i="4"/>
  <c r="BI14" i="4"/>
  <c r="BN14" i="4"/>
  <c r="BS14" i="4"/>
  <c r="BX14" i="4"/>
  <c r="CC14" i="4"/>
  <c r="CH14" i="4"/>
  <c r="CM14" i="4"/>
  <c r="CR14" i="4"/>
  <c r="K15" i="4"/>
  <c r="P15" i="4"/>
  <c r="U15" i="4"/>
  <c r="Z15" i="4"/>
  <c r="AE15" i="4"/>
  <c r="AJ15" i="4"/>
  <c r="AO15" i="4"/>
  <c r="AT15" i="4"/>
  <c r="AY15" i="4"/>
  <c r="BD15" i="4"/>
  <c r="BI15" i="4"/>
  <c r="BN15" i="4"/>
  <c r="BS15" i="4"/>
  <c r="BX15" i="4"/>
  <c r="CC15" i="4"/>
  <c r="CH15" i="4"/>
  <c r="CM15" i="4"/>
  <c r="CR15" i="4"/>
  <c r="K16" i="4"/>
  <c r="P16" i="4"/>
  <c r="U16" i="4"/>
  <c r="Z16" i="4"/>
  <c r="AE16" i="4"/>
  <c r="AJ16" i="4"/>
  <c r="AO16" i="4"/>
  <c r="AT16" i="4"/>
  <c r="AY16" i="4"/>
  <c r="BD16" i="4"/>
  <c r="BI16" i="4"/>
  <c r="BN16" i="4"/>
  <c r="BO16" i="4"/>
  <c r="BP16" i="4" s="1"/>
  <c r="BX16" i="4"/>
  <c r="CC16" i="4"/>
  <c r="CH16" i="4"/>
  <c r="CM16" i="4"/>
  <c r="CR16" i="4"/>
  <c r="K17" i="4"/>
  <c r="P17" i="4"/>
  <c r="U17" i="4"/>
  <c r="Z17" i="4"/>
  <c r="AE17" i="4"/>
  <c r="AJ17" i="4"/>
  <c r="AO17" i="4"/>
  <c r="AT17" i="4"/>
  <c r="AY17" i="4"/>
  <c r="BD17" i="4"/>
  <c r="BI17" i="4"/>
  <c r="BN17" i="4"/>
  <c r="BS17" i="4"/>
  <c r="BX17" i="4"/>
  <c r="CC17" i="4"/>
  <c r="CH17" i="4"/>
  <c r="CM17" i="4"/>
  <c r="CR17" i="4"/>
  <c r="K18" i="4"/>
  <c r="P18" i="4"/>
  <c r="U18" i="4"/>
  <c r="Z18" i="4"/>
  <c r="AE18" i="4"/>
  <c r="AJ18" i="4"/>
  <c r="AO18" i="4"/>
  <c r="AT18" i="4"/>
  <c r="AY18" i="4"/>
  <c r="BD18" i="4"/>
  <c r="BI18" i="4"/>
  <c r="BN18" i="4"/>
  <c r="BS18" i="4"/>
  <c r="BX18" i="4"/>
  <c r="CC18" i="4"/>
  <c r="CH18" i="4"/>
  <c r="CM18" i="4"/>
  <c r="CR18" i="4"/>
  <c r="K19" i="4"/>
  <c r="P19" i="4"/>
  <c r="U19" i="4"/>
  <c r="Z19" i="4"/>
  <c r="AE19" i="4"/>
  <c r="AJ19" i="4"/>
  <c r="AO19" i="4"/>
  <c r="AT19" i="4"/>
  <c r="AY19" i="4"/>
  <c r="BD19" i="4"/>
  <c r="BI19" i="4"/>
  <c r="BN19" i="4"/>
  <c r="BS19" i="4"/>
  <c r="BX19" i="4"/>
  <c r="CC19" i="4"/>
  <c r="CH19" i="4"/>
  <c r="CM19" i="4"/>
  <c r="CR19" i="4"/>
  <c r="K20" i="4"/>
  <c r="P20" i="4"/>
  <c r="U20" i="4"/>
  <c r="Z20" i="4"/>
  <c r="AE20" i="4"/>
  <c r="AJ20" i="4"/>
  <c r="AO20" i="4"/>
  <c r="AT20" i="4"/>
  <c r="AY20" i="4"/>
  <c r="BD20" i="4"/>
  <c r="BI20" i="4"/>
  <c r="BN20" i="4"/>
  <c r="BS20" i="4"/>
  <c r="BX20" i="4"/>
  <c r="CC20" i="4"/>
  <c r="CH20" i="4"/>
  <c r="CM20" i="4"/>
  <c r="CR20" i="4"/>
  <c r="AU22" i="4"/>
  <c r="AV22" i="4"/>
  <c r="AW22" i="4"/>
  <c r="AX22" i="4"/>
  <c r="AY22" i="4"/>
  <c r="AZ22" i="4"/>
  <c r="BA22" i="4"/>
  <c r="BB22" i="4"/>
  <c r="BC22" i="4"/>
  <c r="BD22" i="4"/>
  <c r="BE22" i="4"/>
  <c r="BF22" i="4"/>
  <c r="BG22" i="4"/>
  <c r="BH22" i="4"/>
  <c r="BI22" i="4"/>
  <c r="BJ22" i="4"/>
  <c r="BK22" i="4"/>
  <c r="BL22" i="4"/>
  <c r="BM22" i="4"/>
  <c r="BN22" i="4"/>
  <c r="BO22" i="4"/>
  <c r="BP22" i="4"/>
  <c r="BQ22" i="4"/>
  <c r="BR22" i="4"/>
  <c r="BS22" i="4"/>
  <c r="BT22" i="4"/>
  <c r="BU22" i="4"/>
  <c r="BV22" i="4"/>
  <c r="BW22" i="4"/>
  <c r="BX22" i="4"/>
  <c r="BY22" i="4"/>
  <c r="BZ22" i="4"/>
  <c r="CA22" i="4"/>
  <c r="CB22" i="4"/>
  <c r="CC22" i="4"/>
  <c r="CD22" i="4"/>
  <c r="CE22" i="4"/>
  <c r="CF22" i="4"/>
  <c r="CG22" i="4"/>
  <c r="CH22" i="4"/>
  <c r="CI22" i="4"/>
  <c r="CJ22" i="4"/>
  <c r="CK22" i="4"/>
  <c r="CL22" i="4"/>
  <c r="CM22" i="4"/>
  <c r="CN22" i="4"/>
  <c r="CO22" i="4"/>
  <c r="CP22" i="4"/>
  <c r="CQ22" i="4"/>
  <c r="CR22" i="4"/>
  <c r="P28" i="4"/>
  <c r="U28" i="4"/>
  <c r="Z28" i="4"/>
  <c r="AE28" i="4"/>
  <c r="AJ28" i="4"/>
  <c r="J29" i="4"/>
  <c r="L29" i="4"/>
  <c r="L30" i="4" s="1"/>
  <c r="M29" i="4"/>
  <c r="P29" i="4" s="1"/>
  <c r="N29" i="4"/>
  <c r="N30" i="4" s="1"/>
  <c r="O29" i="4"/>
  <c r="O30" i="4" s="1"/>
  <c r="Q29" i="4"/>
  <c r="R29" i="4"/>
  <c r="R30" i="4" s="1"/>
  <c r="S29" i="4"/>
  <c r="S30" i="4" s="1"/>
  <c r="T29" i="4"/>
  <c r="T30" i="4" s="1"/>
  <c r="V29" i="4"/>
  <c r="V30" i="4" s="1"/>
  <c r="W29" i="4"/>
  <c r="X29" i="4"/>
  <c r="X30" i="4"/>
  <c r="Y29" i="4"/>
  <c r="Y30" i="4" s="1"/>
  <c r="BY30" i="4"/>
  <c r="G39" i="4"/>
  <c r="H39" i="4"/>
  <c r="I39" i="4"/>
  <c r="J39" i="4"/>
  <c r="L39" i="4"/>
  <c r="M39" i="4"/>
  <c r="N39" i="4"/>
  <c r="O39" i="4"/>
  <c r="Q39" i="4"/>
  <c r="R39" i="4"/>
  <c r="S39" i="4"/>
  <c r="T39" i="4"/>
  <c r="V39" i="4"/>
  <c r="W39" i="4"/>
  <c r="X39" i="4"/>
  <c r="Z39" i="4"/>
  <c r="F48" i="4"/>
  <c r="K48" i="4"/>
  <c r="P48" i="4"/>
  <c r="U48" i="4"/>
  <c r="Z48" i="4"/>
  <c r="F49" i="4"/>
  <c r="K49" i="4"/>
  <c r="P49" i="4"/>
  <c r="U49" i="4"/>
  <c r="Z49" i="4"/>
  <c r="F50" i="4"/>
  <c r="K50" i="4"/>
  <c r="P50" i="4"/>
  <c r="U50" i="4"/>
  <c r="Z50" i="4"/>
  <c r="F51" i="4"/>
  <c r="K51" i="4"/>
  <c r="P51" i="4"/>
  <c r="U51" i="4"/>
  <c r="Z51" i="4"/>
  <c r="F52" i="4"/>
  <c r="K52" i="4"/>
  <c r="P52" i="4"/>
  <c r="U52" i="4"/>
  <c r="Z52" i="4"/>
  <c r="AE52" i="4"/>
  <c r="AJ52" i="4"/>
  <c r="AO52" i="4"/>
  <c r="AT52" i="4"/>
  <c r="AY52" i="4"/>
  <c r="BD52" i="4"/>
  <c r="BI52" i="4"/>
  <c r="BN52" i="4"/>
  <c r="BS52" i="4"/>
  <c r="BX52" i="4"/>
  <c r="CH52" i="4"/>
  <c r="CH53" i="4" s="1"/>
  <c r="CM52" i="4"/>
  <c r="BT53" i="4"/>
  <c r="BU53" i="4"/>
  <c r="BV53" i="4"/>
  <c r="BW53" i="4"/>
  <c r="BY53" i="4"/>
  <c r="BZ53" i="4"/>
  <c r="CA53" i="4"/>
  <c r="AB54" i="4"/>
  <c r="AC54" i="4"/>
  <c r="AD54" i="4"/>
  <c r="AF54" i="4"/>
  <c r="AG54" i="4"/>
  <c r="AH54" i="4"/>
  <c r="AI54" i="4"/>
  <c r="AK54" i="4"/>
  <c r="AZ61" i="4"/>
  <c r="BA61" i="4"/>
  <c r="CA66" i="4"/>
  <c r="CB66" i="4"/>
  <c r="CD66" i="4"/>
  <c r="BI67" i="4"/>
  <c r="BI153" i="4" s="1"/>
  <c r="BN67" i="4"/>
  <c r="BS67" i="4"/>
  <c r="BX67" i="4"/>
  <c r="BH71" i="4"/>
  <c r="BJ71" i="4"/>
  <c r="BI73" i="4"/>
  <c r="BI74" i="4"/>
  <c r="BI184" i="4" s="1"/>
  <c r="BN74" i="4"/>
  <c r="BN184" i="4" s="1"/>
  <c r="BS74" i="4"/>
  <c r="BS184" i="4" s="1"/>
  <c r="BX74" i="4"/>
  <c r="BP75" i="4"/>
  <c r="BQ75" i="4"/>
  <c r="BR75" i="4"/>
  <c r="BT75" i="4"/>
  <c r="BU75" i="4"/>
  <c r="BV75" i="4"/>
  <c r="BW75" i="4"/>
  <c r="BY75" i="4"/>
  <c r="BZ75" i="4"/>
  <c r="CA75" i="4"/>
  <c r="CB76" i="4"/>
  <c r="CD76" i="4"/>
  <c r="BJ77" i="4"/>
  <c r="BK77" i="4"/>
  <c r="BL77" i="4"/>
  <c r="BM77" i="4"/>
  <c r="BO77" i="4"/>
  <c r="BP77" i="4"/>
  <c r="BQ77" i="4"/>
  <c r="BR77" i="4"/>
  <c r="BT77" i="4"/>
  <c r="BU77" i="4"/>
  <c r="BV77" i="4"/>
  <c r="BW77" i="4"/>
  <c r="BY77" i="4"/>
  <c r="BZ77" i="4"/>
  <c r="CA77" i="4"/>
  <c r="BT78" i="4"/>
  <c r="BU78" i="4"/>
  <c r="BV78" i="4"/>
  <c r="BW78" i="4"/>
  <c r="BY78" i="4"/>
  <c r="BZ78" i="4"/>
  <c r="CA78" i="4"/>
  <c r="BN79" i="4"/>
  <c r="BI85" i="4"/>
  <c r="BI86" i="4"/>
  <c r="BI87" i="4"/>
  <c r="BJ88" i="4"/>
  <c r="BK88" i="4"/>
  <c r="BL88" i="4"/>
  <c r="BM88" i="4"/>
  <c r="BO88" i="4"/>
  <c r="BP88" i="4"/>
  <c r="BQ88" i="4"/>
  <c r="BI89" i="4"/>
  <c r="BY89" i="4"/>
  <c r="CC89" i="4" s="1"/>
  <c r="BZ89" i="4"/>
  <c r="CA89" i="4"/>
  <c r="BD100" i="4"/>
  <c r="BF100" i="4"/>
  <c r="BE100" i="4"/>
  <c r="BI100" i="4"/>
  <c r="BK100" i="4"/>
  <c r="BJ100" i="4"/>
  <c r="BK102" i="4" s="1"/>
  <c r="BI104" i="4"/>
  <c r="BN104" i="4"/>
  <c r="BS104" i="4"/>
  <c r="BX104" i="4"/>
  <c r="CC104" i="4"/>
  <c r="BM105" i="4"/>
  <c r="BM108" i="4" s="1"/>
  <c r="BQ108" i="4"/>
  <c r="BJ106" i="4"/>
  <c r="BK106" i="4"/>
  <c r="BL106" i="4"/>
  <c r="BM106" i="4"/>
  <c r="BO106" i="4"/>
  <c r="BP106" i="4"/>
  <c r="BQ106" i="4"/>
  <c r="BR106" i="4"/>
  <c r="BT106" i="4"/>
  <c r="BU106" i="4"/>
  <c r="BV106" i="4"/>
  <c r="BW106" i="4"/>
  <c r="BY106" i="4"/>
  <c r="BT107" i="4"/>
  <c r="BU107" i="4"/>
  <c r="BV107" i="4"/>
  <c r="BW107" i="4"/>
  <c r="BY107" i="4"/>
  <c r="BZ107" i="4"/>
  <c r="CA107" i="4"/>
  <c r="CB107" i="4"/>
  <c r="BE108" i="4"/>
  <c r="BF108" i="4"/>
  <c r="BG108" i="4"/>
  <c r="BH108" i="4"/>
  <c r="BM109" i="4" s="1"/>
  <c r="BJ108" i="4"/>
  <c r="BJ109" i="4" s="1"/>
  <c r="BK108" i="4"/>
  <c r="BL108" i="4"/>
  <c r="BO108" i="4"/>
  <c r="BO109" i="4" s="1"/>
  <c r="BP108" i="4"/>
  <c r="BE111" i="4"/>
  <c r="BF111" i="4"/>
  <c r="BG111" i="4"/>
  <c r="BH111" i="4"/>
  <c r="BI111" i="4" s="1"/>
  <c r="BJ111" i="4"/>
  <c r="BK111" i="4"/>
  <c r="BL111" i="4"/>
  <c r="BM111" i="4"/>
  <c r="BO111" i="4"/>
  <c r="BP111" i="4"/>
  <c r="BQ111" i="4"/>
  <c r="BR115" i="4" s="1"/>
  <c r="BS111" i="4"/>
  <c r="BT112" i="4" s="1"/>
  <c r="BX111" i="4"/>
  <c r="BT113" i="4"/>
  <c r="BU113" i="4"/>
  <c r="BV113" i="4"/>
  <c r="BW113" i="4"/>
  <c r="BY113" i="4"/>
  <c r="BZ113" i="4"/>
  <c r="CA113" i="4"/>
  <c r="BW114" i="4"/>
  <c r="BY114" i="4"/>
  <c r="BZ114" i="4"/>
  <c r="CA114" i="4"/>
  <c r="BU112" i="4"/>
  <c r="BV112" i="4"/>
  <c r="BZ112" i="4"/>
  <c r="CA112" i="4"/>
  <c r="BI143" i="4"/>
  <c r="BN143" i="4"/>
  <c r="BS143" i="4"/>
  <c r="BX143" i="4"/>
  <c r="CC143" i="4"/>
  <c r="M199" i="4"/>
  <c r="W199" i="4"/>
  <c r="AB199" i="4"/>
  <c r="BG199" i="4"/>
  <c r="BM199" i="4"/>
  <c r="L202" i="4"/>
  <c r="M202" i="4"/>
  <c r="N202" i="4"/>
  <c r="O202" i="4"/>
  <c r="P202" i="4"/>
  <c r="Q202" i="4"/>
  <c r="R202" i="4"/>
  <c r="S202" i="4"/>
  <c r="T202" i="4"/>
  <c r="V202" i="4"/>
  <c r="W202" i="4"/>
  <c r="X202" i="4"/>
  <c r="Y202" i="4"/>
  <c r="AA202" i="4"/>
  <c r="AB202" i="4"/>
  <c r="AC202" i="4"/>
  <c r="AD202" i="4"/>
  <c r="AF202" i="4"/>
  <c r="AG202" i="4"/>
  <c r="AH202" i="4"/>
  <c r="AI202" i="4"/>
  <c r="AK202" i="4"/>
  <c r="AL202" i="4"/>
  <c r="AM202" i="4"/>
  <c r="AN202" i="4"/>
  <c r="AP202" i="4"/>
  <c r="AQ202" i="4"/>
  <c r="AR202" i="4"/>
  <c r="AS202" i="4"/>
  <c r="AU202" i="4"/>
  <c r="AV202" i="4"/>
  <c r="AW202" i="4"/>
  <c r="AX202" i="4"/>
  <c r="AZ202" i="4"/>
  <c r="BA202" i="4"/>
  <c r="BB202" i="4"/>
  <c r="BC202" i="4"/>
  <c r="BE202" i="4"/>
  <c r="BF202" i="4"/>
  <c r="BG202" i="4"/>
  <c r="BH202" i="4"/>
  <c r="BJ202" i="4"/>
  <c r="BK202" i="4"/>
  <c r="BL202" i="4"/>
  <c r="BM202" i="4"/>
  <c r="BO202" i="4"/>
  <c r="BP202" i="4"/>
  <c r="BQ202" i="4"/>
  <c r="BR202" i="4"/>
  <c r="BT202" i="4"/>
  <c r="BU202" i="4"/>
  <c r="BV202" i="4"/>
  <c r="BW202" i="4"/>
  <c r="BY202" i="4"/>
  <c r="BZ202" i="4"/>
  <c r="CA202" i="4"/>
  <c r="G210" i="4"/>
  <c r="H210" i="4"/>
  <c r="I210" i="4"/>
  <c r="J210" i="4"/>
  <c r="L210" i="4"/>
  <c r="M210" i="4"/>
  <c r="N210" i="4"/>
  <c r="O210" i="4"/>
  <c r="Q210" i="4"/>
  <c r="R210" i="4"/>
  <c r="S210" i="4"/>
  <c r="T210" i="4"/>
  <c r="V210" i="4"/>
  <c r="W210" i="4"/>
  <c r="W214" i="4" s="1"/>
  <c r="X210" i="4"/>
  <c r="X214" i="4" s="1"/>
  <c r="Y210" i="4"/>
  <c r="Y214" i="4"/>
  <c r="AA210" i="4"/>
  <c r="AA214" i="4" s="1"/>
  <c r="AB210" i="4"/>
  <c r="AB214" i="4" s="1"/>
  <c r="AC210" i="4"/>
  <c r="AC214" i="4" s="1"/>
  <c r="AD210" i="4"/>
  <c r="AD214" i="4" s="1"/>
  <c r="AE210" i="4"/>
  <c r="AF210" i="4"/>
  <c r="AF214" i="4" s="1"/>
  <c r="AG210" i="4"/>
  <c r="AG214" i="4"/>
  <c r="AH210" i="4"/>
  <c r="AH214" i="4" s="1"/>
  <c r="AI210" i="4"/>
  <c r="AI214" i="4"/>
  <c r="AK210" i="4"/>
  <c r="AK214" i="4" s="1"/>
  <c r="AL210" i="4"/>
  <c r="AL214" i="4"/>
  <c r="AM210" i="4"/>
  <c r="AM214" i="4" s="1"/>
  <c r="AN210" i="4"/>
  <c r="AN214" i="4" s="1"/>
  <c r="AO210" i="4"/>
  <c r="AO214" i="4" s="1"/>
  <c r="AP210" i="4"/>
  <c r="AP214" i="4"/>
  <c r="AQ210" i="4"/>
  <c r="AQ214" i="4" s="1"/>
  <c r="AR210" i="4"/>
  <c r="AR214" i="4" s="1"/>
  <c r="AS210" i="4"/>
  <c r="AS214" i="4" s="1"/>
  <c r="AU210" i="4"/>
  <c r="AU214" i="4"/>
  <c r="AV210" i="4"/>
  <c r="AV214" i="4" s="1"/>
  <c r="AW210" i="4"/>
  <c r="AW214" i="4" s="1"/>
  <c r="AX210" i="4"/>
  <c r="AX214" i="4" s="1"/>
  <c r="AY210" i="4"/>
  <c r="AZ210" i="4"/>
  <c r="AZ214" i="4" s="1"/>
  <c r="BA210" i="4"/>
  <c r="BA214" i="4" s="1"/>
  <c r="BB210" i="4"/>
  <c r="BB214" i="4" s="1"/>
  <c r="BC210" i="4"/>
  <c r="BC214" i="4" s="1"/>
  <c r="BE210" i="4"/>
  <c r="BE214" i="4" s="1"/>
  <c r="BF210" i="4"/>
  <c r="BF214" i="4"/>
  <c r="BG210" i="4"/>
  <c r="BG214" i="4" s="1"/>
  <c r="BH210" i="4"/>
  <c r="BH214" i="4" s="1"/>
  <c r="BI210" i="4"/>
  <c r="BJ210" i="4"/>
  <c r="BJ214" i="4" s="1"/>
  <c r="BK210" i="4"/>
  <c r="BK214" i="4"/>
  <c r="BL210" i="4"/>
  <c r="BL214" i="4" s="1"/>
  <c r="BM210" i="4"/>
  <c r="BM214" i="4" s="1"/>
  <c r="BO210" i="4"/>
  <c r="BO214" i="4" s="1"/>
  <c r="BP210" i="4"/>
  <c r="BP214" i="4"/>
  <c r="BQ210" i="4"/>
  <c r="BQ214" i="4" s="1"/>
  <c r="BR210" i="4"/>
  <c r="BR214" i="4" s="1"/>
  <c r="BS210" i="4"/>
  <c r="BT210" i="4"/>
  <c r="BT214" i="4"/>
  <c r="BU210" i="4"/>
  <c r="BU214" i="4" s="1"/>
  <c r="BV210" i="4"/>
  <c r="BV214" i="4" s="1"/>
  <c r="BW210" i="4"/>
  <c r="BW214" i="4" s="1"/>
  <c r="BY210" i="4"/>
  <c r="BY214" i="4" s="1"/>
  <c r="BZ210" i="4"/>
  <c r="BZ214" i="4" s="1"/>
  <c r="CA210" i="4"/>
  <c r="CA214" i="4"/>
  <c r="G211" i="4"/>
  <c r="H211" i="4"/>
  <c r="I211" i="4"/>
  <c r="J211" i="4"/>
  <c r="L211" i="4"/>
  <c r="M211" i="4"/>
  <c r="N211" i="4"/>
  <c r="O211" i="4"/>
  <c r="P211" i="4"/>
  <c r="Q211" i="4"/>
  <c r="R211" i="4"/>
  <c r="S211" i="4"/>
  <c r="T211" i="4"/>
  <c r="V211" i="4"/>
  <c r="W211" i="4"/>
  <c r="X211" i="4"/>
  <c r="Y211" i="4"/>
  <c r="Z211" i="4"/>
  <c r="AA211" i="4"/>
  <c r="AB211" i="4"/>
  <c r="AC211" i="4"/>
  <c r="AD211" i="4"/>
  <c r="AF211" i="4"/>
  <c r="AG211" i="4"/>
  <c r="AH211" i="4"/>
  <c r="AI211" i="4"/>
  <c r="AJ211" i="4"/>
  <c r="AK211" i="4"/>
  <c r="AL211" i="4"/>
  <c r="AM211" i="4"/>
  <c r="AN211" i="4"/>
  <c r="AP211" i="4"/>
  <c r="AQ211" i="4"/>
  <c r="AR211" i="4"/>
  <c r="AS211" i="4"/>
  <c r="AU211" i="4"/>
  <c r="AV211" i="4"/>
  <c r="AW211" i="4"/>
  <c r="AX211" i="4"/>
  <c r="AZ211" i="4"/>
  <c r="BA211" i="4"/>
  <c r="BB211" i="4"/>
  <c r="BC211" i="4"/>
  <c r="BD211" i="4"/>
  <c r="BE211" i="4"/>
  <c r="BF211" i="4"/>
  <c r="BG211" i="4"/>
  <c r="BH211" i="4"/>
  <c r="BJ211" i="4"/>
  <c r="BK211" i="4"/>
  <c r="BL211" i="4"/>
  <c r="BM211" i="4"/>
  <c r="BN211" i="4"/>
  <c r="BO211" i="4"/>
  <c r="BP211" i="4"/>
  <c r="BQ211" i="4"/>
  <c r="BR211" i="4"/>
  <c r="BT211" i="4"/>
  <c r="BU211" i="4"/>
  <c r="BV211" i="4"/>
  <c r="BW211" i="4"/>
  <c r="BX211" i="4"/>
  <c r="BY211" i="4"/>
  <c r="BZ211" i="4"/>
  <c r="CA211" i="4"/>
  <c r="G212" i="4"/>
  <c r="H212" i="4"/>
  <c r="I212" i="4"/>
  <c r="J212" i="4"/>
  <c r="L212" i="4"/>
  <c r="M212" i="4"/>
  <c r="N212" i="4"/>
  <c r="O212" i="4"/>
  <c r="Q212" i="4"/>
  <c r="R212" i="4"/>
  <c r="S212" i="4"/>
  <c r="T212" i="4"/>
  <c r="V212" i="4"/>
  <c r="W212" i="4"/>
  <c r="X212" i="4"/>
  <c r="Y212" i="4"/>
  <c r="AA212" i="4"/>
  <c r="AB212" i="4"/>
  <c r="AC212" i="4"/>
  <c r="AD212" i="4"/>
  <c r="AE212" i="4"/>
  <c r="AF212" i="4"/>
  <c r="AG212" i="4"/>
  <c r="AH212" i="4"/>
  <c r="AI212" i="4"/>
  <c r="AK212" i="4"/>
  <c r="AL212" i="4"/>
  <c r="AM212" i="4"/>
  <c r="AN212" i="4"/>
  <c r="AO212" i="4"/>
  <c r="AP212" i="4"/>
  <c r="AQ212" i="4"/>
  <c r="AR212" i="4"/>
  <c r="AS212" i="4"/>
  <c r="AU212" i="4"/>
  <c r="AV212" i="4"/>
  <c r="AW212" i="4"/>
  <c r="AX212" i="4"/>
  <c r="AZ212" i="4"/>
  <c r="BA212" i="4"/>
  <c r="BB212" i="4"/>
  <c r="BC212" i="4"/>
  <c r="BE212" i="4"/>
  <c r="BF212" i="4"/>
  <c r="BG212" i="4"/>
  <c r="BH212" i="4"/>
  <c r="BJ212" i="4"/>
  <c r="BK212" i="4"/>
  <c r="BL212" i="4"/>
  <c r="BM212" i="4"/>
  <c r="BO212" i="4"/>
  <c r="BP212" i="4"/>
  <c r="BQ212" i="4"/>
  <c r="BR212" i="4"/>
  <c r="BS212" i="4"/>
  <c r="BT212" i="4"/>
  <c r="BU212" i="4"/>
  <c r="BV212" i="4"/>
  <c r="BW212" i="4"/>
  <c r="BY212" i="4"/>
  <c r="BZ212" i="4"/>
  <c r="CA212" i="4"/>
  <c r="CB212" i="4"/>
  <c r="CC212" i="4"/>
  <c r="G218" i="4"/>
  <c r="H218" i="4"/>
  <c r="I218" i="4"/>
  <c r="L218" i="4"/>
  <c r="M218" i="4"/>
  <c r="N218" i="4"/>
  <c r="R218" i="4"/>
  <c r="S218" i="4"/>
  <c r="V218" i="4"/>
  <c r="W218" i="4"/>
  <c r="AS218" i="4"/>
  <c r="AU218" i="4"/>
  <c r="BB218" i="4"/>
  <c r="BE218" i="4"/>
  <c r="BH218" i="4"/>
  <c r="BJ218" i="4"/>
  <c r="BM218" i="4"/>
  <c r="BO218" i="4"/>
  <c r="BR218" i="4"/>
  <c r="BT218" i="4"/>
  <c r="BV218" i="4"/>
  <c r="BW218" i="4"/>
  <c r="BY218" i="4"/>
  <c r="H219" i="4"/>
  <c r="I219" i="4"/>
  <c r="L219" i="4"/>
  <c r="M219" i="4"/>
  <c r="Q219" i="4"/>
  <c r="R219" i="4"/>
  <c r="V219" i="4"/>
  <c r="W219" i="4"/>
  <c r="AA219" i="4"/>
  <c r="AH219" i="4"/>
  <c r="AN219" i="4"/>
  <c r="AR219" i="4"/>
  <c r="AS219" i="4"/>
  <c r="AU219" i="4"/>
  <c r="AV219" i="4"/>
  <c r="AZ219" i="4"/>
  <c r="BA219" i="4"/>
  <c r="BB219" i="4"/>
  <c r="BF219" i="4"/>
  <c r="BG219" i="4"/>
  <c r="BK219" i="4"/>
  <c r="BL219" i="4"/>
  <c r="BP219" i="4"/>
  <c r="BQ219" i="4"/>
  <c r="BT219" i="4"/>
  <c r="BU219" i="4"/>
  <c r="BV219" i="4"/>
  <c r="CA219" i="4"/>
  <c r="CD219" i="4"/>
  <c r="CI219" i="4"/>
  <c r="CN219" i="4"/>
  <c r="CO219" i="4"/>
  <c r="G221" i="4"/>
  <c r="L221" i="4"/>
  <c r="Q221" i="4"/>
  <c r="AH221" i="4"/>
  <c r="AS221" i="4"/>
  <c r="AW221" i="4"/>
  <c r="BE221" i="4"/>
  <c r="K222" i="4"/>
  <c r="P222" i="4"/>
  <c r="U222" i="4"/>
  <c r="Z222" i="4"/>
  <c r="AE222" i="4"/>
  <c r="AJ222" i="4"/>
  <c r="AO222" i="4"/>
  <c r="AT222" i="4"/>
  <c r="AY222" i="4"/>
  <c r="BD222" i="4"/>
  <c r="BI222" i="4"/>
  <c r="BN222" i="4"/>
  <c r="BS222" i="4"/>
  <c r="BX222" i="4"/>
  <c r="CC222" i="4"/>
  <c r="CH222" i="4"/>
  <c r="CM222" i="4"/>
  <c r="CR222" i="4"/>
  <c r="A1" i="310"/>
  <c r="C5" i="310"/>
  <c r="D5" i="310"/>
  <c r="E5" i="310"/>
  <c r="F5" i="310"/>
  <c r="G5" i="310"/>
  <c r="H5" i="310"/>
  <c r="I5" i="310"/>
  <c r="J5" i="310"/>
  <c r="K5" i="310"/>
  <c r="L5" i="310"/>
  <c r="M5" i="310"/>
  <c r="N5" i="310"/>
  <c r="O5" i="310"/>
  <c r="P5" i="310"/>
  <c r="Q5" i="310"/>
  <c r="R5" i="310"/>
  <c r="S5" i="310"/>
  <c r="T5" i="310"/>
  <c r="U5" i="310"/>
  <c r="V5" i="310"/>
  <c r="W5" i="310"/>
  <c r="X5" i="310"/>
  <c r="Y5" i="310"/>
  <c r="Z5" i="310"/>
  <c r="AA5" i="310"/>
  <c r="AB5" i="310"/>
  <c r="AC5" i="310"/>
  <c r="AD5" i="310"/>
  <c r="AE5" i="310"/>
  <c r="AF5" i="310"/>
  <c r="AG5" i="310"/>
  <c r="AH5" i="310"/>
  <c r="AI5" i="310"/>
  <c r="AJ5" i="310"/>
  <c r="AK5" i="310"/>
  <c r="AL5" i="310"/>
  <c r="AM5" i="310"/>
  <c r="AN5" i="310"/>
  <c r="AO5" i="310"/>
  <c r="AP5" i="310"/>
  <c r="AQ5" i="310"/>
  <c r="AR5" i="310"/>
  <c r="AS5" i="310"/>
  <c r="AT5" i="310"/>
  <c r="AU5" i="310"/>
  <c r="AV5" i="310"/>
  <c r="AW5" i="310"/>
  <c r="AX5" i="310"/>
  <c r="AY5" i="310"/>
  <c r="AZ5" i="310"/>
  <c r="BA5" i="310"/>
  <c r="BB5" i="310"/>
  <c r="BC5" i="310"/>
  <c r="BD5" i="310"/>
  <c r="BE5" i="310"/>
  <c r="BF5" i="310"/>
  <c r="BG5" i="310"/>
  <c r="BH5" i="310"/>
  <c r="BI5" i="310"/>
  <c r="BJ5" i="310"/>
  <c r="BK5" i="310"/>
  <c r="BL5" i="310"/>
  <c r="BM5" i="310"/>
  <c r="BN5" i="310"/>
  <c r="BO5" i="310"/>
  <c r="BP5" i="310"/>
  <c r="BQ5" i="310"/>
  <c r="BR5" i="310"/>
  <c r="BS5" i="310"/>
  <c r="BT5" i="310"/>
  <c r="BU5" i="310"/>
  <c r="BV5" i="310"/>
  <c r="BW5" i="310"/>
  <c r="BX5" i="310"/>
  <c r="BY5" i="310"/>
  <c r="BZ5" i="310"/>
  <c r="CA5" i="310"/>
  <c r="CB5" i="310"/>
  <c r="CC5" i="310"/>
  <c r="CD5" i="310"/>
  <c r="CE5" i="310"/>
  <c r="CF5" i="310"/>
  <c r="CG5" i="310"/>
  <c r="CH5" i="310"/>
  <c r="CI5" i="310"/>
  <c r="CJ5" i="310"/>
  <c r="CK5" i="310"/>
  <c r="CL5" i="310"/>
  <c r="CM5" i="310"/>
  <c r="CN5" i="310"/>
  <c r="CO5" i="310"/>
  <c r="CP5" i="310"/>
  <c r="CQ5" i="310"/>
  <c r="CR5" i="310"/>
  <c r="CS5" i="310"/>
  <c r="AQ7" i="310"/>
  <c r="AV8" i="310" s="1"/>
  <c r="AR7" i="310"/>
  <c r="AS7" i="310"/>
  <c r="AX8" i="310" s="1"/>
  <c r="AT7" i="310"/>
  <c r="AY8" i="310" s="1"/>
  <c r="AZ7" i="310"/>
  <c r="BE7" i="310"/>
  <c r="BA8" i="310"/>
  <c r="BB8" i="310"/>
  <c r="BC8" i="310"/>
  <c r="BD8" i="310"/>
  <c r="BF8" i="310"/>
  <c r="BG8" i="310"/>
  <c r="BH8" i="310"/>
  <c r="BI8" i="310"/>
  <c r="BK8" i="310"/>
  <c r="BL8" i="310"/>
  <c r="BM8" i="310"/>
  <c r="BN8" i="310"/>
  <c r="BP8" i="310"/>
  <c r="BQ8" i="310"/>
  <c r="BR8" i="310"/>
  <c r="BS8" i="310"/>
  <c r="BU8" i="310"/>
  <c r="BV8" i="310"/>
  <c r="BW8" i="310"/>
  <c r="BX8" i="310"/>
  <c r="BZ8" i="310"/>
  <c r="CA8" i="310"/>
  <c r="CB8" i="310"/>
  <c r="AW9" i="310"/>
  <c r="AX9" i="310"/>
  <c r="AY9" i="310"/>
  <c r="BA9" i="310"/>
  <c r="BB9" i="310"/>
  <c r="BC9" i="310"/>
  <c r="BD9" i="310"/>
  <c r="BF9" i="310"/>
  <c r="BG9" i="310"/>
  <c r="BH9" i="310"/>
  <c r="BI9" i="310"/>
  <c r="BK9" i="310"/>
  <c r="BL9" i="310"/>
  <c r="BM9" i="310"/>
  <c r="BN9" i="310"/>
  <c r="BP9" i="310"/>
  <c r="BQ9" i="310"/>
  <c r="BR9" i="310"/>
  <c r="BS9" i="310"/>
  <c r="BU9" i="310"/>
  <c r="BV9" i="310"/>
  <c r="BW9" i="310"/>
  <c r="BX9" i="310"/>
  <c r="BZ9" i="310"/>
  <c r="CA9" i="310"/>
  <c r="CB9" i="310"/>
  <c r="AZ10" i="310"/>
  <c r="BE10" i="310"/>
  <c r="BJ10" i="310"/>
  <c r="BO10" i="310"/>
  <c r="BT11" i="310" s="1"/>
  <c r="G55" i="447" s="1"/>
  <c r="G10" i="447" s="1"/>
  <c r="BT10" i="310"/>
  <c r="BA11" i="310"/>
  <c r="BB11" i="310"/>
  <c r="BC11" i="310"/>
  <c r="BD11" i="310"/>
  <c r="BF11" i="310"/>
  <c r="BG11" i="310"/>
  <c r="BH11" i="310"/>
  <c r="BI11" i="310"/>
  <c r="BK11" i="310"/>
  <c r="BL11" i="310"/>
  <c r="BM11" i="310"/>
  <c r="BN11" i="310"/>
  <c r="BP11" i="310"/>
  <c r="BQ11" i="310"/>
  <c r="BR11" i="310"/>
  <c r="BS11" i="310"/>
  <c r="BU11" i="310"/>
  <c r="BV11" i="310"/>
  <c r="BW11" i="310"/>
  <c r="BX11" i="310"/>
  <c r="BZ11" i="310"/>
  <c r="CA11" i="310"/>
  <c r="CB11" i="310"/>
  <c r="AW12" i="310"/>
  <c r="AX12" i="310"/>
  <c r="AY12" i="310"/>
  <c r="BA12" i="310"/>
  <c r="BB12" i="310"/>
  <c r="BC12" i="310"/>
  <c r="BD12" i="310"/>
  <c r="BF12" i="310"/>
  <c r="BG12" i="310"/>
  <c r="BH12" i="310"/>
  <c r="BK12" i="310"/>
  <c r="BL12" i="310"/>
  <c r="BM12" i="310"/>
  <c r="BN12" i="310"/>
  <c r="BP12" i="310"/>
  <c r="BQ12" i="310"/>
  <c r="BR12" i="310"/>
  <c r="BU12" i="310"/>
  <c r="BV12" i="310"/>
  <c r="BW12" i="310"/>
  <c r="BX12" i="310"/>
  <c r="BZ12" i="310"/>
  <c r="AV13" i="310"/>
  <c r="AW13" i="310"/>
  <c r="AX13" i="310"/>
  <c r="AY13" i="310"/>
  <c r="BA13" i="310"/>
  <c r="BA15" i="310" s="1"/>
  <c r="BB13" i="310"/>
  <c r="BC13" i="310"/>
  <c r="BD13" i="310"/>
  <c r="BD14" i="310" s="1"/>
  <c r="BF13" i="310"/>
  <c r="BF14" i="310" s="1"/>
  <c r="BG13" i="310"/>
  <c r="BH13" i="310"/>
  <c r="BI13" i="310"/>
  <c r="BK13" i="310"/>
  <c r="BJ89" i="4" s="1"/>
  <c r="BL13" i="310"/>
  <c r="BM13" i="310"/>
  <c r="BN13" i="310"/>
  <c r="BM89" i="4" s="1"/>
  <c r="BP13" i="310"/>
  <c r="BQ13" i="310"/>
  <c r="BR13" i="310"/>
  <c r="BS13" i="310"/>
  <c r="BR89" i="4" s="1"/>
  <c r="CC14" i="310"/>
  <c r="CA15" i="310"/>
  <c r="CB15" i="310"/>
  <c r="AQ83" i="310"/>
  <c r="AV84" i="310" s="1"/>
  <c r="AR83" i="310"/>
  <c r="AW84" i="310" s="1"/>
  <c r="AS83" i="310"/>
  <c r="AX84" i="310" s="1"/>
  <c r="AT83" i="310"/>
  <c r="AY84" i="310" s="1"/>
  <c r="AZ83" i="310"/>
  <c r="BE83" i="310"/>
  <c r="BJ83" i="310"/>
  <c r="BO83" i="310"/>
  <c r="BT83" i="310"/>
  <c r="BY83" i="310"/>
  <c r="CD83" i="310"/>
  <c r="BA84" i="310"/>
  <c r="BB84" i="310"/>
  <c r="BC84" i="310"/>
  <c r="BD84" i="310"/>
  <c r="BF84" i="310"/>
  <c r="BG84" i="310"/>
  <c r="BH84" i="310"/>
  <c r="BI84" i="310"/>
  <c r="BK84" i="310"/>
  <c r="BL84" i="310"/>
  <c r="BM84" i="310"/>
  <c r="BN84" i="310"/>
  <c r="BP84" i="310"/>
  <c r="BQ84" i="310"/>
  <c r="BR84" i="310"/>
  <c r="BS84" i="310"/>
  <c r="BU84" i="310"/>
  <c r="BV84" i="310"/>
  <c r="BW84" i="310"/>
  <c r="BX84" i="310"/>
  <c r="BZ84" i="310"/>
  <c r="CA84" i="310"/>
  <c r="CB84" i="310"/>
  <c r="AW85" i="310"/>
  <c r="AX85" i="310"/>
  <c r="AY85" i="310"/>
  <c r="BA85" i="310"/>
  <c r="BB85" i="310"/>
  <c r="BC85" i="310"/>
  <c r="BD85" i="310"/>
  <c r="BF85" i="310"/>
  <c r="BG85" i="310"/>
  <c r="BH85" i="310"/>
  <c r="BI85" i="310"/>
  <c r="BK85" i="310"/>
  <c r="BL85" i="310"/>
  <c r="BM85" i="310"/>
  <c r="BN85" i="310"/>
  <c r="BP85" i="310"/>
  <c r="BQ85" i="310"/>
  <c r="BR85" i="310"/>
  <c r="BS85" i="310"/>
  <c r="BU85" i="310"/>
  <c r="BV85" i="310"/>
  <c r="BW85" i="310"/>
  <c r="BX85" i="310"/>
  <c r="BZ85" i="310"/>
  <c r="CA85" i="310"/>
  <c r="CB85" i="310"/>
  <c r="AZ17" i="310"/>
  <c r="BE17" i="310"/>
  <c r="BJ17" i="310"/>
  <c r="BO17" i="310"/>
  <c r="BO18" i="310" s="1"/>
  <c r="BT17" i="310"/>
  <c r="BY17" i="310"/>
  <c r="CD17" i="310"/>
  <c r="BA18" i="310"/>
  <c r="BB18" i="310"/>
  <c r="BC18" i="310"/>
  <c r="BD18" i="310"/>
  <c r="BF18" i="310"/>
  <c r="BG18" i="310"/>
  <c r="BH18" i="310"/>
  <c r="BI18" i="310"/>
  <c r="BK18" i="310"/>
  <c r="BL18" i="310"/>
  <c r="BM18" i="310"/>
  <c r="BN18" i="310"/>
  <c r="BP18" i="310"/>
  <c r="BQ18" i="310"/>
  <c r="BR18" i="310"/>
  <c r="BS18" i="310"/>
  <c r="BU18" i="310"/>
  <c r="BV18" i="310"/>
  <c r="BW18" i="310"/>
  <c r="BX18" i="310"/>
  <c r="BZ18" i="310"/>
  <c r="CA18" i="310"/>
  <c r="CB18" i="310"/>
  <c r="AW19" i="310"/>
  <c r="AX19" i="310"/>
  <c r="AY19" i="310"/>
  <c r="BA19" i="310"/>
  <c r="BB19" i="310"/>
  <c r="BC19" i="310"/>
  <c r="BD19" i="310"/>
  <c r="BF19" i="310"/>
  <c r="BG19" i="310"/>
  <c r="BH19" i="310"/>
  <c r="BI19" i="310"/>
  <c r="BK19" i="310"/>
  <c r="BL19" i="310"/>
  <c r="BM19" i="310"/>
  <c r="BN19" i="310"/>
  <c r="BP19" i="310"/>
  <c r="BQ19" i="310"/>
  <c r="BR19" i="310"/>
  <c r="BS19" i="310"/>
  <c r="BU19" i="310"/>
  <c r="BV19" i="310"/>
  <c r="BW19" i="310"/>
  <c r="BX19" i="310"/>
  <c r="BZ19" i="310"/>
  <c r="CA19" i="310"/>
  <c r="CB19" i="310"/>
  <c r="AZ27" i="310"/>
  <c r="BA27" i="310"/>
  <c r="BB27" i="310"/>
  <c r="BB21" i="310" s="1"/>
  <c r="BC27" i="310"/>
  <c r="BD27" i="310"/>
  <c r="BD21" i="310" s="1"/>
  <c r="BF27" i="310"/>
  <c r="BF21" i="310" s="1"/>
  <c r="BG27" i="310"/>
  <c r="BG21" i="310" s="1"/>
  <c r="BH27" i="310"/>
  <c r="BH21" i="310" s="1"/>
  <c r="BI27" i="310"/>
  <c r="BK27" i="310"/>
  <c r="BK21" i="310" s="1"/>
  <c r="BL27" i="310"/>
  <c r="BL21" i="310" s="1"/>
  <c r="BT27" i="310"/>
  <c r="BY27" i="310"/>
  <c r="CD27" i="310"/>
  <c r="BR28" i="310"/>
  <c r="BS28" i="310"/>
  <c r="BU28" i="310"/>
  <c r="BV28" i="310"/>
  <c r="BW28" i="310"/>
  <c r="BX28" i="310"/>
  <c r="BZ28" i="310"/>
  <c r="CA28" i="310"/>
  <c r="CB28" i="310"/>
  <c r="AW29" i="310"/>
  <c r="AX29" i="310"/>
  <c r="AY29" i="310"/>
  <c r="BN29" i="310"/>
  <c r="BP29" i="310"/>
  <c r="BQ29" i="310"/>
  <c r="BR29" i="310"/>
  <c r="BS29" i="310"/>
  <c r="BU29" i="310"/>
  <c r="BV29" i="310"/>
  <c r="BW29" i="310"/>
  <c r="BX29" i="310"/>
  <c r="BZ29" i="310"/>
  <c r="AQ24" i="310"/>
  <c r="AQ21" i="310" s="1"/>
  <c r="AR24" i="310"/>
  <c r="AS24" i="310"/>
  <c r="AS21" i="310" s="1"/>
  <c r="AX22" i="310" s="1"/>
  <c r="AT24" i="310"/>
  <c r="AY25" i="310" s="1"/>
  <c r="AZ24" i="310"/>
  <c r="BE24" i="310"/>
  <c r="BJ24" i="310"/>
  <c r="BO24" i="310"/>
  <c r="BT25" i="310" s="1"/>
  <c r="BT24" i="310"/>
  <c r="BY24" i="310"/>
  <c r="CD24" i="310"/>
  <c r="BA25" i="310"/>
  <c r="BB25" i="310"/>
  <c r="BC25" i="310"/>
  <c r="BD25" i="310"/>
  <c r="BF25" i="310"/>
  <c r="BG25" i="310"/>
  <c r="BH25" i="310"/>
  <c r="BI25" i="310"/>
  <c r="BK25" i="310"/>
  <c r="BL25" i="310"/>
  <c r="BM25" i="310"/>
  <c r="BN25" i="310"/>
  <c r="BP25" i="310"/>
  <c r="BQ25" i="310"/>
  <c r="BR25" i="310"/>
  <c r="BS25" i="310"/>
  <c r="BU25" i="310"/>
  <c r="BV25" i="310"/>
  <c r="BW25" i="310"/>
  <c r="BX25" i="310"/>
  <c r="BZ25" i="310"/>
  <c r="CA25" i="310"/>
  <c r="CB25" i="310"/>
  <c r="AW26" i="310"/>
  <c r="AX26" i="310"/>
  <c r="AY26" i="310"/>
  <c r="BA26" i="310"/>
  <c r="BB26" i="310"/>
  <c r="BC26" i="310"/>
  <c r="BD26" i="310"/>
  <c r="BF26" i="310"/>
  <c r="BG26" i="310"/>
  <c r="BH26" i="310"/>
  <c r="BI26" i="310"/>
  <c r="BK26" i="310"/>
  <c r="BL26" i="310"/>
  <c r="BM26" i="310"/>
  <c r="BN26" i="310"/>
  <c r="BP26" i="310"/>
  <c r="BQ26" i="310"/>
  <c r="BR26" i="310"/>
  <c r="BS26" i="310"/>
  <c r="BU26" i="310"/>
  <c r="BV26" i="310"/>
  <c r="BW26" i="310"/>
  <c r="BX26" i="310"/>
  <c r="BZ26" i="310"/>
  <c r="CA26" i="310"/>
  <c r="CB26" i="310"/>
  <c r="AV31" i="310"/>
  <c r="AV40" i="310" s="1"/>
  <c r="AW31" i="310"/>
  <c r="AX31" i="310"/>
  <c r="AX64" i="310" s="1"/>
  <c r="AY31" i="310"/>
  <c r="AY64" i="310" s="1"/>
  <c r="BA31" i="310"/>
  <c r="BA32" i="310" s="1"/>
  <c r="BB31" i="310"/>
  <c r="BC31" i="310"/>
  <c r="BC64" i="310" s="1"/>
  <c r="BD31" i="310"/>
  <c r="BF33" i="310" s="1"/>
  <c r="BF31" i="310"/>
  <c r="BF64" i="310" s="1"/>
  <c r="BG31" i="310"/>
  <c r="BH31" i="310"/>
  <c r="BI31" i="310"/>
  <c r="BI63" i="310" s="1"/>
  <c r="BF36" i="310"/>
  <c r="BF43" i="310" s="1"/>
  <c r="BG36" i="310"/>
  <c r="BH36" i="310"/>
  <c r="BH43" i="310" s="1"/>
  <c r="BI36" i="310"/>
  <c r="BK36" i="310"/>
  <c r="BM37" i="310"/>
  <c r="BN37" i="310"/>
  <c r="BU38" i="310"/>
  <c r="BV38" i="310"/>
  <c r="BW38" i="310"/>
  <c r="BX38" i="310"/>
  <c r="BL43" i="310"/>
  <c r="BL44" i="310" s="1"/>
  <c r="BS43" i="310"/>
  <c r="BU43" i="310"/>
  <c r="BV43" i="310"/>
  <c r="BW43" i="310"/>
  <c r="BX43" i="310"/>
  <c r="BZ43" i="310"/>
  <c r="BZ44" i="310" s="1"/>
  <c r="CA43" i="310"/>
  <c r="CA44" i="310" s="1"/>
  <c r="CB43" i="310"/>
  <c r="AQ48" i="310"/>
  <c r="AR48" i="310"/>
  <c r="AS48" i="310"/>
  <c r="AT48" i="310"/>
  <c r="AT57" i="310" s="1"/>
  <c r="AZ48" i="310"/>
  <c r="BE48" i="310"/>
  <c r="BJ48" i="310"/>
  <c r="BM48" i="310"/>
  <c r="BO48" i="310" s="1"/>
  <c r="BT48" i="310"/>
  <c r="BY48" i="310"/>
  <c r="AV49" i="310"/>
  <c r="AW49" i="310"/>
  <c r="AX49" i="310"/>
  <c r="AY49" i="310"/>
  <c r="BA49" i="310"/>
  <c r="BB49" i="310"/>
  <c r="BC49" i="310"/>
  <c r="BD49" i="310"/>
  <c r="BF49" i="310"/>
  <c r="BG49" i="310"/>
  <c r="BH49" i="310"/>
  <c r="BI49" i="310"/>
  <c r="BK49" i="310"/>
  <c r="BL49" i="310"/>
  <c r="BN49" i="310"/>
  <c r="BP49" i="310"/>
  <c r="BQ49" i="310"/>
  <c r="BR49" i="310"/>
  <c r="BS49" i="310"/>
  <c r="BU49" i="310"/>
  <c r="BZ49" i="310" s="1"/>
  <c r="CE49" i="310" s="1"/>
  <c r="CJ49" i="310" s="1"/>
  <c r="CO49" i="310" s="1"/>
  <c r="CT49" i="310" s="1"/>
  <c r="BV49" i="310"/>
  <c r="BW49" i="310"/>
  <c r="CB49" i="310" s="1"/>
  <c r="CL49" i="310"/>
  <c r="CQ49" i="310" s="1"/>
  <c r="CV49" i="310" s="1"/>
  <c r="BX49" i="310"/>
  <c r="CC49" i="310" s="1"/>
  <c r="CA49" i="310"/>
  <c r="AQ51" i="310"/>
  <c r="AR51" i="310"/>
  <c r="AS51" i="310"/>
  <c r="AS52" i="310" s="1"/>
  <c r="AT51" i="310"/>
  <c r="AZ51" i="310"/>
  <c r="BE51" i="310"/>
  <c r="BJ51" i="310"/>
  <c r="BM51" i="310"/>
  <c r="BT51" i="310"/>
  <c r="BY51" i="310"/>
  <c r="AV52" i="310"/>
  <c r="AW52" i="310"/>
  <c r="AX52" i="310"/>
  <c r="AY52" i="310"/>
  <c r="BA52" i="310"/>
  <c r="BB52" i="310"/>
  <c r="BC52" i="310"/>
  <c r="BD52" i="310"/>
  <c r="BF52" i="310"/>
  <c r="BG52" i="310"/>
  <c r="BH52" i="310"/>
  <c r="BI52" i="310"/>
  <c r="BK52" i="310"/>
  <c r="BL52" i="310"/>
  <c r="BN52" i="310"/>
  <c r="BP52" i="310"/>
  <c r="BQ52" i="310"/>
  <c r="BR52" i="310"/>
  <c r="BS52" i="310"/>
  <c r="BU52" i="310"/>
  <c r="BZ52" i="310" s="1"/>
  <c r="CE52" i="310" s="1"/>
  <c r="CJ52" i="310" s="1"/>
  <c r="CO52" i="310" s="1"/>
  <c r="CT52" i="310" s="1"/>
  <c r="BV52" i="310"/>
  <c r="BW52" i="310"/>
  <c r="CB52" i="310" s="1"/>
  <c r="BX52" i="310"/>
  <c r="CC52" i="310" s="1"/>
  <c r="CA52" i="310"/>
  <c r="AQ54" i="310"/>
  <c r="AR54" i="310"/>
  <c r="AU54" i="310" s="1"/>
  <c r="AS54" i="310"/>
  <c r="AT54" i="310"/>
  <c r="AZ54" i="310"/>
  <c r="BE54" i="310"/>
  <c r="BJ54" i="310"/>
  <c r="BJ55" i="310" s="1"/>
  <c r="BY54" i="310"/>
  <c r="AV55" i="310"/>
  <c r="AW55" i="310"/>
  <c r="AX55" i="310"/>
  <c r="AY55" i="310"/>
  <c r="BA55" i="310"/>
  <c r="BB55" i="310"/>
  <c r="BC55" i="310"/>
  <c r="BD55" i="310"/>
  <c r="BF55" i="310"/>
  <c r="BG55" i="310"/>
  <c r="BH55" i="310"/>
  <c r="BI55" i="310"/>
  <c r="BK55" i="310"/>
  <c r="BL55" i="310"/>
  <c r="BM55" i="310"/>
  <c r="BN55" i="310"/>
  <c r="BP55" i="310"/>
  <c r="BQ55" i="310"/>
  <c r="BR55" i="310"/>
  <c r="BS55" i="310"/>
  <c r="BU55" i="310"/>
  <c r="BZ55" i="310" s="1"/>
  <c r="CE55" i="310" s="1"/>
  <c r="CJ55" i="310" s="1"/>
  <c r="CO55" i="310" s="1"/>
  <c r="CT55" i="310" s="1"/>
  <c r="BV55" i="310"/>
  <c r="BW55" i="310"/>
  <c r="CB55" i="310" s="1"/>
  <c r="CL55" i="310"/>
  <c r="CQ55" i="310" s="1"/>
  <c r="CV55" i="310" s="1"/>
  <c r="BX55" i="310"/>
  <c r="CC55" i="310" s="1"/>
  <c r="CM55" i="310"/>
  <c r="CR55" i="310" s="1"/>
  <c r="CW55" i="310" s="1"/>
  <c r="CA55" i="310"/>
  <c r="CK55" i="310"/>
  <c r="CP55" i="310" s="1"/>
  <c r="CU55" i="310" s="1"/>
  <c r="AV57" i="310"/>
  <c r="AW57" i="310"/>
  <c r="AX57" i="310"/>
  <c r="AX58" i="310" s="1"/>
  <c r="AY57" i="310"/>
  <c r="BA57" i="310"/>
  <c r="BB57" i="310"/>
  <c r="BC57" i="310"/>
  <c r="BD57" i="310"/>
  <c r="BF57" i="310"/>
  <c r="BG57" i="310"/>
  <c r="BH57" i="310"/>
  <c r="BH58" i="310" s="1"/>
  <c r="BI57" i="310"/>
  <c r="BK57" i="310"/>
  <c r="BL57" i="310"/>
  <c r="BN57" i="310"/>
  <c r="BP57" i="310"/>
  <c r="BQ57" i="310"/>
  <c r="BR57" i="310"/>
  <c r="BR58" i="310" s="1"/>
  <c r="BS57" i="310"/>
  <c r="BU57" i="310"/>
  <c r="BU58" i="310" s="1"/>
  <c r="BV57" i="310"/>
  <c r="BW57" i="310"/>
  <c r="BX57" i="310"/>
  <c r="BX58" i="310" s="1"/>
  <c r="BZ57" i="310"/>
  <c r="CA57" i="310"/>
  <c r="CB57" i="310"/>
  <c r="A62" i="310"/>
  <c r="AV62" i="310"/>
  <c r="BP62" i="310"/>
  <c r="BU62" i="310"/>
  <c r="AX63" i="310"/>
  <c r="BH64" i="310"/>
  <c r="BN64" i="310"/>
  <c r="CA64" i="310"/>
  <c r="CB64" i="310"/>
  <c r="H72" i="310"/>
  <c r="H68" i="310" s="1"/>
  <c r="I72" i="310"/>
  <c r="I68" i="310" s="1"/>
  <c r="N69" i="310" s="1"/>
  <c r="J72" i="310"/>
  <c r="J68" i="310" s="1"/>
  <c r="M72" i="310"/>
  <c r="M68" i="310" s="1"/>
  <c r="N72" i="310"/>
  <c r="N68" i="310" s="1"/>
  <c r="O72" i="310"/>
  <c r="O68" i="310" s="1"/>
  <c r="T69" i="310" s="1"/>
  <c r="R72" i="310"/>
  <c r="R68" i="310" s="1"/>
  <c r="S72" i="310"/>
  <c r="S68" i="310" s="1"/>
  <c r="T72" i="310"/>
  <c r="T68" i="310" s="1"/>
  <c r="W72" i="310"/>
  <c r="X72" i="310"/>
  <c r="X68" i="310" s="1"/>
  <c r="Y72" i="310"/>
  <c r="Y68" i="310" s="1"/>
  <c r="AB72" i="310"/>
  <c r="AB73" i="310" s="1"/>
  <c r="AC72" i="310"/>
  <c r="AC73" i="310" s="1"/>
  <c r="AD72" i="310"/>
  <c r="AD73" i="310" s="1"/>
  <c r="AE72" i="310"/>
  <c r="AE73" i="310" s="1"/>
  <c r="AG72" i="310"/>
  <c r="AG73" i="310" s="1"/>
  <c r="AH72" i="310"/>
  <c r="AI72" i="310"/>
  <c r="AJ72" i="310"/>
  <c r="AL72" i="310"/>
  <c r="AM72" i="310"/>
  <c r="AN72" i="310"/>
  <c r="AN73" i="310" s="1"/>
  <c r="AO72" i="310"/>
  <c r="AO73" i="310" s="1"/>
  <c r="AQ72" i="310"/>
  <c r="AR72" i="310"/>
  <c r="AR115" i="310"/>
  <c r="AR68" i="310" s="1"/>
  <c r="AS72" i="310"/>
  <c r="AT72" i="310"/>
  <c r="AV72" i="310"/>
  <c r="AV73" i="310"/>
  <c r="AW72" i="310"/>
  <c r="BB72" i="310"/>
  <c r="BB73" i="310" s="1"/>
  <c r="BC72" i="310"/>
  <c r="BC68" i="310" s="1"/>
  <c r="BF72" i="310"/>
  <c r="BG72" i="310"/>
  <c r="BH72" i="310"/>
  <c r="BI72" i="310"/>
  <c r="BI73" i="310" s="1"/>
  <c r="BL72" i="310"/>
  <c r="BM72" i="310"/>
  <c r="BN72" i="310"/>
  <c r="BN68" i="310" s="1"/>
  <c r="BP72" i="310"/>
  <c r="BP68" i="310" s="1"/>
  <c r="BQ72" i="310"/>
  <c r="BR72" i="310"/>
  <c r="BS72" i="310"/>
  <c r="BU72" i="310"/>
  <c r="BU68" i="310" s="1"/>
  <c r="BV72" i="310"/>
  <c r="BW72" i="310"/>
  <c r="BX72" i="310"/>
  <c r="BX68" i="310" s="1"/>
  <c r="BZ72" i="310"/>
  <c r="H76" i="310"/>
  <c r="I76" i="310"/>
  <c r="J76" i="310"/>
  <c r="M76" i="310"/>
  <c r="N76" i="310"/>
  <c r="O76" i="310"/>
  <c r="R76" i="310"/>
  <c r="S76" i="310"/>
  <c r="T76" i="310"/>
  <c r="W76" i="310"/>
  <c r="X76" i="310"/>
  <c r="Y76" i="310"/>
  <c r="H79" i="310"/>
  <c r="I79" i="310"/>
  <c r="J79" i="310"/>
  <c r="M79" i="310"/>
  <c r="N79" i="310"/>
  <c r="O79" i="310"/>
  <c r="R79" i="310"/>
  <c r="S79" i="310"/>
  <c r="T79" i="310"/>
  <c r="W79" i="310"/>
  <c r="W80" i="310" s="1"/>
  <c r="X79" i="310"/>
  <c r="Y79" i="310"/>
  <c r="AM79" i="310"/>
  <c r="AM80" i="310" s="1"/>
  <c r="AN79" i="310"/>
  <c r="AN80" i="310" s="1"/>
  <c r="AO79" i="310"/>
  <c r="AQ79" i="310"/>
  <c r="AQ80" i="310" s="1"/>
  <c r="AS79" i="310"/>
  <c r="AS80" i="310" s="1"/>
  <c r="AY79" i="310"/>
  <c r="AY80" i="310" s="1"/>
  <c r="BA79" i="310"/>
  <c r="BA80" i="310" s="1"/>
  <c r="BD79" i="310"/>
  <c r="BD80" i="310" s="1"/>
  <c r="BP79" i="310"/>
  <c r="BV79" i="310"/>
  <c r="BW79" i="310"/>
  <c r="BX79" i="310"/>
  <c r="BZ79" i="310"/>
  <c r="CA79" i="310"/>
  <c r="CB79" i="310"/>
  <c r="AU90" i="310"/>
  <c r="AZ90" i="310"/>
  <c r="AZ120" i="310"/>
  <c r="BE90" i="310"/>
  <c r="BF90" i="310"/>
  <c r="AR91" i="310"/>
  <c r="AS91" i="310"/>
  <c r="AT91" i="310"/>
  <c r="AV91" i="310"/>
  <c r="AW91" i="310"/>
  <c r="AX91" i="310"/>
  <c r="AY91" i="310"/>
  <c r="BA91" i="310"/>
  <c r="BB91" i="310"/>
  <c r="BC91" i="310"/>
  <c r="BD91" i="310"/>
  <c r="AV92" i="310"/>
  <c r="AW92" i="310"/>
  <c r="AX92" i="310"/>
  <c r="AY92" i="310"/>
  <c r="BA92" i="310"/>
  <c r="BB92" i="310"/>
  <c r="BC92" i="310"/>
  <c r="BD92" i="310"/>
  <c r="AU94" i="310"/>
  <c r="AZ94" i="310"/>
  <c r="BE94" i="310"/>
  <c r="BB123" i="310"/>
  <c r="BD123" i="310"/>
  <c r="BE123" i="310"/>
  <c r="BF94" i="310"/>
  <c r="AR95" i="310"/>
  <c r="AS95" i="310"/>
  <c r="AT95" i="310"/>
  <c r="AV95" i="310"/>
  <c r="AW95" i="310"/>
  <c r="AX95" i="310"/>
  <c r="AY95" i="310"/>
  <c r="BA95" i="310"/>
  <c r="BB95" i="310"/>
  <c r="BC95" i="310"/>
  <c r="BD95" i="310"/>
  <c r="AV96" i="310"/>
  <c r="AW96" i="310"/>
  <c r="AX96" i="310"/>
  <c r="AY96" i="310"/>
  <c r="BA96" i="310"/>
  <c r="BB96" i="310"/>
  <c r="BC96" i="310"/>
  <c r="BD96" i="310"/>
  <c r="BA97" i="310"/>
  <c r="AU98" i="310"/>
  <c r="AZ98" i="310"/>
  <c r="BE98" i="310"/>
  <c r="AR99" i="310"/>
  <c r="AS99" i="310"/>
  <c r="AT99" i="310"/>
  <c r="AV99" i="310"/>
  <c r="AW99" i="310"/>
  <c r="AX99" i="310"/>
  <c r="AY99" i="310"/>
  <c r="BA99" i="310"/>
  <c r="BB99" i="310"/>
  <c r="BC99" i="310"/>
  <c r="BD99" i="310"/>
  <c r="AV100" i="310"/>
  <c r="AW100" i="310"/>
  <c r="AX100" i="310"/>
  <c r="AY100" i="310"/>
  <c r="BA100" i="310"/>
  <c r="BB100" i="310"/>
  <c r="BC100" i="310"/>
  <c r="BD100" i="310"/>
  <c r="AU101" i="310"/>
  <c r="AZ101" i="310"/>
  <c r="BE101" i="310"/>
  <c r="AV102" i="310"/>
  <c r="AW102" i="310"/>
  <c r="AX102" i="310"/>
  <c r="AY102" i="310"/>
  <c r="BA102" i="310"/>
  <c r="BB102" i="310"/>
  <c r="BC102" i="310"/>
  <c r="BD102" i="310"/>
  <c r="AV103" i="310"/>
  <c r="AW103" i="310"/>
  <c r="AX103" i="310"/>
  <c r="AY103" i="310"/>
  <c r="BA103" i="310"/>
  <c r="BB103" i="310"/>
  <c r="BC103" i="310"/>
  <c r="BD103" i="310"/>
  <c r="AU104" i="310"/>
  <c r="AU130" i="310" s="1"/>
  <c r="AZ104" i="310"/>
  <c r="BA104" i="310"/>
  <c r="BA106" i="310" s="1"/>
  <c r="BB104" i="310"/>
  <c r="BC104" i="310"/>
  <c r="BC105" i="310" s="1"/>
  <c r="BD104" i="310"/>
  <c r="AR105" i="310"/>
  <c r="AS105" i="310"/>
  <c r="AT105" i="310"/>
  <c r="AV105" i="310"/>
  <c r="AW105" i="310"/>
  <c r="AX105" i="310"/>
  <c r="AY105" i="310"/>
  <c r="AV106" i="310"/>
  <c r="AW106" i="310"/>
  <c r="AX106" i="310"/>
  <c r="AY106" i="310"/>
  <c r="AU108" i="310"/>
  <c r="AZ108" i="310"/>
  <c r="BE108" i="310"/>
  <c r="BF108" i="310"/>
  <c r="BF110" i="310" s="1"/>
  <c r="AR109" i="310"/>
  <c r="AS109" i="310"/>
  <c r="AT109" i="310"/>
  <c r="AV109" i="310"/>
  <c r="AW109" i="310"/>
  <c r="AX109" i="310"/>
  <c r="AY109" i="310"/>
  <c r="BA109" i="310"/>
  <c r="BB109" i="310"/>
  <c r="BC109" i="310"/>
  <c r="BD109" i="310"/>
  <c r="AV110" i="310"/>
  <c r="AW110" i="310"/>
  <c r="AX110" i="310"/>
  <c r="AY110" i="310"/>
  <c r="BA110" i="310"/>
  <c r="BB110" i="310"/>
  <c r="BC110" i="310"/>
  <c r="BD110" i="310"/>
  <c r="AU112" i="310"/>
  <c r="AZ112" i="310"/>
  <c r="BE112" i="310"/>
  <c r="BE135" i="310"/>
  <c r="BF112" i="310"/>
  <c r="BG112" i="310" s="1"/>
  <c r="BG114" i="310" s="1"/>
  <c r="AR113" i="310"/>
  <c r="AS113" i="310"/>
  <c r="AT113" i="310"/>
  <c r="AV113" i="310"/>
  <c r="AW113" i="310"/>
  <c r="AX113" i="310"/>
  <c r="AY113" i="310"/>
  <c r="BA113" i="310"/>
  <c r="BB113" i="310"/>
  <c r="BC113" i="310"/>
  <c r="BD113" i="310"/>
  <c r="AV114" i="310"/>
  <c r="AW114" i="310"/>
  <c r="AX114" i="310"/>
  <c r="AY114" i="310"/>
  <c r="BA114" i="310"/>
  <c r="BB114" i="310"/>
  <c r="BC114" i="310"/>
  <c r="BD114" i="310"/>
  <c r="AQ115" i="310"/>
  <c r="AQ144" i="310" s="1"/>
  <c r="AR144" i="310"/>
  <c r="AS115" i="310"/>
  <c r="AS147" i="310" s="1"/>
  <c r="AT115" i="310"/>
  <c r="AV115" i="310"/>
  <c r="AV116" i="310" s="1"/>
  <c r="AW115" i="310"/>
  <c r="AW146" i="310" s="1"/>
  <c r="AX115" i="310"/>
  <c r="AY115" i="310"/>
  <c r="AU120" i="310"/>
  <c r="AU121" i="310" s="1"/>
  <c r="BB120" i="310"/>
  <c r="AQ121" i="310"/>
  <c r="AR121" i="310"/>
  <c r="AS121" i="310"/>
  <c r="AT121" i="310"/>
  <c r="AV121" i="310"/>
  <c r="AW121" i="310"/>
  <c r="AX121" i="310"/>
  <c r="AY121" i="310"/>
  <c r="BA121" i="310"/>
  <c r="BF121" i="310" s="1"/>
  <c r="BC121" i="310"/>
  <c r="BD121" i="310"/>
  <c r="AU123" i="310"/>
  <c r="AZ123" i="310"/>
  <c r="AQ124" i="310"/>
  <c r="AR124" i="310"/>
  <c r="AS124" i="310"/>
  <c r="AT124" i="310"/>
  <c r="AV124" i="310"/>
  <c r="AW124" i="310"/>
  <c r="AX124" i="310"/>
  <c r="AY124" i="310"/>
  <c r="BA124" i="310"/>
  <c r="BF124" i="310" s="1"/>
  <c r="BB124" i="310"/>
  <c r="BC124" i="310"/>
  <c r="BD124" i="310"/>
  <c r="AU126" i="310"/>
  <c r="AZ126" i="310"/>
  <c r="BE126" i="310"/>
  <c r="AQ127" i="310"/>
  <c r="AR127" i="310"/>
  <c r="AS127" i="310"/>
  <c r="AT127" i="310"/>
  <c r="AV127" i="310"/>
  <c r="AW127" i="310"/>
  <c r="AX127" i="310"/>
  <c r="AY127" i="310"/>
  <c r="BA127" i="310"/>
  <c r="BB127" i="310"/>
  <c r="BC127" i="310"/>
  <c r="BD127" i="310"/>
  <c r="BF127" i="310"/>
  <c r="BF126" i="310" s="1"/>
  <c r="AU129" i="310"/>
  <c r="AZ129" i="310"/>
  <c r="BE129" i="310"/>
  <c r="AQ130" i="310"/>
  <c r="AR130" i="310"/>
  <c r="AS130" i="310"/>
  <c r="AT130" i="310"/>
  <c r="AV130" i="310"/>
  <c r="AW130" i="310"/>
  <c r="AX130" i="310"/>
  <c r="AY130" i="310"/>
  <c r="AU132" i="310"/>
  <c r="AZ132" i="310"/>
  <c r="BE132" i="310"/>
  <c r="AQ133" i="310"/>
  <c r="AR133" i="310"/>
  <c r="AS133" i="310"/>
  <c r="AT133" i="310"/>
  <c r="AV133" i="310"/>
  <c r="AW133" i="310"/>
  <c r="AX133" i="310"/>
  <c r="AY133" i="310"/>
  <c r="BA133" i="310"/>
  <c r="BB133" i="310"/>
  <c r="BG133" i="310" s="1"/>
  <c r="BL133" i="310" s="1"/>
  <c r="BQ133" i="310" s="1"/>
  <c r="BV133" i="310" s="1"/>
  <c r="CA133" i="310" s="1"/>
  <c r="CF133" i="310" s="1"/>
  <c r="CK133" i="310" s="1"/>
  <c r="CP133" i="310" s="1"/>
  <c r="CU133" i="310" s="1"/>
  <c r="BC133" i="310"/>
  <c r="BH133" i="310" s="1"/>
  <c r="BD133" i="310"/>
  <c r="BI133" i="310" s="1"/>
  <c r="BN133" i="310" s="1"/>
  <c r="BS133" i="310" s="1"/>
  <c r="BX133" i="310" s="1"/>
  <c r="CC133" i="310" s="1"/>
  <c r="CH133" i="310" s="1"/>
  <c r="CM133" i="310" s="1"/>
  <c r="CR133" i="310" s="1"/>
  <c r="CW133" i="310" s="1"/>
  <c r="BF133" i="310"/>
  <c r="AU135" i="310"/>
  <c r="AZ135" i="310"/>
  <c r="AQ136" i="310"/>
  <c r="AR136" i="310"/>
  <c r="AS136" i="310"/>
  <c r="AT136" i="310"/>
  <c r="AV136" i="310"/>
  <c r="AW136" i="310"/>
  <c r="AX136" i="310"/>
  <c r="AY136" i="310"/>
  <c r="BA136" i="310"/>
  <c r="BF136" i="310" s="1"/>
  <c r="BF135" i="310" s="1"/>
  <c r="BB136" i="310"/>
  <c r="BC136" i="310"/>
  <c r="BD136" i="310"/>
  <c r="AQ138" i="310"/>
  <c r="AR138" i="310"/>
  <c r="AS138" i="310"/>
  <c r="AS139" i="310" s="1"/>
  <c r="AT138" i="310"/>
  <c r="AV138" i="310"/>
  <c r="AV139" i="310" s="1"/>
  <c r="AW138" i="310"/>
  <c r="AX138" i="310"/>
  <c r="AY138" i="310"/>
  <c r="BA138" i="310"/>
  <c r="BC138" i="310"/>
  <c r="BD138" i="310"/>
  <c r="AR143" i="310"/>
  <c r="AV143" i="310"/>
  <c r="AX143" i="310"/>
  <c r="Z153" i="310"/>
  <c r="AF153" i="310"/>
  <c r="AK155" i="310" s="1"/>
  <c r="AK153" i="310"/>
  <c r="AP153" i="310"/>
  <c r="AU153" i="310"/>
  <c r="AZ153" i="310"/>
  <c r="AZ190" i="310" s="1"/>
  <c r="X154" i="310"/>
  <c r="Y154" i="310"/>
  <c r="AC154" i="310"/>
  <c r="AD154" i="310"/>
  <c r="AE154" i="310"/>
  <c r="AG154" i="310"/>
  <c r="AH154" i="310"/>
  <c r="AI154" i="310"/>
  <c r="AJ154" i="310"/>
  <c r="AL154" i="310"/>
  <c r="AM154" i="310"/>
  <c r="AN154" i="310"/>
  <c r="AO154" i="310"/>
  <c r="AQ154" i="310"/>
  <c r="AR154" i="310"/>
  <c r="AS154" i="310"/>
  <c r="AT154" i="310"/>
  <c r="AV154" i="310"/>
  <c r="AW154" i="310"/>
  <c r="AX154" i="310"/>
  <c r="AY154" i="310"/>
  <c r="CK154" i="310"/>
  <c r="CP154" i="310" s="1"/>
  <c r="CU154" i="310" s="1"/>
  <c r="CL154" i="310"/>
  <c r="CQ154" i="310" s="1"/>
  <c r="CV154" i="310" s="1"/>
  <c r="AA155" i="310"/>
  <c r="AB155" i="310"/>
  <c r="AC155" i="310"/>
  <c r="AD155" i="310"/>
  <c r="AG155" i="310"/>
  <c r="AH155" i="310"/>
  <c r="AI155" i="310"/>
  <c r="AJ155" i="310"/>
  <c r="AL155" i="310"/>
  <c r="AM155" i="310"/>
  <c r="AN155" i="310"/>
  <c r="AO155" i="310"/>
  <c r="AQ155" i="310"/>
  <c r="AR155" i="310"/>
  <c r="AS155" i="310"/>
  <c r="AT155" i="310"/>
  <c r="AV155" i="310"/>
  <c r="AW155" i="310"/>
  <c r="AX155" i="310"/>
  <c r="AY155" i="310"/>
  <c r="Z157" i="310"/>
  <c r="AF157" i="310"/>
  <c r="AF159" i="310" s="1"/>
  <c r="AK157" i="310"/>
  <c r="AP157" i="310"/>
  <c r="AU157" i="310"/>
  <c r="X158" i="310"/>
  <c r="Y158" i="310"/>
  <c r="AC158" i="310"/>
  <c r="AD158" i="310"/>
  <c r="AE158" i="310"/>
  <c r="AG158" i="310"/>
  <c r="AH158" i="310"/>
  <c r="AI158" i="310"/>
  <c r="AJ158" i="310"/>
  <c r="AL158" i="310"/>
  <c r="AM158" i="310"/>
  <c r="AN158" i="310"/>
  <c r="AO158" i="310"/>
  <c r="AQ158" i="310"/>
  <c r="AR158" i="310"/>
  <c r="AS158" i="310"/>
  <c r="AT158" i="310"/>
  <c r="AV158" i="310"/>
  <c r="AW158" i="310"/>
  <c r="AX158" i="310"/>
  <c r="AA159" i="310"/>
  <c r="AB159" i="310"/>
  <c r="AC159" i="310"/>
  <c r="AD159" i="310"/>
  <c r="AG159" i="310"/>
  <c r="AH159" i="310"/>
  <c r="AI159" i="310"/>
  <c r="AJ159" i="310"/>
  <c r="AL159" i="310"/>
  <c r="AM159" i="310"/>
  <c r="AN159" i="310"/>
  <c r="AO159" i="310"/>
  <c r="AQ159" i="310"/>
  <c r="AR159" i="310"/>
  <c r="AS159" i="310"/>
  <c r="AT159" i="310"/>
  <c r="AV159" i="310"/>
  <c r="AW159" i="310"/>
  <c r="AX159" i="310"/>
  <c r="Z160" i="310"/>
  <c r="AF160" i="310"/>
  <c r="AF162" i="310" s="1"/>
  <c r="AK160" i="310"/>
  <c r="AP160" i="310"/>
  <c r="AU160" i="310"/>
  <c r="X161" i="310"/>
  <c r="Y161" i="310"/>
  <c r="AC161" i="310"/>
  <c r="AD161" i="310"/>
  <c r="AE161" i="310"/>
  <c r="AG161" i="310"/>
  <c r="AH161" i="310"/>
  <c r="AI161" i="310"/>
  <c r="AJ161" i="310"/>
  <c r="AL161" i="310"/>
  <c r="AM161" i="310"/>
  <c r="AN161" i="310"/>
  <c r="AO161" i="310"/>
  <c r="AQ161" i="310"/>
  <c r="AR161" i="310"/>
  <c r="AS161" i="310"/>
  <c r="AT161" i="310"/>
  <c r="AV161" i="310"/>
  <c r="AW161" i="310"/>
  <c r="AX161" i="310"/>
  <c r="CJ161" i="310"/>
  <c r="CO161" i="310" s="1"/>
  <c r="CT161" i="310" s="1"/>
  <c r="CL161" i="310"/>
  <c r="CQ161" i="310" s="1"/>
  <c r="CV161" i="310" s="1"/>
  <c r="CM161" i="310"/>
  <c r="CR161" i="310" s="1"/>
  <c r="CW161" i="310" s="1"/>
  <c r="AA162" i="310"/>
  <c r="AB162" i="310"/>
  <c r="AC162" i="310"/>
  <c r="AD162" i="310"/>
  <c r="AG162" i="310"/>
  <c r="AH162" i="310"/>
  <c r="AI162" i="310"/>
  <c r="AJ162" i="310"/>
  <c r="AL162" i="310"/>
  <c r="AM162" i="310"/>
  <c r="AN162" i="310"/>
  <c r="AO162" i="310"/>
  <c r="AQ162" i="310"/>
  <c r="AR162" i="310"/>
  <c r="AS162" i="310"/>
  <c r="AT162" i="310"/>
  <c r="AV162" i="310"/>
  <c r="AW162" i="310"/>
  <c r="AX162" i="310"/>
  <c r="W163" i="310"/>
  <c r="X163" i="310"/>
  <c r="Y163" i="310"/>
  <c r="AD163" i="310"/>
  <c r="Z163" i="310"/>
  <c r="AA163" i="310"/>
  <c r="AB163" i="310"/>
  <c r="AC163" i="310"/>
  <c r="AE163" i="310"/>
  <c r="AG163" i="310"/>
  <c r="AL165" i="310" s="1"/>
  <c r="AH163" i="310"/>
  <c r="AI163" i="310"/>
  <c r="AJ163" i="310"/>
  <c r="AM163" i="310"/>
  <c r="AM164" i="310" s="1"/>
  <c r="AN163" i="310"/>
  <c r="AO163" i="310"/>
  <c r="AQ163" i="310"/>
  <c r="AR163" i="310"/>
  <c r="AS163" i="310"/>
  <c r="AS165" i="310" s="1"/>
  <c r="AT163" i="310"/>
  <c r="AV163" i="310"/>
  <c r="AV165" i="310" s="1"/>
  <c r="AW163" i="310"/>
  <c r="AX163" i="310"/>
  <c r="AX165" i="310" s="1"/>
  <c r="AA167" i="310"/>
  <c r="AF167" i="310"/>
  <c r="AK167" i="310"/>
  <c r="AP167" i="310"/>
  <c r="AU167" i="310"/>
  <c r="AZ167" i="310"/>
  <c r="AC168" i="310"/>
  <c r="AD168" i="310"/>
  <c r="AE168" i="310"/>
  <c r="AG168" i="310"/>
  <c r="AH168" i="310"/>
  <c r="AI168" i="310"/>
  <c r="AJ168" i="310"/>
  <c r="AL168" i="310"/>
  <c r="AM168" i="310"/>
  <c r="AN168" i="310"/>
  <c r="AO168" i="310"/>
  <c r="AQ168" i="310"/>
  <c r="AR168" i="310"/>
  <c r="AS168" i="310"/>
  <c r="AT168" i="310"/>
  <c r="AG169" i="310"/>
  <c r="AH169" i="310"/>
  <c r="AI169" i="310"/>
  <c r="AJ169" i="310"/>
  <c r="AL169" i="310"/>
  <c r="AM169" i="310"/>
  <c r="AN169" i="310"/>
  <c r="AO169" i="310"/>
  <c r="AQ169" i="310"/>
  <c r="AR169" i="310"/>
  <c r="AS169" i="310"/>
  <c r="AT169" i="310"/>
  <c r="AF171" i="310"/>
  <c r="AK171" i="310"/>
  <c r="AK204" i="310"/>
  <c r="AP171" i="310"/>
  <c r="AQ171" i="310"/>
  <c r="AR172" i="310" s="1"/>
  <c r="AR171" i="310"/>
  <c r="AR182" i="310" s="1"/>
  <c r="AS171" i="310"/>
  <c r="AT171" i="310"/>
  <c r="AC172" i="310"/>
  <c r="AD172" i="310"/>
  <c r="AE172" i="310"/>
  <c r="AG172" i="310"/>
  <c r="AH172" i="310"/>
  <c r="AI172" i="310"/>
  <c r="AJ172" i="310"/>
  <c r="AL172" i="310"/>
  <c r="AM172" i="310"/>
  <c r="AN172" i="310"/>
  <c r="AO172" i="310"/>
  <c r="AW172" i="310"/>
  <c r="AX172" i="310"/>
  <c r="CJ172" i="310"/>
  <c r="CO172" i="310" s="1"/>
  <c r="CT172" i="310" s="1"/>
  <c r="CK172" i="310"/>
  <c r="CP172" i="310" s="1"/>
  <c r="CU172" i="310" s="1"/>
  <c r="CL172" i="310"/>
  <c r="CQ172" i="310" s="1"/>
  <c r="CV172" i="310" s="1"/>
  <c r="AG173" i="310"/>
  <c r="AH173" i="310"/>
  <c r="AI173" i="310"/>
  <c r="AJ173" i="310"/>
  <c r="AL173" i="310"/>
  <c r="AM173" i="310"/>
  <c r="AN173" i="310"/>
  <c r="AO173" i="310"/>
  <c r="AF174" i="310"/>
  <c r="AK174" i="310"/>
  <c r="AP174" i="310"/>
  <c r="AU174" i="310"/>
  <c r="AW174" i="310"/>
  <c r="AC175" i="310"/>
  <c r="AD175" i="310"/>
  <c r="AE175" i="310"/>
  <c r="AG175" i="310"/>
  <c r="AH175" i="310"/>
  <c r="AI175" i="310"/>
  <c r="AJ175" i="310"/>
  <c r="AL175" i="310"/>
  <c r="AM175" i="310"/>
  <c r="AN175" i="310"/>
  <c r="AO175" i="310"/>
  <c r="AQ175" i="310"/>
  <c r="AR175" i="310"/>
  <c r="AS175" i="310"/>
  <c r="AT175" i="310"/>
  <c r="AV175" i="310"/>
  <c r="AY175" i="310"/>
  <c r="AG176" i="310"/>
  <c r="AH176" i="310"/>
  <c r="AI176" i="310"/>
  <c r="AJ176" i="310"/>
  <c r="AL176" i="310"/>
  <c r="AM176" i="310"/>
  <c r="AN176" i="310"/>
  <c r="AO176" i="310"/>
  <c r="AQ176" i="310"/>
  <c r="AR176" i="310"/>
  <c r="AS176" i="310"/>
  <c r="AT176" i="310"/>
  <c r="AV176" i="310"/>
  <c r="AX176" i="310"/>
  <c r="AY176" i="310"/>
  <c r="AU178" i="310"/>
  <c r="AZ178" i="310"/>
  <c r="BA178" i="310"/>
  <c r="BB178" i="310" s="1"/>
  <c r="AV179" i="310"/>
  <c r="AW179" i="310"/>
  <c r="AX179" i="310"/>
  <c r="AY179" i="310"/>
  <c r="BK179" i="310"/>
  <c r="BL179" i="310"/>
  <c r="BM179" i="310"/>
  <c r="BN179" i="310"/>
  <c r="BP179" i="310"/>
  <c r="BU179" i="310" s="1"/>
  <c r="BZ179" i="310" s="1"/>
  <c r="CE179" i="310" s="1"/>
  <c r="CJ179" i="310" s="1"/>
  <c r="CO179" i="310" s="1"/>
  <c r="CT179" i="310" s="1"/>
  <c r="BQ179" i="310"/>
  <c r="BR179" i="310"/>
  <c r="BS179" i="310"/>
  <c r="BV179" i="310"/>
  <c r="BW179" i="310"/>
  <c r="BX179" i="310"/>
  <c r="CA179" i="310"/>
  <c r="CB179" i="310"/>
  <c r="CC179" i="310"/>
  <c r="CF179" i="310"/>
  <c r="CG179" i="310"/>
  <c r="CH179" i="310"/>
  <c r="CK179" i="310"/>
  <c r="CL179" i="310"/>
  <c r="CM179" i="310"/>
  <c r="CR179" i="310" s="1"/>
  <c r="CW179" i="310" s="1"/>
  <c r="CP179" i="310"/>
  <c r="CU179" i="310" s="1"/>
  <c r="CQ179" i="310"/>
  <c r="CV179" i="310" s="1"/>
  <c r="AY180" i="310"/>
  <c r="Z182" i="310"/>
  <c r="AB182" i="310"/>
  <c r="AC182" i="310"/>
  <c r="AD182" i="310"/>
  <c r="AE182" i="310"/>
  <c r="AG182" i="310"/>
  <c r="AH182" i="310"/>
  <c r="AI182" i="310"/>
  <c r="AJ182" i="310"/>
  <c r="AJ185" i="310" s="1"/>
  <c r="AJ186" i="310" s="1"/>
  <c r="AL182" i="310"/>
  <c r="AN182" i="310"/>
  <c r="AN183" i="310" s="1"/>
  <c r="AO182" i="310"/>
  <c r="AV182" i="310"/>
  <c r="AV185" i="310" s="1"/>
  <c r="AX182" i="310"/>
  <c r="AX185" i="310" s="1"/>
  <c r="X183" i="310"/>
  <c r="Y183" i="310"/>
  <c r="AA184" i="310"/>
  <c r="V185" i="310"/>
  <c r="W185" i="310"/>
  <c r="X185" i="310"/>
  <c r="Y185" i="310"/>
  <c r="AM185" i="310"/>
  <c r="Z189" i="310"/>
  <c r="Z190" i="310" s="1"/>
  <c r="AF189" i="310"/>
  <c r="AJ189" i="310"/>
  <c r="AK189" i="310" s="1"/>
  <c r="AP189" i="310"/>
  <c r="AU189" i="310"/>
  <c r="AU190" i="310" s="1"/>
  <c r="AZ189" i="310"/>
  <c r="BA189" i="310"/>
  <c r="W190" i="310"/>
  <c r="X190" i="310"/>
  <c r="Y190" i="310"/>
  <c r="AA190" i="310"/>
  <c r="AB190" i="310"/>
  <c r="AC190" i="310"/>
  <c r="AD190" i="310"/>
  <c r="AE190" i="310"/>
  <c r="AG190" i="310"/>
  <c r="AH190" i="310"/>
  <c r="AI190" i="310"/>
  <c r="AL190" i="310"/>
  <c r="AM190" i="310"/>
  <c r="AN190" i="310"/>
  <c r="AO190" i="310"/>
  <c r="AQ190" i="310"/>
  <c r="AR190" i="310"/>
  <c r="AS190" i="310"/>
  <c r="AT190" i="310"/>
  <c r="AV190" i="310"/>
  <c r="AW190" i="310"/>
  <c r="AX190" i="310"/>
  <c r="AY190" i="310"/>
  <c r="Z192" i="310"/>
  <c r="AF192" i="310"/>
  <c r="AJ192" i="310"/>
  <c r="AJ198" i="310" s="1"/>
  <c r="AP192" i="310"/>
  <c r="AU192" i="310"/>
  <c r="AZ192" i="310"/>
  <c r="W193" i="310"/>
  <c r="X193" i="310"/>
  <c r="Y193" i="310"/>
  <c r="AA193" i="310"/>
  <c r="AB193" i="310"/>
  <c r="AC193" i="310"/>
  <c r="AD193" i="310"/>
  <c r="AE193" i="310"/>
  <c r="AG193" i="310"/>
  <c r="AH193" i="310"/>
  <c r="AI193" i="310"/>
  <c r="AL193" i="310"/>
  <c r="AM193" i="310"/>
  <c r="AN193" i="310"/>
  <c r="AO193" i="310"/>
  <c r="AQ193" i="310"/>
  <c r="AR193" i="310"/>
  <c r="AS193" i="310"/>
  <c r="AT193" i="310"/>
  <c r="AV193" i="310"/>
  <c r="AW193" i="310"/>
  <c r="AX193" i="310"/>
  <c r="Z195" i="310"/>
  <c r="AF195" i="310"/>
  <c r="AF196" i="310" s="1"/>
  <c r="AK195" i="310"/>
  <c r="AP195" i="310"/>
  <c r="AU195" i="310"/>
  <c r="AZ195" i="310"/>
  <c r="W196" i="310"/>
  <c r="X196" i="310"/>
  <c r="Y196" i="310"/>
  <c r="AA196" i="310"/>
  <c r="AB196" i="310"/>
  <c r="AC196" i="310"/>
  <c r="AD196" i="310"/>
  <c r="AE196" i="310"/>
  <c r="AG196" i="310"/>
  <c r="AH196" i="310"/>
  <c r="AI196" i="310"/>
  <c r="AJ196" i="310"/>
  <c r="AL196" i="310"/>
  <c r="AM196" i="310"/>
  <c r="AN196" i="310"/>
  <c r="AO196" i="310"/>
  <c r="AQ196" i="310"/>
  <c r="AR196" i="310"/>
  <c r="AS196" i="310"/>
  <c r="AT196" i="310"/>
  <c r="AV196" i="310"/>
  <c r="AW196" i="310"/>
  <c r="AX196" i="310"/>
  <c r="AA198" i="310"/>
  <c r="AA199" i="310" s="1"/>
  <c r="AB198" i="310"/>
  <c r="AC198" i="310"/>
  <c r="AC199" i="310" s="1"/>
  <c r="AD198" i="310"/>
  <c r="AE198" i="310"/>
  <c r="AG198" i="310"/>
  <c r="AG199" i="310" s="1"/>
  <c r="AH198" i="310"/>
  <c r="AH199" i="310" s="1"/>
  <c r="AI198" i="310"/>
  <c r="AL198" i="310"/>
  <c r="AL199" i="310" s="1"/>
  <c r="AM198" i="310"/>
  <c r="AM199" i="310" s="1"/>
  <c r="AN198" i="310"/>
  <c r="AN199" i="310" s="1"/>
  <c r="AO198" i="310"/>
  <c r="AQ198" i="310"/>
  <c r="AR198" i="310"/>
  <c r="AR199" i="310" s="1"/>
  <c r="AS198" i="310"/>
  <c r="AS199" i="310" s="1"/>
  <c r="AT198" i="310"/>
  <c r="AV198" i="310"/>
  <c r="AW198" i="310"/>
  <c r="AW199" i="310" s="1"/>
  <c r="AX198" i="310"/>
  <c r="AX199" i="310" s="1"/>
  <c r="AA201" i="310"/>
  <c r="AF201" i="310"/>
  <c r="AJ201" i="310"/>
  <c r="AK201" i="310" s="1"/>
  <c r="AK202" i="310" s="1"/>
  <c r="AP201" i="310"/>
  <c r="AP202" i="310" s="1"/>
  <c r="AU201" i="310"/>
  <c r="AU202" i="310" s="1"/>
  <c r="AV201" i="310"/>
  <c r="AZ201" i="310" s="1"/>
  <c r="AB202" i="310"/>
  <c r="AC202" i="310"/>
  <c r="AD202" i="310"/>
  <c r="AE202" i="310"/>
  <c r="AG202" i="310"/>
  <c r="AH202" i="310"/>
  <c r="AI202" i="310"/>
  <c r="AL202" i="310"/>
  <c r="AM202" i="310"/>
  <c r="AN202" i="310"/>
  <c r="AO202" i="310"/>
  <c r="AQ202" i="310"/>
  <c r="AR202" i="310"/>
  <c r="AS202" i="310"/>
  <c r="AT202" i="310"/>
  <c r="AF204" i="310"/>
  <c r="AP204" i="310"/>
  <c r="AU204" i="310"/>
  <c r="AZ204" i="310"/>
  <c r="AB205" i="310"/>
  <c r="AC205" i="310"/>
  <c r="AD205" i="310"/>
  <c r="AE205" i="310"/>
  <c r="AG205" i="310"/>
  <c r="AH205" i="310"/>
  <c r="AI205" i="310"/>
  <c r="AJ205" i="310"/>
  <c r="AL205" i="310"/>
  <c r="AM205" i="310"/>
  <c r="AN205" i="310"/>
  <c r="AO205" i="310"/>
  <c r="AV205" i="310"/>
  <c r="AW205" i="310"/>
  <c r="AX205" i="310"/>
  <c r="AF207" i="310"/>
  <c r="AK207" i="310"/>
  <c r="AP207" i="310"/>
  <c r="AP208" i="310" s="1"/>
  <c r="AU207" i="310"/>
  <c r="AZ207" i="310"/>
  <c r="AB208" i="310"/>
  <c r="AC208" i="310"/>
  <c r="AD208" i="310"/>
  <c r="AE208" i="310"/>
  <c r="AG208" i="310"/>
  <c r="AH208" i="310"/>
  <c r="AI208" i="310"/>
  <c r="AJ208" i="310"/>
  <c r="AL208" i="310"/>
  <c r="AM208" i="310"/>
  <c r="AN208" i="310"/>
  <c r="AO208" i="310"/>
  <c r="AQ208" i="310"/>
  <c r="AR208" i="310"/>
  <c r="AS208" i="310"/>
  <c r="AT208" i="310"/>
  <c r="AV208" i="310"/>
  <c r="AX208" i="310"/>
  <c r="AY208" i="310"/>
  <c r="AZ210" i="310"/>
  <c r="AZ211" i="310" s="1"/>
  <c r="AV211" i="310"/>
  <c r="BA211" i="310" s="1"/>
  <c r="BF211" i="310" s="1"/>
  <c r="BK211" i="310" s="1"/>
  <c r="BP211" i="310" s="1"/>
  <c r="BU211" i="310" s="1"/>
  <c r="BZ211" i="310" s="1"/>
  <c r="CE211" i="310" s="1"/>
  <c r="CJ211" i="310" s="1"/>
  <c r="CO211" i="310" s="1"/>
  <c r="CT211" i="310" s="1"/>
  <c r="AW211" i="310"/>
  <c r="BB211" i="310" s="1"/>
  <c r="BG211" i="310" s="1"/>
  <c r="BL211" i="310" s="1"/>
  <c r="BQ211" i="310" s="1"/>
  <c r="BV211" i="310" s="1"/>
  <c r="CA211" i="310" s="1"/>
  <c r="CF211" i="310" s="1"/>
  <c r="CK211" i="310" s="1"/>
  <c r="CP211" i="310" s="1"/>
  <c r="CU211" i="310" s="1"/>
  <c r="AX211" i="310"/>
  <c r="BC211" i="310" s="1"/>
  <c r="BH211" i="310" s="1"/>
  <c r="BM211" i="310" s="1"/>
  <c r="BR211" i="310" s="1"/>
  <c r="BW211" i="310" s="1"/>
  <c r="CB211" i="310" s="1"/>
  <c r="CG211" i="310" s="1"/>
  <c r="CL211" i="310" s="1"/>
  <c r="CQ211" i="310" s="1"/>
  <c r="CV211" i="310" s="1"/>
  <c r="AY211" i="310"/>
  <c r="BD211" i="310" s="1"/>
  <c r="BI211" i="310" s="1"/>
  <c r="BN211" i="310" s="1"/>
  <c r="BS211" i="310" s="1"/>
  <c r="BX211" i="310" s="1"/>
  <c r="CC211" i="310" s="1"/>
  <c r="CH211" i="310" s="1"/>
  <c r="CM211" i="310" s="1"/>
  <c r="CR211" i="310" s="1"/>
  <c r="CW211" i="310" s="1"/>
  <c r="Z213" i="310"/>
  <c r="AB213" i="310"/>
  <c r="AB214" i="310" s="1"/>
  <c r="AC213" i="310"/>
  <c r="AC214" i="310" s="1"/>
  <c r="AD213" i="310"/>
  <c r="AD216" i="310" s="1"/>
  <c r="AE213" i="310"/>
  <c r="AG213" i="310"/>
  <c r="AG216" i="310" s="1"/>
  <c r="AH213" i="310"/>
  <c r="AH216" i="310" s="1"/>
  <c r="AI213" i="310"/>
  <c r="AI216" i="310" s="1"/>
  <c r="AI76" i="310" s="1"/>
  <c r="AJ213" i="310"/>
  <c r="AL213" i="310"/>
  <c r="AL216" i="310" s="1"/>
  <c r="AM213" i="310"/>
  <c r="AN213" i="310"/>
  <c r="AN216" i="310" s="1"/>
  <c r="AO213" i="310"/>
  <c r="AO216" i="310" s="1"/>
  <c r="AQ213" i="310"/>
  <c r="AR213" i="310"/>
  <c r="AR216" i="310" s="1"/>
  <c r="AR76" i="310" s="1"/>
  <c r="AR77" i="310" s="1"/>
  <c r="AS213" i="310"/>
  <c r="AS216" i="310" s="1"/>
  <c r="AS76" i="310" s="1"/>
  <c r="AT213" i="310"/>
  <c r="AT216" i="310" s="1"/>
  <c r="AV213" i="310"/>
  <c r="AW213" i="310"/>
  <c r="AW216" i="310" s="1"/>
  <c r="AW76" i="310" s="1"/>
  <c r="AX213" i="310"/>
  <c r="AY213" i="310"/>
  <c r="AY216" i="310" s="1"/>
  <c r="W214" i="310"/>
  <c r="X214" i="310"/>
  <c r="Y214" i="310"/>
  <c r="AA214" i="310"/>
  <c r="W216" i="310"/>
  <c r="X216" i="310"/>
  <c r="X217" i="310" s="1"/>
  <c r="Y216" i="310"/>
  <c r="F225" i="310"/>
  <c r="G225" i="310" s="1"/>
  <c r="K225" i="310"/>
  <c r="M227" i="310" s="1"/>
  <c r="P225" i="310"/>
  <c r="U225" i="310"/>
  <c r="Z225" i="310"/>
  <c r="M226" i="310"/>
  <c r="N226" i="310"/>
  <c r="O226" i="310"/>
  <c r="R226" i="310"/>
  <c r="S226" i="310"/>
  <c r="T226" i="310"/>
  <c r="W226" i="310"/>
  <c r="X226" i="310"/>
  <c r="Y226" i="310"/>
  <c r="I227" i="310"/>
  <c r="J227" i="310"/>
  <c r="N227" i="310"/>
  <c r="O227" i="310"/>
  <c r="S227" i="310"/>
  <c r="T227" i="310"/>
  <c r="X227" i="310"/>
  <c r="Y227" i="310"/>
  <c r="F229" i="310"/>
  <c r="G229" i="310" s="1"/>
  <c r="K229" i="310"/>
  <c r="P229" i="310"/>
  <c r="U229" i="310"/>
  <c r="Z229" i="310"/>
  <c r="AB229" i="310"/>
  <c r="AC229" i="310"/>
  <c r="AD229" i="310"/>
  <c r="M230" i="310"/>
  <c r="N230" i="310"/>
  <c r="O230" i="310"/>
  <c r="R230" i="310"/>
  <c r="S230" i="310"/>
  <c r="T230" i="310"/>
  <c r="W230" i="310"/>
  <c r="X230" i="310"/>
  <c r="Y230" i="310"/>
  <c r="I231" i="310"/>
  <c r="J231" i="310"/>
  <c r="N231" i="310"/>
  <c r="O231" i="310"/>
  <c r="S231" i="310"/>
  <c r="T231" i="310"/>
  <c r="X231" i="310"/>
  <c r="Y231" i="310"/>
  <c r="Q233" i="310"/>
  <c r="V233" i="310"/>
  <c r="AA233" i="310"/>
  <c r="R234" i="310"/>
  <c r="S234" i="310"/>
  <c r="T234" i="310"/>
  <c r="U234" i="310"/>
  <c r="W234" i="310"/>
  <c r="X234" i="310"/>
  <c r="Y234" i="310"/>
  <c r="Z234" i="310"/>
  <c r="N235" i="310"/>
  <c r="O235" i="310"/>
  <c r="P235" i="310"/>
  <c r="R235" i="310"/>
  <c r="S235" i="310"/>
  <c r="T235" i="310"/>
  <c r="U235" i="310"/>
  <c r="W235" i="310"/>
  <c r="X235" i="310"/>
  <c r="Y235" i="310"/>
  <c r="Z235" i="310"/>
  <c r="Q237" i="310"/>
  <c r="V237" i="310"/>
  <c r="V238" i="310" s="1"/>
  <c r="AA237" i="310"/>
  <c r="R238" i="310"/>
  <c r="S238" i="310"/>
  <c r="T238" i="310"/>
  <c r="U238" i="310"/>
  <c r="W238" i="310"/>
  <c r="X238" i="310"/>
  <c r="Y238" i="310"/>
  <c r="Z238" i="310"/>
  <c r="N239" i="310"/>
  <c r="O239" i="310"/>
  <c r="P239" i="310"/>
  <c r="R239" i="310"/>
  <c r="S239" i="310"/>
  <c r="T239" i="310"/>
  <c r="U239" i="310"/>
  <c r="W239" i="310"/>
  <c r="X239" i="310"/>
  <c r="Y239" i="310"/>
  <c r="Z239" i="310"/>
  <c r="F241" i="310"/>
  <c r="K241" i="310"/>
  <c r="P241" i="310"/>
  <c r="U241" i="310"/>
  <c r="V241" i="310" s="1"/>
  <c r="Z241" i="310"/>
  <c r="AA241" i="310" s="1"/>
  <c r="M242" i="310"/>
  <c r="N242" i="310"/>
  <c r="O242" i="310"/>
  <c r="R242" i="310"/>
  <c r="S242" i="310"/>
  <c r="T242" i="310"/>
  <c r="W242" i="310"/>
  <c r="X242" i="310"/>
  <c r="Y242" i="310"/>
  <c r="I243" i="310"/>
  <c r="J243" i="310"/>
  <c r="N243" i="310"/>
  <c r="O243" i="310"/>
  <c r="S243" i="310"/>
  <c r="T243" i="310"/>
  <c r="X243" i="310"/>
  <c r="Y243" i="310"/>
  <c r="F245" i="310"/>
  <c r="G245" i="310" s="1"/>
  <c r="K245" i="310"/>
  <c r="P245" i="310"/>
  <c r="P247" i="310" s="1"/>
  <c r="U245" i="310"/>
  <c r="Z245" i="310"/>
  <c r="AA245" i="310" s="1"/>
  <c r="M246" i="310"/>
  <c r="N246" i="310"/>
  <c r="O246" i="310"/>
  <c r="R246" i="310"/>
  <c r="S246" i="310"/>
  <c r="T246" i="310"/>
  <c r="W246" i="310"/>
  <c r="X246" i="310"/>
  <c r="Y246" i="310"/>
  <c r="I247" i="310"/>
  <c r="J247" i="310"/>
  <c r="N247" i="310"/>
  <c r="O247" i="310"/>
  <c r="S247" i="310"/>
  <c r="T247" i="310"/>
  <c r="X247" i="310"/>
  <c r="Y247" i="310"/>
  <c r="H249" i="310"/>
  <c r="I249" i="310"/>
  <c r="J249" i="310"/>
  <c r="M249" i="310"/>
  <c r="N249" i="310"/>
  <c r="N250" i="310" s="1"/>
  <c r="O249" i="310"/>
  <c r="R249" i="310"/>
  <c r="S249" i="310"/>
  <c r="T249" i="310"/>
  <c r="W249" i="310"/>
  <c r="X249" i="310"/>
  <c r="Y249" i="310"/>
  <c r="Y252" i="310" s="1"/>
  <c r="F257" i="310"/>
  <c r="G257" i="310" s="1"/>
  <c r="G258" i="310" s="1"/>
  <c r="K257" i="310"/>
  <c r="P257" i="310"/>
  <c r="Q257" i="310" s="1"/>
  <c r="U257" i="310"/>
  <c r="Z257" i="310"/>
  <c r="AA257" i="310" s="1"/>
  <c r="H258" i="310"/>
  <c r="I258" i="310"/>
  <c r="J258" i="310"/>
  <c r="M258" i="310"/>
  <c r="N258" i="310"/>
  <c r="O258" i="310"/>
  <c r="R258" i="310"/>
  <c r="S258" i="310"/>
  <c r="T258" i="310"/>
  <c r="W258" i="310"/>
  <c r="AB258" i="310" s="1"/>
  <c r="AG258" i="310" s="1"/>
  <c r="AL258" i="310" s="1"/>
  <c r="AQ258" i="310" s="1"/>
  <c r="AV258" i="310" s="1"/>
  <c r="BA258" i="310" s="1"/>
  <c r="BF258" i="310" s="1"/>
  <c r="BK258" i="310" s="1"/>
  <c r="BP258" i="310" s="1"/>
  <c r="BU258" i="310" s="1"/>
  <c r="BZ258" i="310" s="1"/>
  <c r="CE258" i="310" s="1"/>
  <c r="CJ258" i="310" s="1"/>
  <c r="CO258" i="310" s="1"/>
  <c r="CT258" i="310" s="1"/>
  <c r="X258" i="310"/>
  <c r="AC258" i="310" s="1"/>
  <c r="AH258" i="310" s="1"/>
  <c r="AM258" i="310" s="1"/>
  <c r="AR258" i="310" s="1"/>
  <c r="AW258" i="310" s="1"/>
  <c r="BB258" i="310" s="1"/>
  <c r="BG258" i="310" s="1"/>
  <c r="BL258" i="310" s="1"/>
  <c r="BQ258" i="310" s="1"/>
  <c r="BV258" i="310" s="1"/>
  <c r="CA258" i="310" s="1"/>
  <c r="CF258" i="310" s="1"/>
  <c r="CK258" i="310" s="1"/>
  <c r="CP258" i="310" s="1"/>
  <c r="CU258" i="310" s="1"/>
  <c r="Y258" i="310"/>
  <c r="AD258" i="310" s="1"/>
  <c r="AI258" i="310" s="1"/>
  <c r="AN258" i="310" s="1"/>
  <c r="AS258" i="310" s="1"/>
  <c r="AX258" i="310" s="1"/>
  <c r="BC258" i="310" s="1"/>
  <c r="BH258" i="310" s="1"/>
  <c r="BM258" i="310" s="1"/>
  <c r="BR258" i="310" s="1"/>
  <c r="BW258" i="310" s="1"/>
  <c r="CB258" i="310" s="1"/>
  <c r="CG258" i="310" s="1"/>
  <c r="CL258" i="310" s="1"/>
  <c r="CQ258" i="310" s="1"/>
  <c r="CV258" i="310" s="1"/>
  <c r="F260" i="310"/>
  <c r="K260" i="310"/>
  <c r="L260" i="310" s="1"/>
  <c r="P260" i="310"/>
  <c r="Q260" i="310" s="1"/>
  <c r="U260" i="310"/>
  <c r="V260" i="310" s="1"/>
  <c r="Z260" i="310"/>
  <c r="H261" i="310"/>
  <c r="I261" i="310"/>
  <c r="J261" i="310"/>
  <c r="M261" i="310"/>
  <c r="N261" i="310"/>
  <c r="O261" i="310"/>
  <c r="R261" i="310"/>
  <c r="S261" i="310"/>
  <c r="T261" i="310"/>
  <c r="W261" i="310"/>
  <c r="AB261" i="310" s="1"/>
  <c r="X261" i="310"/>
  <c r="AC261" i="310" s="1"/>
  <c r="AH261" i="310" s="1"/>
  <c r="AM261" i="310" s="1"/>
  <c r="AR261" i="310" s="1"/>
  <c r="AW261" i="310" s="1"/>
  <c r="BB261" i="310" s="1"/>
  <c r="BG261" i="310" s="1"/>
  <c r="BL261" i="310" s="1"/>
  <c r="Y261" i="310"/>
  <c r="AD261" i="310" s="1"/>
  <c r="F263" i="310"/>
  <c r="G263" i="310" s="1"/>
  <c r="K263" i="310"/>
  <c r="P263" i="310"/>
  <c r="Q263" i="310" s="1"/>
  <c r="U263" i="310"/>
  <c r="Z263" i="310"/>
  <c r="H264" i="310"/>
  <c r="I264" i="310"/>
  <c r="J264" i="310"/>
  <c r="M264" i="310"/>
  <c r="N264" i="310"/>
  <c r="O264" i="310"/>
  <c r="R264" i="310"/>
  <c r="S264" i="310"/>
  <c r="T264" i="310"/>
  <c r="W264" i="310"/>
  <c r="AB264" i="310" s="1"/>
  <c r="AG264" i="310" s="1"/>
  <c r="AL264" i="310" s="1"/>
  <c r="AQ264" i="310" s="1"/>
  <c r="AV264" i="310" s="1"/>
  <c r="BA264" i="310" s="1"/>
  <c r="BF264" i="310" s="1"/>
  <c r="BK264" i="310" s="1"/>
  <c r="BP264" i="310" s="1"/>
  <c r="BU264" i="310" s="1"/>
  <c r="BZ264" i="310" s="1"/>
  <c r="CE264" i="310" s="1"/>
  <c r="CJ264" i="310" s="1"/>
  <c r="CO264" i="310" s="1"/>
  <c r="CT264" i="310" s="1"/>
  <c r="X264" i="310"/>
  <c r="AC264" i="310" s="1"/>
  <c r="Y264" i="310"/>
  <c r="AD264" i="310" s="1"/>
  <c r="F266" i="310"/>
  <c r="G266" i="310" s="1"/>
  <c r="K266" i="310"/>
  <c r="L266" i="310" s="1"/>
  <c r="P266" i="310"/>
  <c r="U266" i="310"/>
  <c r="Z266" i="310"/>
  <c r="AA266" i="310" s="1"/>
  <c r="H267" i="310"/>
  <c r="I267" i="310"/>
  <c r="J267" i="310"/>
  <c r="M267" i="310"/>
  <c r="N267" i="310"/>
  <c r="O267" i="310"/>
  <c r="R267" i="310"/>
  <c r="W267" i="310" s="1"/>
  <c r="AB267" i="310" s="1"/>
  <c r="S267" i="310"/>
  <c r="T267" i="310"/>
  <c r="X267" i="310"/>
  <c r="AC267" i="310" s="1"/>
  <c r="AH267" i="310" s="1"/>
  <c r="Y267" i="310"/>
  <c r="AD267" i="310" s="1"/>
  <c r="H269" i="310"/>
  <c r="I269" i="310"/>
  <c r="I270" i="310" s="1"/>
  <c r="J269" i="310"/>
  <c r="M269" i="310"/>
  <c r="N269" i="310"/>
  <c r="O269" i="310"/>
  <c r="O270" i="310" s="1"/>
  <c r="R269" i="310"/>
  <c r="S269" i="310"/>
  <c r="T269" i="310"/>
  <c r="W269" i="310"/>
  <c r="W270" i="310" s="1"/>
  <c r="X269" i="310"/>
  <c r="Y269" i="310"/>
  <c r="H275" i="310"/>
  <c r="I275" i="310"/>
  <c r="I276" i="310" s="1"/>
  <c r="J275" i="310"/>
  <c r="M275" i="310"/>
  <c r="N275" i="310"/>
  <c r="O275" i="310"/>
  <c r="O276" i="310" s="1"/>
  <c r="R275" i="310"/>
  <c r="S275" i="310"/>
  <c r="T275" i="310"/>
  <c r="T276" i="310" s="1"/>
  <c r="W275" i="310"/>
  <c r="W276" i="310" s="1"/>
  <c r="X275" i="310"/>
  <c r="Y275" i="310"/>
  <c r="H278" i="310"/>
  <c r="H279" i="310" s="1"/>
  <c r="I278" i="310"/>
  <c r="J278" i="310"/>
  <c r="M278" i="310"/>
  <c r="M279" i="310" s="1"/>
  <c r="N278" i="310"/>
  <c r="N279" i="310" s="1"/>
  <c r="O278" i="310"/>
  <c r="R278" i="310"/>
  <c r="R279" i="310" s="1"/>
  <c r="S278" i="310"/>
  <c r="S279" i="310" s="1"/>
  <c r="T278" i="310"/>
  <c r="W278" i="310"/>
  <c r="X278" i="310"/>
  <c r="Y278" i="310"/>
  <c r="Y279" i="310" s="1"/>
  <c r="H281" i="310"/>
  <c r="I281" i="310"/>
  <c r="I282" i="310" s="1"/>
  <c r="J281" i="310"/>
  <c r="J282" i="310" s="1"/>
  <c r="M281" i="310"/>
  <c r="M282" i="310" s="1"/>
  <c r="N281" i="310"/>
  <c r="O281" i="310"/>
  <c r="O282" i="310" s="1"/>
  <c r="R281" i="310"/>
  <c r="R282" i="310" s="1"/>
  <c r="S281" i="310"/>
  <c r="S282" i="310" s="1"/>
  <c r="T281" i="310"/>
  <c r="W281" i="310"/>
  <c r="W282" i="310" s="1"/>
  <c r="X281" i="310"/>
  <c r="X282" i="310" s="1"/>
  <c r="Y281" i="310"/>
  <c r="Y282" i="310" s="1"/>
  <c r="H284" i="310"/>
  <c r="I284" i="310"/>
  <c r="I285" i="310" s="1"/>
  <c r="J284" i="310"/>
  <c r="J285" i="310" s="1"/>
  <c r="M284" i="310"/>
  <c r="M285" i="310" s="1"/>
  <c r="N284" i="310"/>
  <c r="O284" i="310"/>
  <c r="O285" i="310" s="1"/>
  <c r="R284" i="310"/>
  <c r="S284" i="310"/>
  <c r="S285" i="310" s="1"/>
  <c r="T284" i="310"/>
  <c r="W284" i="310"/>
  <c r="W285" i="310" s="1"/>
  <c r="X284" i="310"/>
  <c r="X285" i="310" s="1"/>
  <c r="Y284" i="310"/>
  <c r="M9" i="1"/>
  <c r="N9" i="1"/>
  <c r="O9" i="1"/>
  <c r="P9" i="1"/>
  <c r="R9" i="1"/>
  <c r="S9" i="1"/>
  <c r="T9" i="1"/>
  <c r="W9" i="1"/>
  <c r="Y9" i="1"/>
  <c r="Z9" i="1"/>
  <c r="AB9" i="1"/>
  <c r="AD9" i="1"/>
  <c r="AE9" i="1"/>
  <c r="AH9" i="1"/>
  <c r="AI9" i="1"/>
  <c r="AJ9" i="1"/>
  <c r="AL9" i="1"/>
  <c r="AM9" i="1"/>
  <c r="AO9" i="1"/>
  <c r="AQ9" i="1"/>
  <c r="AS9" i="1"/>
  <c r="AT9" i="1"/>
  <c r="AV9" i="1"/>
  <c r="AW9" i="1"/>
  <c r="AX9" i="1"/>
  <c r="AY9" i="1"/>
  <c r="BA9" i="1"/>
  <c r="BB9" i="1"/>
  <c r="BC9" i="1"/>
  <c r="BD9" i="1"/>
  <c r="BF9" i="1"/>
  <c r="BI9" i="1"/>
  <c r="BK9" i="1"/>
  <c r="BL9" i="1"/>
  <c r="BM9" i="1"/>
  <c r="BN9" i="1"/>
  <c r="BP9" i="1"/>
  <c r="BQ9" i="1"/>
  <c r="BR9" i="1"/>
  <c r="BS9" i="1"/>
  <c r="BU9" i="1"/>
  <c r="BV9" i="1"/>
  <c r="BW9" i="1"/>
  <c r="BX9" i="1"/>
  <c r="CK9" i="1"/>
  <c r="CL9" i="1"/>
  <c r="CM9" i="1"/>
  <c r="CN9" i="1"/>
  <c r="CO9" i="1"/>
  <c r="CP9" i="1"/>
  <c r="CQ9" i="1"/>
  <c r="CR9" i="1"/>
  <c r="CS9" i="1"/>
  <c r="M10" i="1"/>
  <c r="N10" i="1"/>
  <c r="O10" i="1"/>
  <c r="P10" i="1"/>
  <c r="BG10" i="1"/>
  <c r="BZ10" i="1"/>
  <c r="CA10" i="1"/>
  <c r="CB10" i="1"/>
  <c r="CK10" i="1"/>
  <c r="CL10" i="1"/>
  <c r="CM10" i="1"/>
  <c r="CN10" i="1"/>
  <c r="CO10" i="1"/>
  <c r="CP10" i="1"/>
  <c r="CQ10" i="1"/>
  <c r="CR10" i="1"/>
  <c r="CS10" i="1"/>
  <c r="BA12" i="1"/>
  <c r="BD12" i="1" s="1"/>
  <c r="BF12" i="1"/>
  <c r="BI12" i="1" s="1"/>
  <c r="BK12" i="1"/>
  <c r="BG13" i="1"/>
  <c r="BH13" i="1"/>
  <c r="BL13" i="1"/>
  <c r="BM13" i="1"/>
  <c r="BP13" i="1"/>
  <c r="BQ13" i="1"/>
  <c r="BR13" i="1"/>
  <c r="BS13" i="1"/>
  <c r="BU13" i="1"/>
  <c r="BV13" i="1"/>
  <c r="BW13" i="1"/>
  <c r="BX13" i="1"/>
  <c r="BZ13" i="1"/>
  <c r="CA13" i="1"/>
  <c r="CB13" i="1"/>
  <c r="BC14" i="1"/>
  <c r="BH14" i="1"/>
  <c r="BL14" i="1"/>
  <c r="BM14" i="1"/>
  <c r="BN14" i="1"/>
  <c r="BP14" i="1"/>
  <c r="BQ14" i="1"/>
  <c r="BR14" i="1"/>
  <c r="BS14" i="1"/>
  <c r="BU14" i="1"/>
  <c r="BV14" i="1"/>
  <c r="BW14" i="1"/>
  <c r="BX14" i="1"/>
  <c r="BZ14" i="1"/>
  <c r="CA14" i="1"/>
  <c r="CB14" i="1"/>
  <c r="BR16" i="1"/>
  <c r="BS16" i="1"/>
  <c r="BU16" i="1"/>
  <c r="BV16" i="1"/>
  <c r="BW16" i="1"/>
  <c r="BX16" i="1"/>
  <c r="BZ16" i="1"/>
  <c r="CA16" i="1"/>
  <c r="CB16" i="1"/>
  <c r="BN17" i="1"/>
  <c r="BP17" i="1"/>
  <c r="BQ17" i="1"/>
  <c r="BR17" i="1"/>
  <c r="BS17" i="1"/>
  <c r="BU17" i="1"/>
  <c r="BV17" i="1"/>
  <c r="BW17" i="1"/>
  <c r="BX17" i="1"/>
  <c r="BZ17" i="1"/>
  <c r="CA17" i="1"/>
  <c r="CB17" i="1"/>
  <c r="P18" i="1"/>
  <c r="P137" i="1" s="1"/>
  <c r="U18" i="1"/>
  <c r="Z18" i="1"/>
  <c r="AA18" i="1" s="1"/>
  <c r="AF18" i="1"/>
  <c r="AK18" i="1"/>
  <c r="AP18" i="1"/>
  <c r="AU18" i="1"/>
  <c r="AW18" i="1"/>
  <c r="AW19" i="1" s="1"/>
  <c r="AX18" i="1"/>
  <c r="AY18" i="1"/>
  <c r="AZ18" i="1" s="1"/>
  <c r="BA18" i="1"/>
  <c r="BB18" i="1"/>
  <c r="BB15" i="1"/>
  <c r="BC18" i="1"/>
  <c r="BC15" i="1" s="1"/>
  <c r="BD18" i="1"/>
  <c r="BD19" i="1"/>
  <c r="BF18" i="1"/>
  <c r="BF15" i="1" s="1"/>
  <c r="BG18" i="1"/>
  <c r="BG19" i="1"/>
  <c r="BH18" i="1"/>
  <c r="BH19" i="1" s="1"/>
  <c r="BI18" i="1"/>
  <c r="BI19" i="1"/>
  <c r="BK18" i="1"/>
  <c r="BK15" i="1" s="1"/>
  <c r="BL18" i="1"/>
  <c r="BL15" i="1"/>
  <c r="BM18" i="1"/>
  <c r="BN18" i="1"/>
  <c r="BP18" i="1"/>
  <c r="BQ19" i="1"/>
  <c r="BR18" i="1"/>
  <c r="BS18" i="1"/>
  <c r="BU18" i="1"/>
  <c r="BU137" i="1"/>
  <c r="BV18" i="1"/>
  <c r="BV19" i="1" s="1"/>
  <c r="BW18" i="1"/>
  <c r="CC19" i="1"/>
  <c r="M19" i="1"/>
  <c r="N19" i="1"/>
  <c r="O19" i="1"/>
  <c r="R19" i="1"/>
  <c r="S19" i="1"/>
  <c r="T19" i="1"/>
  <c r="W19" i="1"/>
  <c r="X19" i="1"/>
  <c r="Y19" i="1"/>
  <c r="AB19" i="1"/>
  <c r="AC19" i="1"/>
  <c r="AD19" i="1"/>
  <c r="AG19" i="1"/>
  <c r="AH19" i="1"/>
  <c r="AI19" i="1"/>
  <c r="AJ19" i="1"/>
  <c r="AL19" i="1"/>
  <c r="AM19" i="1"/>
  <c r="AN19" i="1"/>
  <c r="AO19" i="1"/>
  <c r="AQ19" i="1"/>
  <c r="AR19" i="1"/>
  <c r="AS19" i="1"/>
  <c r="AT19" i="1"/>
  <c r="AV19" i="1"/>
  <c r="AX19" i="1"/>
  <c r="BB19" i="1"/>
  <c r="BF19" i="1"/>
  <c r="BK19" i="1"/>
  <c r="BN19" i="1"/>
  <c r="BS19" i="1"/>
  <c r="BX19" i="1"/>
  <c r="D20" i="1"/>
  <c r="E20" i="1"/>
  <c r="I20" i="1"/>
  <c r="J20" i="1"/>
  <c r="K20" i="1"/>
  <c r="M20" i="1"/>
  <c r="N20" i="1"/>
  <c r="O20" i="1"/>
  <c r="S20" i="1"/>
  <c r="T20" i="1"/>
  <c r="X20" i="1"/>
  <c r="Y20" i="1"/>
  <c r="Z20" i="1"/>
  <c r="AC20" i="1"/>
  <c r="AD20" i="1"/>
  <c r="AE20" i="1"/>
  <c r="AG20" i="1"/>
  <c r="AH20" i="1"/>
  <c r="AI20" i="1"/>
  <c r="AJ20" i="1"/>
  <c r="AL20" i="1"/>
  <c r="AM20" i="1"/>
  <c r="AN20" i="1"/>
  <c r="AO20" i="1"/>
  <c r="AQ20" i="1"/>
  <c r="AR20" i="1"/>
  <c r="AS20" i="1"/>
  <c r="AT20" i="1"/>
  <c r="AV20" i="1"/>
  <c r="AX20" i="1"/>
  <c r="AY20" i="1"/>
  <c r="BC20" i="1"/>
  <c r="BD20" i="1"/>
  <c r="BH20" i="1"/>
  <c r="BI20" i="1"/>
  <c r="BN20" i="1"/>
  <c r="BX20" i="1"/>
  <c r="F21" i="1"/>
  <c r="G21" i="1" s="1"/>
  <c r="P21" i="1"/>
  <c r="U21" i="1"/>
  <c r="Z21" i="1"/>
  <c r="AF21" i="1"/>
  <c r="AK21" i="1"/>
  <c r="AP21" i="1"/>
  <c r="AU21" i="1"/>
  <c r="AX21" i="1"/>
  <c r="AZ21" i="1" s="1"/>
  <c r="AY21" i="1"/>
  <c r="BA21" i="1"/>
  <c r="BA22" i="1" s="1"/>
  <c r="BD21" i="1"/>
  <c r="BD72" i="310"/>
  <c r="BJ21" i="1"/>
  <c r="BK21" i="1"/>
  <c r="BK72" i="310" s="1"/>
  <c r="BT21" i="1"/>
  <c r="BY21" i="1"/>
  <c r="N22" i="1"/>
  <c r="O22" i="1"/>
  <c r="R22" i="1"/>
  <c r="S22" i="1"/>
  <c r="T22" i="1"/>
  <c r="W22" i="1"/>
  <c r="X22" i="1"/>
  <c r="Y22" i="1"/>
  <c r="AB22" i="1"/>
  <c r="AC22" i="1"/>
  <c r="AD22" i="1"/>
  <c r="AG22" i="1"/>
  <c r="AH22" i="1"/>
  <c r="AI22" i="1"/>
  <c r="AJ22" i="1"/>
  <c r="AL22" i="1"/>
  <c r="AM22" i="1"/>
  <c r="AN22" i="1"/>
  <c r="AO22" i="1"/>
  <c r="AQ22" i="1"/>
  <c r="AR22" i="1"/>
  <c r="AS22" i="1"/>
  <c r="AT22" i="1"/>
  <c r="AV22" i="1"/>
  <c r="AW22" i="1"/>
  <c r="AX22" i="1"/>
  <c r="BB22" i="1"/>
  <c r="BC22" i="1"/>
  <c r="BF22" i="1"/>
  <c r="BG22" i="1"/>
  <c r="BH22" i="1"/>
  <c r="BI22" i="1"/>
  <c r="BK22" i="1"/>
  <c r="BL22" i="1"/>
  <c r="BM22" i="1"/>
  <c r="BN22" i="1"/>
  <c r="BQ22" i="1"/>
  <c r="BR22" i="1"/>
  <c r="BS22" i="1"/>
  <c r="BU22" i="1"/>
  <c r="BV22" i="1"/>
  <c r="BW22" i="1"/>
  <c r="BX22" i="1"/>
  <c r="BZ22" i="1"/>
  <c r="CA22" i="1"/>
  <c r="CB22" i="1"/>
  <c r="J23" i="1"/>
  <c r="M23" i="1"/>
  <c r="N23" i="1"/>
  <c r="O23" i="1"/>
  <c r="S23" i="1"/>
  <c r="T23" i="1"/>
  <c r="U23" i="1"/>
  <c r="X23" i="1"/>
  <c r="Y23" i="1"/>
  <c r="AB23" i="1"/>
  <c r="AC23" i="1"/>
  <c r="AD23" i="1"/>
  <c r="AE23" i="1"/>
  <c r="AG23" i="1"/>
  <c r="AH23" i="1"/>
  <c r="AI23" i="1"/>
  <c r="AJ23" i="1"/>
  <c r="AL23" i="1"/>
  <c r="AM23" i="1"/>
  <c r="AN23" i="1"/>
  <c r="AO23" i="1"/>
  <c r="AQ23" i="1"/>
  <c r="AR23" i="1"/>
  <c r="AS23" i="1"/>
  <c r="AT23" i="1"/>
  <c r="AV23" i="1"/>
  <c r="AW23" i="1"/>
  <c r="AX23" i="1"/>
  <c r="AY23" i="1"/>
  <c r="BC23" i="1"/>
  <c r="BD23" i="1"/>
  <c r="BF23" i="1"/>
  <c r="BG23" i="1"/>
  <c r="BH23" i="1"/>
  <c r="BI23" i="1"/>
  <c r="BK23" i="1"/>
  <c r="BM23" i="1"/>
  <c r="BN23" i="1"/>
  <c r="BP23" i="1"/>
  <c r="BQ23" i="1"/>
  <c r="BR23" i="1"/>
  <c r="BS23" i="1"/>
  <c r="BU23" i="1"/>
  <c r="BV23" i="1"/>
  <c r="BW23" i="1"/>
  <c r="BX23" i="1"/>
  <c r="BZ23" i="1"/>
  <c r="CA23" i="1"/>
  <c r="CB23" i="1"/>
  <c r="C24" i="1"/>
  <c r="D24" i="1"/>
  <c r="D43" i="8" s="1"/>
  <c r="E24" i="1"/>
  <c r="E43" i="8" s="1"/>
  <c r="H24" i="1"/>
  <c r="I24" i="1"/>
  <c r="J24" i="1"/>
  <c r="K24" i="1"/>
  <c r="J9" i="4" s="1"/>
  <c r="J11" i="4" s="1"/>
  <c r="J21" i="4" s="1"/>
  <c r="M24" i="1"/>
  <c r="N24" i="1"/>
  <c r="O24" i="1"/>
  <c r="O25" i="1"/>
  <c r="R24" i="1"/>
  <c r="S24" i="1"/>
  <c r="T24" i="1"/>
  <c r="W24" i="1"/>
  <c r="X24" i="1"/>
  <c r="Y24" i="1"/>
  <c r="X9" i="4"/>
  <c r="X11" i="4"/>
  <c r="X21" i="4" s="1"/>
  <c r="AB24" i="1"/>
  <c r="AC24" i="1"/>
  <c r="AD24" i="1"/>
  <c r="AE24" i="1"/>
  <c r="AG24" i="1"/>
  <c r="AH24" i="1"/>
  <c r="AI24" i="1"/>
  <c r="AJ24" i="1"/>
  <c r="AL24" i="1"/>
  <c r="AL27" i="1"/>
  <c r="AM24" i="1"/>
  <c r="AN24" i="1"/>
  <c r="AO24" i="1"/>
  <c r="AQ24" i="1"/>
  <c r="AR24" i="1"/>
  <c r="AS24" i="1"/>
  <c r="AT24" i="1"/>
  <c r="AV24" i="1"/>
  <c r="AW24" i="1"/>
  <c r="AX24" i="1"/>
  <c r="AY24" i="1"/>
  <c r="BA24" i="1"/>
  <c r="BB24" i="1"/>
  <c r="BB25" i="1" s="1"/>
  <c r="BC24" i="1"/>
  <c r="BD24" i="1"/>
  <c r="BD25" i="1"/>
  <c r="BF24" i="1"/>
  <c r="BF25" i="1" s="1"/>
  <c r="BG24" i="1"/>
  <c r="BH24" i="1"/>
  <c r="BI24" i="1"/>
  <c r="BK24" i="1"/>
  <c r="BL24" i="1"/>
  <c r="BM24" i="1"/>
  <c r="BN24" i="1"/>
  <c r="BR24" i="1"/>
  <c r="BS24" i="1"/>
  <c r="BW24" i="1"/>
  <c r="AH25" i="1"/>
  <c r="E26" i="1"/>
  <c r="C32" i="1"/>
  <c r="D32" i="1"/>
  <c r="E32" i="1"/>
  <c r="H32" i="1"/>
  <c r="I32" i="1"/>
  <c r="J32" i="1"/>
  <c r="M32" i="1"/>
  <c r="N32" i="1"/>
  <c r="O32" i="1"/>
  <c r="R32" i="1"/>
  <c r="S32" i="1"/>
  <c r="T32" i="1"/>
  <c r="W32" i="1"/>
  <c r="X32" i="1"/>
  <c r="Y32" i="1"/>
  <c r="Y33" i="1"/>
  <c r="F34" i="1"/>
  <c r="F32" i="1" s="1"/>
  <c r="K34" i="1"/>
  <c r="K35" i="1" s="1"/>
  <c r="P34" i="1"/>
  <c r="Q34" i="1"/>
  <c r="U34" i="1"/>
  <c r="Z34" i="1"/>
  <c r="AA34" i="1" s="1"/>
  <c r="AB34" i="1"/>
  <c r="AB76" i="310"/>
  <c r="AC34" i="1"/>
  <c r="AC76" i="310" s="1"/>
  <c r="AD34" i="1"/>
  <c r="AE34" i="1"/>
  <c r="AE76" i="310"/>
  <c r="AG34" i="1"/>
  <c r="AH34" i="1"/>
  <c r="AI34" i="1"/>
  <c r="AI35" i="1"/>
  <c r="AI39" i="1" s="1"/>
  <c r="AJ34" i="1"/>
  <c r="AJ32" i="1" s="1"/>
  <c r="AL34" i="1"/>
  <c r="AM34" i="1"/>
  <c r="AN34" i="1"/>
  <c r="AN32" i="1" s="1"/>
  <c r="AO34" i="1"/>
  <c r="AO32" i="1"/>
  <c r="AQ34" i="1"/>
  <c r="BA34" i="1"/>
  <c r="BA32" i="1" s="1"/>
  <c r="BB34" i="1"/>
  <c r="BB32" i="1" s="1"/>
  <c r="BC34" i="1"/>
  <c r="BC32" i="1" s="1"/>
  <c r="BD34" i="1"/>
  <c r="BD32" i="1" s="1"/>
  <c r="BF34" i="1"/>
  <c r="BJ34" i="1" s="1"/>
  <c r="BG34" i="1"/>
  <c r="BH34" i="1"/>
  <c r="BI34" i="1"/>
  <c r="BK34" i="1"/>
  <c r="BL34" i="1"/>
  <c r="BL35" i="1"/>
  <c r="BL39" i="1" s="1"/>
  <c r="BM34" i="1"/>
  <c r="BO34" i="1" s="1"/>
  <c r="BN34" i="1"/>
  <c r="BN32" i="1"/>
  <c r="BP34" i="1"/>
  <c r="BP32" i="1"/>
  <c r="BQ34" i="1"/>
  <c r="BQ32" i="1" s="1"/>
  <c r="BR34" i="1"/>
  <c r="BR32" i="1" s="1"/>
  <c r="BS34" i="1"/>
  <c r="BS32" i="1" s="1"/>
  <c r="BU34" i="1"/>
  <c r="BV34" i="1"/>
  <c r="BW34" i="1"/>
  <c r="BX34" i="1"/>
  <c r="BZ34" i="1"/>
  <c r="BZ32" i="1" s="1"/>
  <c r="CA34" i="1"/>
  <c r="CA32" i="1" s="1"/>
  <c r="CB34" i="1"/>
  <c r="CB32" i="1" s="1"/>
  <c r="C35" i="1"/>
  <c r="C39" i="1"/>
  <c r="D35" i="1"/>
  <c r="E35" i="1"/>
  <c r="E39" i="1" s="1"/>
  <c r="H35" i="1"/>
  <c r="I35" i="1"/>
  <c r="I39" i="1" s="1"/>
  <c r="J35" i="1"/>
  <c r="J39" i="1" s="1"/>
  <c r="K39" i="1"/>
  <c r="M35" i="1"/>
  <c r="N35" i="1"/>
  <c r="N39" i="1" s="1"/>
  <c r="O35" i="1"/>
  <c r="O39" i="1" s="1"/>
  <c r="R35" i="1"/>
  <c r="R39" i="1" s="1"/>
  <c r="S35" i="1"/>
  <c r="S39" i="1" s="1"/>
  <c r="T35" i="1"/>
  <c r="T39" i="1" s="1"/>
  <c r="W35" i="1"/>
  <c r="X35" i="1"/>
  <c r="X39" i="1" s="1"/>
  <c r="Y35" i="1"/>
  <c r="AB35" i="1"/>
  <c r="AB39" i="1"/>
  <c r="AC35" i="1"/>
  <c r="AE35" i="1"/>
  <c r="AE39" i="1" s="1"/>
  <c r="AG35" i="1"/>
  <c r="AG39" i="1" s="1"/>
  <c r="AJ35" i="1"/>
  <c r="AJ39" i="1" s="1"/>
  <c r="AN35" i="1"/>
  <c r="AN39" i="1" s="1"/>
  <c r="AO35" i="1"/>
  <c r="AO39" i="1" s="1"/>
  <c r="BA35" i="1"/>
  <c r="BA39" i="1" s="1"/>
  <c r="BB35" i="1"/>
  <c r="BB39" i="1" s="1"/>
  <c r="BF35" i="1"/>
  <c r="BF39" i="1" s="1"/>
  <c r="BG35" i="1"/>
  <c r="BG39" i="1" s="1"/>
  <c r="BK35" i="1"/>
  <c r="BN35" i="1"/>
  <c r="BN39" i="1" s="1"/>
  <c r="BR35" i="1"/>
  <c r="BR39" i="1" s="1"/>
  <c r="BS35" i="1"/>
  <c r="BS39" i="1" s="1"/>
  <c r="BZ35" i="1"/>
  <c r="BZ39" i="1" s="1"/>
  <c r="CA35" i="1"/>
  <c r="G36" i="1"/>
  <c r="K36" i="1"/>
  <c r="K37" i="1" s="1"/>
  <c r="K40" i="1" s="1"/>
  <c r="P36" i="1"/>
  <c r="U36" i="1"/>
  <c r="Z36" i="1"/>
  <c r="AB36" i="1"/>
  <c r="AB32" i="1" s="1"/>
  <c r="AB79" i="310"/>
  <c r="AB80" i="310" s="1"/>
  <c r="AC36" i="1"/>
  <c r="AD36" i="1"/>
  <c r="AD37" i="1" s="1"/>
  <c r="AD40" i="1" s="1"/>
  <c r="AE36" i="1"/>
  <c r="AE79" i="310" s="1"/>
  <c r="AE80" i="310" s="1"/>
  <c r="AG36" i="1"/>
  <c r="AG79" i="310"/>
  <c r="AG80" i="310" s="1"/>
  <c r="AH36" i="1"/>
  <c r="AH37" i="1" s="1"/>
  <c r="AH40" i="1" s="1"/>
  <c r="AI36" i="1"/>
  <c r="AI79" i="310"/>
  <c r="AI80" i="310" s="1"/>
  <c r="AJ36" i="1"/>
  <c r="AJ79" i="310" s="1"/>
  <c r="AJ80" i="310" s="1"/>
  <c r="AL36" i="1"/>
  <c r="AL37" i="1"/>
  <c r="AL40" i="1" s="1"/>
  <c r="AR36" i="1"/>
  <c r="AR79" i="310" s="1"/>
  <c r="AT36" i="1"/>
  <c r="AU36" i="1" s="1"/>
  <c r="AV36" i="1"/>
  <c r="AV79" i="310"/>
  <c r="AW36" i="1"/>
  <c r="AW79" i="310" s="1"/>
  <c r="AX36" i="1"/>
  <c r="AX79" i="310"/>
  <c r="AX80" i="310" s="1"/>
  <c r="BB36" i="1"/>
  <c r="BB79" i="310"/>
  <c r="BB80" i="310" s="1"/>
  <c r="BC36" i="1"/>
  <c r="BC79" i="310" s="1"/>
  <c r="BC80" i="310" s="1"/>
  <c r="BF36" i="1"/>
  <c r="BG36" i="1"/>
  <c r="BG79" i="310" s="1"/>
  <c r="BH36" i="1"/>
  <c r="BH79" i="310" s="1"/>
  <c r="BI36" i="1"/>
  <c r="BK36" i="1"/>
  <c r="BK79" i="310" s="1"/>
  <c r="BL36" i="1"/>
  <c r="BM36" i="1"/>
  <c r="BM32" i="1"/>
  <c r="BT36" i="1"/>
  <c r="BU36" i="1"/>
  <c r="BY36" i="1"/>
  <c r="BY37" i="1"/>
  <c r="BY40" i="1" s="1"/>
  <c r="I37" i="1"/>
  <c r="I40" i="1" s="1"/>
  <c r="J37" i="1"/>
  <c r="J40" i="1" s="1"/>
  <c r="M37" i="1"/>
  <c r="M40" i="1" s="1"/>
  <c r="N37" i="1"/>
  <c r="O37" i="1"/>
  <c r="O40" i="1" s="1"/>
  <c r="R37" i="1"/>
  <c r="S37" i="1"/>
  <c r="S40" i="1" s="1"/>
  <c r="T37" i="1"/>
  <c r="T40" i="1" s="1"/>
  <c r="W37" i="1"/>
  <c r="W40" i="1" s="1"/>
  <c r="X37" i="1"/>
  <c r="X40" i="1" s="1"/>
  <c r="Y37" i="1"/>
  <c r="Y40" i="1" s="1"/>
  <c r="AB37" i="1"/>
  <c r="AB40" i="1" s="1"/>
  <c r="AC37" i="1"/>
  <c r="AC40" i="1" s="1"/>
  <c r="AE37" i="1"/>
  <c r="AE40" i="1" s="1"/>
  <c r="AG37" i="1"/>
  <c r="AG40" i="1" s="1"/>
  <c r="AI37" i="1"/>
  <c r="AI40" i="1" s="1"/>
  <c r="AJ37" i="1"/>
  <c r="AJ40" i="1"/>
  <c r="AM37" i="1"/>
  <c r="AM40" i="1" s="1"/>
  <c r="AN37" i="1"/>
  <c r="AN40" i="1"/>
  <c r="AO37" i="1"/>
  <c r="AO40" i="1" s="1"/>
  <c r="AQ37" i="1"/>
  <c r="AQ40" i="1" s="1"/>
  <c r="AR37" i="1"/>
  <c r="AR40" i="1" s="1"/>
  <c r="AS37" i="1"/>
  <c r="AS40" i="1" s="1"/>
  <c r="AT37" i="1"/>
  <c r="AT40" i="1" s="1"/>
  <c r="AV37" i="1"/>
  <c r="AV40" i="1"/>
  <c r="AX37" i="1"/>
  <c r="AX40" i="1" s="1"/>
  <c r="AY37" i="1"/>
  <c r="BD37" i="1"/>
  <c r="BD40" i="1" s="1"/>
  <c r="BA37" i="1"/>
  <c r="BA40" i="1" s="1"/>
  <c r="BB37" i="1"/>
  <c r="BB40" i="1" s="1"/>
  <c r="BC37" i="1"/>
  <c r="BC40" i="1"/>
  <c r="BH37" i="1"/>
  <c r="BH40" i="1" s="1"/>
  <c r="BI37" i="1"/>
  <c r="BI40" i="1" s="1"/>
  <c r="BL37" i="1"/>
  <c r="BL40" i="1" s="1"/>
  <c r="BM37" i="1"/>
  <c r="BM40" i="1" s="1"/>
  <c r="BN37" i="1"/>
  <c r="BN40" i="1" s="1"/>
  <c r="BP37" i="1"/>
  <c r="BP40" i="1"/>
  <c r="BQ37" i="1"/>
  <c r="BQ40" i="1" s="1"/>
  <c r="BR37" i="1"/>
  <c r="BR40" i="1"/>
  <c r="BS37" i="1"/>
  <c r="BS40" i="1" s="1"/>
  <c r="BV37" i="1"/>
  <c r="BV40" i="1" s="1"/>
  <c r="BW37" i="1"/>
  <c r="BW40" i="1" s="1"/>
  <c r="BX37" i="1"/>
  <c r="BX40" i="1"/>
  <c r="BZ37" i="1"/>
  <c r="BZ40" i="1" s="1"/>
  <c r="CE40" i="1"/>
  <c r="I38" i="1"/>
  <c r="Y38" i="1"/>
  <c r="Y41" i="1" s="1"/>
  <c r="X194" i="4" s="1"/>
  <c r="D39" i="1"/>
  <c r="H39" i="1"/>
  <c r="M39" i="1"/>
  <c r="W39" i="1"/>
  <c r="Y39" i="1"/>
  <c r="AC39" i="1"/>
  <c r="AT39" i="1"/>
  <c r="BK39" i="1"/>
  <c r="N40" i="1"/>
  <c r="R40" i="1"/>
  <c r="BU40" i="1"/>
  <c r="CB40" i="1"/>
  <c r="CC40" i="1"/>
  <c r="F44" i="1"/>
  <c r="K44" i="1"/>
  <c r="M47" i="1"/>
  <c r="P44" i="1"/>
  <c r="P47" i="1" s="1"/>
  <c r="U44" i="1"/>
  <c r="Z44" i="1"/>
  <c r="AA44" i="1"/>
  <c r="AB44" i="1"/>
  <c r="AG46" i="1" s="1"/>
  <c r="AC44" i="1"/>
  <c r="AC46" i="1" s="1"/>
  <c r="AD44" i="1"/>
  <c r="AD47" i="1"/>
  <c r="AE44" i="1"/>
  <c r="AG44" i="1"/>
  <c r="AH44" i="1"/>
  <c r="AI44" i="1"/>
  <c r="AN46" i="1" s="1"/>
  <c r="AJ44" i="1"/>
  <c r="AL44" i="1"/>
  <c r="AL46" i="1"/>
  <c r="AM44" i="1"/>
  <c r="AP44" i="1" s="1"/>
  <c r="AN44" i="1"/>
  <c r="AO44" i="1"/>
  <c r="AQ44" i="1"/>
  <c r="AQ169" i="1" s="1"/>
  <c r="AR44" i="1"/>
  <c r="AS44" i="1"/>
  <c r="AS45" i="1"/>
  <c r="AT44" i="1"/>
  <c r="AV44" i="1"/>
  <c r="AW44" i="1"/>
  <c r="AX44" i="1"/>
  <c r="AY44" i="1"/>
  <c r="AY45" i="1" s="1"/>
  <c r="BA44" i="1"/>
  <c r="BB44" i="1"/>
  <c r="BC44" i="1"/>
  <c r="BH46" i="1" s="1"/>
  <c r="BD44" i="1"/>
  <c r="BF44" i="1"/>
  <c r="BG44" i="1"/>
  <c r="BH44" i="1"/>
  <c r="BI44" i="1"/>
  <c r="BK44" i="1"/>
  <c r="BK46" i="1" s="1"/>
  <c r="BL44" i="1"/>
  <c r="BM44" i="1"/>
  <c r="BN44" i="1"/>
  <c r="BP44" i="1"/>
  <c r="BT44" i="1" s="1"/>
  <c r="BQ44" i="1"/>
  <c r="BQ46" i="1"/>
  <c r="BR44" i="1"/>
  <c r="BR47" i="1" s="1"/>
  <c r="BS44" i="1"/>
  <c r="BU44" i="1"/>
  <c r="BV44" i="1"/>
  <c r="BV46" i="1" s="1"/>
  <c r="BW44" i="1"/>
  <c r="BX44" i="1"/>
  <c r="BX46" i="1"/>
  <c r="BZ44" i="1"/>
  <c r="CA44" i="1"/>
  <c r="CB44" i="1"/>
  <c r="CG46" i="1"/>
  <c r="E45" i="1"/>
  <c r="R45" i="1"/>
  <c r="T45" i="1"/>
  <c r="Y45" i="1"/>
  <c r="AM45" i="1"/>
  <c r="AR45" i="1"/>
  <c r="BI45" i="1"/>
  <c r="H46" i="1"/>
  <c r="I46" i="1"/>
  <c r="J46" i="1"/>
  <c r="M46" i="1"/>
  <c r="N46" i="1"/>
  <c r="O46" i="1"/>
  <c r="R46" i="1"/>
  <c r="S46" i="1"/>
  <c r="T46" i="1"/>
  <c r="W46" i="1"/>
  <c r="X46" i="1"/>
  <c r="Y46" i="1"/>
  <c r="AB46" i="1"/>
  <c r="AD46" i="1"/>
  <c r="AI46" i="1"/>
  <c r="AJ46" i="1"/>
  <c r="AM46" i="1"/>
  <c r="AO46" i="1"/>
  <c r="AQ46" i="1"/>
  <c r="AR46" i="1"/>
  <c r="AS46" i="1"/>
  <c r="AV46" i="1"/>
  <c r="AW46" i="1"/>
  <c r="AX46" i="1"/>
  <c r="BA46" i="1"/>
  <c r="BB46" i="1"/>
  <c r="BD46" i="1"/>
  <c r="BF46" i="1"/>
  <c r="BI46" i="1"/>
  <c r="BL46" i="1"/>
  <c r="BM46" i="1"/>
  <c r="BN46" i="1"/>
  <c r="BR46" i="1"/>
  <c r="BS46" i="1"/>
  <c r="BU46" i="1"/>
  <c r="BW46" i="1"/>
  <c r="BZ46" i="1"/>
  <c r="CA46" i="1"/>
  <c r="D47" i="1"/>
  <c r="E47" i="1"/>
  <c r="I47" i="1"/>
  <c r="J47" i="1"/>
  <c r="N47" i="1"/>
  <c r="O47" i="1"/>
  <c r="S47" i="1"/>
  <c r="T47" i="1"/>
  <c r="X47" i="1"/>
  <c r="Y47" i="1"/>
  <c r="AC47" i="1"/>
  <c r="AE47" i="1"/>
  <c r="AG47" i="1"/>
  <c r="AH47" i="1"/>
  <c r="AJ47" i="1"/>
  <c r="AL47" i="1"/>
  <c r="AM47" i="1"/>
  <c r="AO47" i="1"/>
  <c r="AQ47" i="1"/>
  <c r="AR47" i="1"/>
  <c r="AS47" i="1"/>
  <c r="AT47" i="1"/>
  <c r="AV47" i="1"/>
  <c r="AW47" i="1"/>
  <c r="AX47" i="1"/>
  <c r="AY47" i="1"/>
  <c r="BA47" i="1"/>
  <c r="BB47" i="1"/>
  <c r="BC47" i="1"/>
  <c r="BD47" i="1"/>
  <c r="BF47" i="1"/>
  <c r="BG47" i="1"/>
  <c r="BH47" i="1"/>
  <c r="BI47" i="1"/>
  <c r="BK47" i="1"/>
  <c r="BL47" i="1"/>
  <c r="BM47" i="1"/>
  <c r="BN47" i="1"/>
  <c r="BP47" i="1"/>
  <c r="BQ47" i="1"/>
  <c r="BS47" i="1"/>
  <c r="BU47" i="1"/>
  <c r="BV47" i="1"/>
  <c r="BX47" i="1"/>
  <c r="BZ47" i="1"/>
  <c r="CA47" i="1"/>
  <c r="CB47" i="1"/>
  <c r="F48" i="1"/>
  <c r="K48" i="1"/>
  <c r="P48" i="1"/>
  <c r="U48" i="1"/>
  <c r="Z48" i="1"/>
  <c r="AB48" i="1"/>
  <c r="AF48" i="1" s="1"/>
  <c r="AC48" i="1"/>
  <c r="AC50" i="1" s="1"/>
  <c r="AD48" i="1"/>
  <c r="AE48" i="1"/>
  <c r="AG48" i="1"/>
  <c r="AH48" i="1"/>
  <c r="AI48" i="1"/>
  <c r="AJ48" i="1"/>
  <c r="AL48" i="1"/>
  <c r="AM48" i="1"/>
  <c r="AN48" i="1"/>
  <c r="AN50" i="1" s="1"/>
  <c r="AO48" i="1"/>
  <c r="AQ48" i="1"/>
  <c r="AR48" i="1"/>
  <c r="AU48" i="1" s="1"/>
  <c r="AS48" i="1"/>
  <c r="AT48" i="1"/>
  <c r="AV48" i="1"/>
  <c r="AV49" i="1" s="1"/>
  <c r="AW48" i="1"/>
  <c r="AW49" i="1" s="1"/>
  <c r="AX48" i="1"/>
  <c r="AX50" i="1" s="1"/>
  <c r="AY48" i="1"/>
  <c r="BA48" i="1"/>
  <c r="BB48" i="1"/>
  <c r="BC48" i="1"/>
  <c r="BD48" i="1"/>
  <c r="BF51" i="1" s="1"/>
  <c r="BF48" i="1"/>
  <c r="BG48" i="1"/>
  <c r="BJ48" i="1" s="1"/>
  <c r="BH48" i="1"/>
  <c r="BI48" i="1"/>
  <c r="BK48" i="1"/>
  <c r="BO48" i="1" s="1"/>
  <c r="BL48" i="1"/>
  <c r="BM48" i="1"/>
  <c r="BN48" i="1"/>
  <c r="BP48" i="1"/>
  <c r="BQ48" i="1"/>
  <c r="BR48" i="1"/>
  <c r="BS48" i="1"/>
  <c r="BU48" i="1"/>
  <c r="BV48" i="1"/>
  <c r="BW48" i="1"/>
  <c r="BW50" i="1" s="1"/>
  <c r="BX48" i="1"/>
  <c r="BZ48" i="1"/>
  <c r="CA48" i="1"/>
  <c r="CB48" i="1"/>
  <c r="E49" i="1"/>
  <c r="N49" i="1"/>
  <c r="T49" i="1"/>
  <c r="Y49" i="1"/>
  <c r="AE49" i="1"/>
  <c r="AG49" i="1"/>
  <c r="AH49" i="1"/>
  <c r="AY49" i="1"/>
  <c r="BB49" i="1"/>
  <c r="BG49" i="1"/>
  <c r="BI49" i="1"/>
  <c r="BL49" i="1"/>
  <c r="BN49" i="1"/>
  <c r="H50" i="1"/>
  <c r="I50" i="1"/>
  <c r="J50" i="1"/>
  <c r="M50" i="1"/>
  <c r="N50" i="1"/>
  <c r="O50" i="1"/>
  <c r="R50" i="1"/>
  <c r="S50" i="1"/>
  <c r="T50" i="1"/>
  <c r="W50" i="1"/>
  <c r="X50" i="1"/>
  <c r="Y50" i="1"/>
  <c r="AB50" i="1"/>
  <c r="AD50" i="1"/>
  <c r="AG50" i="1"/>
  <c r="AH50" i="1"/>
  <c r="AJ50" i="1"/>
  <c r="AL50" i="1"/>
  <c r="AM50" i="1"/>
  <c r="AO50" i="1"/>
  <c r="AQ50" i="1"/>
  <c r="AR50" i="1"/>
  <c r="AT50" i="1"/>
  <c r="AV50" i="1"/>
  <c r="AW50" i="1"/>
  <c r="AY50" i="1"/>
  <c r="BB50" i="1"/>
  <c r="BC50" i="1"/>
  <c r="BF50" i="1"/>
  <c r="BG50" i="1"/>
  <c r="BH50" i="1"/>
  <c r="BK50" i="1"/>
  <c r="BL50" i="1"/>
  <c r="BM50" i="1"/>
  <c r="BN50" i="1"/>
  <c r="BP50" i="1"/>
  <c r="BQ50" i="1"/>
  <c r="BR50" i="1"/>
  <c r="BS50" i="1"/>
  <c r="BU50" i="1"/>
  <c r="BV50" i="1"/>
  <c r="BX50" i="1"/>
  <c r="BZ50" i="1"/>
  <c r="CA50" i="1"/>
  <c r="D51" i="1"/>
  <c r="E51" i="1"/>
  <c r="F51" i="1"/>
  <c r="I51" i="1"/>
  <c r="J51" i="1"/>
  <c r="N51" i="1"/>
  <c r="O51" i="1"/>
  <c r="S51" i="1"/>
  <c r="T51" i="1"/>
  <c r="X51" i="1"/>
  <c r="Y51" i="1"/>
  <c r="AC51" i="1"/>
  <c r="AD51" i="1"/>
  <c r="AE51" i="1"/>
  <c r="AG51" i="1"/>
  <c r="AH51" i="1"/>
  <c r="AI51" i="1"/>
  <c r="AJ51" i="1"/>
  <c r="AL51" i="1"/>
  <c r="AM51" i="1"/>
  <c r="AN51" i="1"/>
  <c r="AO51" i="1"/>
  <c r="AQ51" i="1"/>
  <c r="AR51" i="1"/>
  <c r="AS51" i="1"/>
  <c r="AT51" i="1"/>
  <c r="AV51" i="1"/>
  <c r="AW51" i="1"/>
  <c r="AX51" i="1"/>
  <c r="AY51" i="1"/>
  <c r="BA51" i="1"/>
  <c r="BB51" i="1"/>
  <c r="BC51" i="1"/>
  <c r="BD51" i="1"/>
  <c r="BG51" i="1"/>
  <c r="BH51" i="1"/>
  <c r="BI51" i="1"/>
  <c r="BK51" i="1"/>
  <c r="BL51" i="1"/>
  <c r="BM51" i="1"/>
  <c r="BN51" i="1"/>
  <c r="BP51" i="1"/>
  <c r="BQ51" i="1"/>
  <c r="BR51" i="1"/>
  <c r="BS51" i="1"/>
  <c r="BU51" i="1"/>
  <c r="BV51" i="1"/>
  <c r="BW51" i="1"/>
  <c r="BX51" i="1"/>
  <c r="BZ51" i="1"/>
  <c r="CA51" i="1"/>
  <c r="CB51" i="1"/>
  <c r="F52" i="1"/>
  <c r="K52" i="1"/>
  <c r="P52" i="1"/>
  <c r="Q52" i="1" s="1"/>
  <c r="U52" i="1"/>
  <c r="Z52" i="1"/>
  <c r="AB52" i="1"/>
  <c r="AB171" i="1" s="1"/>
  <c r="AC52" i="1"/>
  <c r="AC65" i="1" s="1"/>
  <c r="AD52" i="1"/>
  <c r="AD55" i="1" s="1"/>
  <c r="AE52" i="1"/>
  <c r="AE53" i="1" s="1"/>
  <c r="AG52" i="1"/>
  <c r="AH52" i="1"/>
  <c r="AH54" i="1"/>
  <c r="AI52" i="1"/>
  <c r="AI55" i="1"/>
  <c r="AJ52" i="1"/>
  <c r="AJ55" i="1"/>
  <c r="AL52" i="1"/>
  <c r="AM52" i="1"/>
  <c r="AM53" i="1" s="1"/>
  <c r="AN52" i="1"/>
  <c r="AO52" i="1"/>
  <c r="AQ52" i="1"/>
  <c r="AR52" i="1"/>
  <c r="AR53" i="1" s="1"/>
  <c r="AS52" i="1"/>
  <c r="AT52" i="1"/>
  <c r="AY54" i="1" s="1"/>
  <c r="AW52" i="1"/>
  <c r="AX52" i="1"/>
  <c r="AY52" i="1"/>
  <c r="AY65" i="1"/>
  <c r="BA52" i="1"/>
  <c r="BB52" i="1"/>
  <c r="BC52" i="1"/>
  <c r="BC54" i="1"/>
  <c r="BD52" i="1"/>
  <c r="BD54" i="1"/>
  <c r="BF52" i="1"/>
  <c r="BG52" i="1"/>
  <c r="BG65" i="1" s="1"/>
  <c r="BH52" i="1"/>
  <c r="BH54" i="1" s="1"/>
  <c r="BI52" i="1"/>
  <c r="BK52" i="1"/>
  <c r="BO52" i="1"/>
  <c r="BL52" i="1"/>
  <c r="BL53" i="1"/>
  <c r="BM52" i="1"/>
  <c r="BM54" i="1"/>
  <c r="BN52" i="1"/>
  <c r="BN54" i="1"/>
  <c r="BP52" i="1"/>
  <c r="BQ52" i="1"/>
  <c r="BT52" i="1" s="1"/>
  <c r="BR52" i="1"/>
  <c r="BR54" i="1"/>
  <c r="BS52" i="1"/>
  <c r="BU55" i="1" s="1"/>
  <c r="BU52" i="1"/>
  <c r="BV52" i="1"/>
  <c r="BY52" i="1" s="1"/>
  <c r="BW52" i="1"/>
  <c r="BW55" i="1" s="1"/>
  <c r="BX52" i="1"/>
  <c r="BX54" i="1" s="1"/>
  <c r="BZ52" i="1"/>
  <c r="CA52" i="1"/>
  <c r="CA55" i="1" s="1"/>
  <c r="CB52" i="1"/>
  <c r="CC55" i="1" s="1"/>
  <c r="CG54" i="1"/>
  <c r="E53" i="1"/>
  <c r="J53" i="1"/>
  <c r="T53" i="1"/>
  <c r="Y53" i="1"/>
  <c r="AH53" i="1"/>
  <c r="AN53" i="1"/>
  <c r="AY53" i="1"/>
  <c r="BI53" i="1"/>
  <c r="H54" i="1"/>
  <c r="I54" i="1"/>
  <c r="J54" i="1"/>
  <c r="M54" i="1"/>
  <c r="N54" i="1"/>
  <c r="O54" i="1"/>
  <c r="R54" i="1"/>
  <c r="S54" i="1"/>
  <c r="T54" i="1"/>
  <c r="W54" i="1"/>
  <c r="X54" i="1"/>
  <c r="Y54" i="1"/>
  <c r="AD54" i="1"/>
  <c r="AG54" i="1"/>
  <c r="AL54" i="1"/>
  <c r="AQ54" i="1"/>
  <c r="BG54" i="1"/>
  <c r="BK54" i="1"/>
  <c r="BL54" i="1"/>
  <c r="BQ54" i="1"/>
  <c r="BV54" i="1"/>
  <c r="BZ54" i="1"/>
  <c r="D55" i="1"/>
  <c r="E55" i="1"/>
  <c r="I55" i="1"/>
  <c r="J55" i="1"/>
  <c r="N55" i="1"/>
  <c r="O55" i="1"/>
  <c r="R55" i="1"/>
  <c r="S55" i="1"/>
  <c r="T55" i="1"/>
  <c r="X55" i="1"/>
  <c r="Y55" i="1"/>
  <c r="AC55" i="1"/>
  <c r="AH55" i="1"/>
  <c r="AM55" i="1"/>
  <c r="AO55" i="1"/>
  <c r="AQ55" i="1"/>
  <c r="BB55" i="1"/>
  <c r="BG55" i="1"/>
  <c r="BK55" i="1"/>
  <c r="BL55" i="1"/>
  <c r="BQ55" i="1"/>
  <c r="BV55" i="1"/>
  <c r="BX55" i="1"/>
  <c r="BZ55" i="1"/>
  <c r="C56" i="1"/>
  <c r="D56" i="1"/>
  <c r="E56" i="1"/>
  <c r="H56" i="1"/>
  <c r="I56" i="1"/>
  <c r="J56" i="1"/>
  <c r="M56" i="1"/>
  <c r="N56" i="1"/>
  <c r="O56" i="1"/>
  <c r="R56" i="1"/>
  <c r="S56" i="1"/>
  <c r="T56" i="1"/>
  <c r="U56" i="1"/>
  <c r="W56" i="1"/>
  <c r="X56" i="1"/>
  <c r="Y56" i="1"/>
  <c r="Z56" i="1"/>
  <c r="AC56" i="1"/>
  <c r="BB56" i="1"/>
  <c r="BC56" i="1"/>
  <c r="BD56" i="1"/>
  <c r="BG56" i="1"/>
  <c r="BU56" i="1"/>
  <c r="F57" i="1"/>
  <c r="K57" i="1"/>
  <c r="L57" i="1" s="1"/>
  <c r="Q57" i="1"/>
  <c r="V57" i="1"/>
  <c r="AA57" i="1"/>
  <c r="AD57" i="1"/>
  <c r="AF57" i="1" s="1"/>
  <c r="AJ57" i="1"/>
  <c r="AJ58" i="1"/>
  <c r="AJ56" i="1" s="1"/>
  <c r="AK57" i="1"/>
  <c r="AP57" i="1"/>
  <c r="AR57" i="1"/>
  <c r="AR56" i="1" s="1"/>
  <c r="AS57" i="1"/>
  <c r="AS34" i="1" s="1"/>
  <c r="AT57" i="1"/>
  <c r="AV57" i="1"/>
  <c r="AW57" i="1"/>
  <c r="AW34" i="1" s="1"/>
  <c r="AX57" i="1"/>
  <c r="AX34" i="1" s="1"/>
  <c r="AY57" i="1"/>
  <c r="AY56" i="1" s="1"/>
  <c r="BJ57" i="1"/>
  <c r="BL57" i="1"/>
  <c r="BO57" i="1" s="1"/>
  <c r="BQ57" i="1"/>
  <c r="BR57" i="1"/>
  <c r="BR56" i="1"/>
  <c r="BV57" i="1"/>
  <c r="BV56" i="1" s="1"/>
  <c r="BW57" i="1"/>
  <c r="BX57" i="1"/>
  <c r="BX56" i="1" s="1"/>
  <c r="BZ57" i="1"/>
  <c r="BZ56" i="1" s="1"/>
  <c r="CB57" i="1"/>
  <c r="G58" i="1"/>
  <c r="L58" i="1"/>
  <c r="Q58" i="1"/>
  <c r="V58" i="1"/>
  <c r="AA58" i="1"/>
  <c r="AB58" i="1"/>
  <c r="AE58" i="1"/>
  <c r="AH58" i="1"/>
  <c r="AH56" i="1" s="1"/>
  <c r="AI58" i="1"/>
  <c r="AL58" i="1"/>
  <c r="AL56" i="1" s="1"/>
  <c r="AM58" i="1"/>
  <c r="AM56" i="1" s="1"/>
  <c r="AN58" i="1"/>
  <c r="AO58" i="1"/>
  <c r="AO56" i="1" s="1"/>
  <c r="AQ58" i="1"/>
  <c r="AQ56" i="1" s="1"/>
  <c r="AZ58" i="1"/>
  <c r="BA58" i="1"/>
  <c r="BA57" i="1" s="1"/>
  <c r="BJ58" i="1"/>
  <c r="BM58" i="1"/>
  <c r="BM56" i="1"/>
  <c r="BT58" i="1"/>
  <c r="BY58" i="1"/>
  <c r="CD58" i="1"/>
  <c r="G59" i="1"/>
  <c r="L59" i="1"/>
  <c r="Q59" i="1"/>
  <c r="V59" i="1"/>
  <c r="AA59" i="1"/>
  <c r="AF59" i="1"/>
  <c r="AG59" i="1"/>
  <c r="AK59" i="1" s="1"/>
  <c r="AP59" i="1"/>
  <c r="AU59" i="1"/>
  <c r="AV59" i="1"/>
  <c r="AZ59" i="1" s="1"/>
  <c r="BA59" i="1"/>
  <c r="BE59" i="1"/>
  <c r="BF59" i="1"/>
  <c r="BF56" i="1"/>
  <c r="BH59" i="1"/>
  <c r="BH56" i="1"/>
  <c r="BI59" i="1"/>
  <c r="BI56" i="1"/>
  <c r="BK59" i="1"/>
  <c r="BK56" i="1"/>
  <c r="BM59" i="1"/>
  <c r="BN59" i="1"/>
  <c r="BN56" i="1" s="1"/>
  <c r="BO59" i="1"/>
  <c r="BO227" i="1" s="1"/>
  <c r="BP59" i="1"/>
  <c r="BP56" i="1"/>
  <c r="BS59" i="1"/>
  <c r="BS56" i="1"/>
  <c r="BY59" i="1"/>
  <c r="CD59" i="1"/>
  <c r="G60" i="1"/>
  <c r="L60" i="1"/>
  <c r="Q60" i="1"/>
  <c r="V60" i="1"/>
  <c r="AA60" i="1"/>
  <c r="AE60" i="1"/>
  <c r="AF60" i="1" s="1"/>
  <c r="AK60" i="1"/>
  <c r="AP60" i="1"/>
  <c r="AU60" i="1"/>
  <c r="AZ60" i="1"/>
  <c r="BE60" i="1"/>
  <c r="BJ60" i="1"/>
  <c r="BO60" i="1"/>
  <c r="BT60" i="1"/>
  <c r="BY60" i="1"/>
  <c r="CD60" i="1"/>
  <c r="CN60" i="1"/>
  <c r="CS60" i="1"/>
  <c r="F61" i="1"/>
  <c r="G61" i="1" s="1"/>
  <c r="K61" i="1"/>
  <c r="L61" i="1" s="1"/>
  <c r="P61" i="1"/>
  <c r="Q61" i="1" s="1"/>
  <c r="V61" i="1"/>
  <c r="AA61" i="1"/>
  <c r="AF61" i="1"/>
  <c r="AG61" i="1"/>
  <c r="AK61" i="1" s="1"/>
  <c r="AG56" i="1"/>
  <c r="AP61" i="1"/>
  <c r="AU61" i="1"/>
  <c r="AZ61" i="1"/>
  <c r="BE61" i="1"/>
  <c r="BJ61" i="1"/>
  <c r="BO61" i="1"/>
  <c r="BT61" i="1"/>
  <c r="BY61" i="1"/>
  <c r="CB61" i="1"/>
  <c r="CD61" i="1" s="1"/>
  <c r="CI61" i="1"/>
  <c r="CN61" i="1"/>
  <c r="CS61" i="1"/>
  <c r="G62" i="1"/>
  <c r="L62" i="1"/>
  <c r="Q62" i="1"/>
  <c r="V62" i="1"/>
  <c r="AA62" i="1"/>
  <c r="AF62" i="1"/>
  <c r="AK62" i="1"/>
  <c r="AP62" i="1"/>
  <c r="AU62" i="1"/>
  <c r="AZ62" i="1"/>
  <c r="BE62" i="1"/>
  <c r="BJ62" i="1"/>
  <c r="BO62" i="1"/>
  <c r="BT62" i="1"/>
  <c r="BY62" i="1"/>
  <c r="CD62" i="1"/>
  <c r="CI62" i="1"/>
  <c r="CN62" i="1"/>
  <c r="CS62" i="1"/>
  <c r="G63" i="1"/>
  <c r="L63" i="1"/>
  <c r="Q63" i="1"/>
  <c r="V63" i="1"/>
  <c r="AA63" i="1"/>
  <c r="AF63" i="1"/>
  <c r="AK63" i="1"/>
  <c r="AP63" i="1"/>
  <c r="AU63" i="1"/>
  <c r="AZ63" i="1"/>
  <c r="BE63" i="1"/>
  <c r="BJ63" i="1"/>
  <c r="BO63" i="1"/>
  <c r="BT63" i="1"/>
  <c r="BY63" i="1"/>
  <c r="CD63" i="1"/>
  <c r="CI63" i="1"/>
  <c r="CN63" i="1"/>
  <c r="CS63" i="1"/>
  <c r="G64" i="1"/>
  <c r="K64" i="1"/>
  <c r="L64" i="1" s="1"/>
  <c r="Q64" i="1"/>
  <c r="V64" i="1"/>
  <c r="AA64" i="1"/>
  <c r="AF64" i="1"/>
  <c r="AK64" i="1"/>
  <c r="AP64" i="1"/>
  <c r="AU64" i="1"/>
  <c r="AZ64" i="1"/>
  <c r="BE64" i="1"/>
  <c r="BJ64" i="1"/>
  <c r="BO64" i="1"/>
  <c r="BT64" i="1"/>
  <c r="BY64" i="1"/>
  <c r="CD64" i="1"/>
  <c r="CI64" i="1"/>
  <c r="CN64" i="1"/>
  <c r="CS64" i="1"/>
  <c r="C65" i="1"/>
  <c r="H65" i="1"/>
  <c r="D65" i="1"/>
  <c r="E65" i="1"/>
  <c r="I65" i="1"/>
  <c r="J65" i="1"/>
  <c r="M65" i="1"/>
  <c r="N65" i="1"/>
  <c r="N146" i="1" s="1"/>
  <c r="O65" i="1"/>
  <c r="R65" i="1"/>
  <c r="S65" i="1"/>
  <c r="T65" i="1"/>
  <c r="Y65" i="1"/>
  <c r="W65" i="1"/>
  <c r="X65" i="1"/>
  <c r="AB65" i="1"/>
  <c r="AB172" i="1" s="1"/>
  <c r="AD65" i="1"/>
  <c r="AE65" i="1"/>
  <c r="AG65" i="1"/>
  <c r="AH65" i="1"/>
  <c r="AH172" i="1" s="1"/>
  <c r="AI65" i="1"/>
  <c r="AJ65" i="1"/>
  <c r="AL65" i="1"/>
  <c r="AN65" i="1"/>
  <c r="AO65" i="1"/>
  <c r="AQ65" i="1"/>
  <c r="AW65" i="1"/>
  <c r="BB65" i="1"/>
  <c r="AX65" i="1"/>
  <c r="BC65" i="1"/>
  <c r="BF65" i="1"/>
  <c r="BF172" i="1" s="1"/>
  <c r="BH65" i="1"/>
  <c r="BI65" i="1"/>
  <c r="BK65" i="1"/>
  <c r="BL65" i="1"/>
  <c r="BL172" i="1" s="1"/>
  <c r="BM65" i="1"/>
  <c r="BN65" i="1"/>
  <c r="BP65" i="1"/>
  <c r="BR65" i="1"/>
  <c r="BS65" i="1"/>
  <c r="BU65" i="1"/>
  <c r="BV65" i="1"/>
  <c r="BW65" i="1"/>
  <c r="BX65" i="1"/>
  <c r="BX66" i="1" s="1"/>
  <c r="C76" i="1"/>
  <c r="D76" i="1"/>
  <c r="D104" i="1" s="1"/>
  <c r="E76" i="1"/>
  <c r="E104" i="1" s="1"/>
  <c r="H76" i="1"/>
  <c r="H104" i="1" s="1"/>
  <c r="I76" i="1"/>
  <c r="I104" i="1" s="1"/>
  <c r="J76" i="1"/>
  <c r="J104" i="1" s="1"/>
  <c r="M76" i="1"/>
  <c r="M104" i="1" s="1"/>
  <c r="N76" i="1"/>
  <c r="N104" i="1" s="1"/>
  <c r="O76" i="1"/>
  <c r="O104" i="1" s="1"/>
  <c r="R76" i="1"/>
  <c r="S76" i="1"/>
  <c r="S104" i="1" s="1"/>
  <c r="T76" i="1"/>
  <c r="W76" i="1"/>
  <c r="X76" i="1"/>
  <c r="Y76" i="1"/>
  <c r="Z76" i="1"/>
  <c r="AB76" i="1"/>
  <c r="AC76" i="1"/>
  <c r="AD76" i="1"/>
  <c r="AE76" i="1"/>
  <c r="AE104" i="1" s="1"/>
  <c r="AG76" i="1"/>
  <c r="AG104" i="1" s="1"/>
  <c r="AH76" i="1"/>
  <c r="AH104" i="1" s="1"/>
  <c r="AI76" i="1"/>
  <c r="AI104" i="1" s="1"/>
  <c r="AM76" i="1"/>
  <c r="AM104" i="1" s="1"/>
  <c r="AN76" i="1"/>
  <c r="AN104" i="1" s="1"/>
  <c r="AO76" i="1"/>
  <c r="AO104" i="1" s="1"/>
  <c r="AQ76" i="1"/>
  <c r="AQ104" i="1" s="1"/>
  <c r="AR76" i="1"/>
  <c r="AR104" i="1" s="1"/>
  <c r="AS76" i="1"/>
  <c r="AS104" i="1" s="1"/>
  <c r="AT76" i="1"/>
  <c r="AT104" i="1" s="1"/>
  <c r="AV76" i="1"/>
  <c r="AW76" i="1"/>
  <c r="AW104" i="1" s="1"/>
  <c r="AX76" i="1"/>
  <c r="AX104" i="1" s="1"/>
  <c r="AY76" i="1"/>
  <c r="AY104" i="1" s="1"/>
  <c r="BA76" i="1"/>
  <c r="BB76" i="1"/>
  <c r="BB104" i="1" s="1"/>
  <c r="BC76" i="1"/>
  <c r="BC104" i="1"/>
  <c r="BD76" i="1"/>
  <c r="BF76" i="1"/>
  <c r="BG76" i="1"/>
  <c r="BG104" i="1"/>
  <c r="BH76" i="1"/>
  <c r="BH104" i="1" s="1"/>
  <c r="BI76" i="1"/>
  <c r="BI104" i="1" s="1"/>
  <c r="BK76" i="1"/>
  <c r="BK104" i="1" s="1"/>
  <c r="BL76" i="1"/>
  <c r="BL104" i="1" s="1"/>
  <c r="BM76" i="1"/>
  <c r="BM104" i="1" s="1"/>
  <c r="BN76" i="1"/>
  <c r="BN104" i="1" s="1"/>
  <c r="BP76" i="1"/>
  <c r="BP104" i="1" s="1"/>
  <c r="BQ104" i="1"/>
  <c r="BR76" i="1"/>
  <c r="BR104" i="1" s="1"/>
  <c r="BS76" i="1"/>
  <c r="BS104" i="1"/>
  <c r="BU76" i="1"/>
  <c r="BU104" i="1" s="1"/>
  <c r="BY104" i="1" s="1"/>
  <c r="BV76" i="1"/>
  <c r="BV104" i="1"/>
  <c r="BW76" i="1"/>
  <c r="BW104" i="1" s="1"/>
  <c r="BZ76" i="1"/>
  <c r="BZ104" i="1"/>
  <c r="F77" i="1"/>
  <c r="G77" i="1" s="1"/>
  <c r="K77" i="1"/>
  <c r="L77" i="1"/>
  <c r="P77" i="1"/>
  <c r="Q77" i="1" s="1"/>
  <c r="R77" i="1"/>
  <c r="S77" i="1"/>
  <c r="T77" i="1"/>
  <c r="V77" i="1" s="1"/>
  <c r="U77" i="1"/>
  <c r="W77" i="1"/>
  <c r="X77" i="1"/>
  <c r="Y77" i="1"/>
  <c r="Y104" i="1" s="1"/>
  <c r="Z77" i="1"/>
  <c r="AB77" i="1"/>
  <c r="AC77" i="1"/>
  <c r="AD77" i="1"/>
  <c r="AF77" i="1"/>
  <c r="AK77" i="1"/>
  <c r="AP77" i="1"/>
  <c r="AU77" i="1"/>
  <c r="AZ77" i="1"/>
  <c r="BD77" i="1"/>
  <c r="BF77" i="1"/>
  <c r="BJ77" i="1" s="1"/>
  <c r="BO77" i="1"/>
  <c r="BT77" i="1"/>
  <c r="BX77" i="1"/>
  <c r="BY77" i="1"/>
  <c r="CD77" i="1"/>
  <c r="CI77" i="1"/>
  <c r="CN77" i="1"/>
  <c r="CS77" i="1"/>
  <c r="F78" i="1"/>
  <c r="F76" i="1" s="1"/>
  <c r="K78" i="1"/>
  <c r="K76" i="1" s="1"/>
  <c r="P78" i="1"/>
  <c r="Q78" i="1" s="1"/>
  <c r="U78" i="1"/>
  <c r="U76" i="1" s="1"/>
  <c r="AA78" i="1"/>
  <c r="AF78" i="1"/>
  <c r="AJ78" i="1"/>
  <c r="AJ76" i="1"/>
  <c r="AJ104" i="1" s="1"/>
  <c r="AL78" i="1"/>
  <c r="AL76" i="1" s="1"/>
  <c r="AU78" i="1"/>
  <c r="AZ78" i="1"/>
  <c r="BE78" i="1"/>
  <c r="BJ78" i="1"/>
  <c r="BO78" i="1"/>
  <c r="BT78" i="1"/>
  <c r="BX78" i="1"/>
  <c r="BX121" i="2" s="1"/>
  <c r="G79" i="1"/>
  <c r="L79" i="1"/>
  <c r="Q79" i="1"/>
  <c r="V79" i="1"/>
  <c r="AA79" i="1"/>
  <c r="AF79" i="1"/>
  <c r="AK79" i="1"/>
  <c r="AP79" i="1"/>
  <c r="AU79" i="1"/>
  <c r="AZ79" i="1"/>
  <c r="BE79" i="1"/>
  <c r="BJ79" i="1"/>
  <c r="BO79" i="1"/>
  <c r="BT79" i="1"/>
  <c r="BY79" i="1"/>
  <c r="CB79" i="1"/>
  <c r="CB76" i="1"/>
  <c r="CB104" i="1" s="1"/>
  <c r="CD79" i="1"/>
  <c r="G81" i="1"/>
  <c r="L81" i="1"/>
  <c r="Q81" i="1"/>
  <c r="V81" i="1"/>
  <c r="AA81" i="1"/>
  <c r="AF81" i="1"/>
  <c r="AK81" i="1"/>
  <c r="AR81" i="1"/>
  <c r="AS81" i="1"/>
  <c r="AT81" i="1"/>
  <c r="AU81" i="1" s="1"/>
  <c r="AX81" i="1"/>
  <c r="AY81" i="1"/>
  <c r="BA81" i="1"/>
  <c r="BC81" i="1"/>
  <c r="BE81" i="1" s="1"/>
  <c r="BD81" i="1"/>
  <c r="BJ81" i="1"/>
  <c r="BL81" i="1"/>
  <c r="BO81" i="1" s="1"/>
  <c r="BQ81" i="1"/>
  <c r="BT81" i="1" s="1"/>
  <c r="BR81" i="1"/>
  <c r="BV81" i="1"/>
  <c r="BW81" i="1"/>
  <c r="BX81" i="1"/>
  <c r="BY81" i="1" s="1"/>
  <c r="CB81" i="1"/>
  <c r="AA85" i="1"/>
  <c r="AM91" i="1"/>
  <c r="AV91" i="1"/>
  <c r="AW91" i="1"/>
  <c r="C104" i="1"/>
  <c r="AV104" i="1"/>
  <c r="BA104" i="1"/>
  <c r="C106" i="1"/>
  <c r="D106" i="1"/>
  <c r="E106" i="1"/>
  <c r="F106" i="1"/>
  <c r="K106" i="1"/>
  <c r="L106" i="1" s="1"/>
  <c r="P106" i="1"/>
  <c r="Q106" i="1" s="1"/>
  <c r="V106" i="1"/>
  <c r="AA106" i="1"/>
  <c r="AF106" i="1"/>
  <c r="AJ106" i="1"/>
  <c r="AK106" i="1" s="1"/>
  <c r="AP106" i="1"/>
  <c r="AU106" i="1"/>
  <c r="AY106" i="1"/>
  <c r="AZ106" i="1" s="1"/>
  <c r="BD106" i="1"/>
  <c r="BE106" i="1" s="1"/>
  <c r="BF106" i="1"/>
  <c r="BJ106" i="1" s="1"/>
  <c r="BO106" i="1"/>
  <c r="BT106" i="1"/>
  <c r="BY106" i="1"/>
  <c r="G108" i="1"/>
  <c r="L108" i="1"/>
  <c r="Q108" i="1"/>
  <c r="V108" i="1"/>
  <c r="Z108" i="1"/>
  <c r="AA108" i="1" s="1"/>
  <c r="AE108" i="1"/>
  <c r="AF108" i="1" s="1"/>
  <c r="AJ108" i="1"/>
  <c r="AK108" i="1"/>
  <c r="AO108" i="1"/>
  <c r="AP108" i="1" s="1"/>
  <c r="AU108" i="1"/>
  <c r="AY108" i="1"/>
  <c r="AZ108" i="1" s="1"/>
  <c r="BD108" i="1"/>
  <c r="BE108" i="1" s="1"/>
  <c r="BI108" i="1"/>
  <c r="BJ108" i="1" s="1"/>
  <c r="BO108" i="1"/>
  <c r="BT108" i="1"/>
  <c r="BY108" i="1"/>
  <c r="CD108" i="1"/>
  <c r="CI108" i="1"/>
  <c r="CN108" i="1"/>
  <c r="CS108" i="1"/>
  <c r="G109" i="1"/>
  <c r="L109" i="1"/>
  <c r="Q109" i="1"/>
  <c r="V109" i="1"/>
  <c r="Z109" i="1"/>
  <c r="AA109" i="1" s="1"/>
  <c r="AE109" i="1"/>
  <c r="AF109" i="1" s="1"/>
  <c r="AJ109" i="1"/>
  <c r="AK109" i="1" s="1"/>
  <c r="AO109" i="1"/>
  <c r="AP109" i="1" s="1"/>
  <c r="AU109" i="1"/>
  <c r="AY109" i="1"/>
  <c r="AZ109" i="1" s="1"/>
  <c r="BD109" i="1"/>
  <c r="BE109" i="1" s="1"/>
  <c r="BI109" i="1"/>
  <c r="BJ109" i="1" s="1"/>
  <c r="BO109" i="1"/>
  <c r="BT109" i="1"/>
  <c r="BY109" i="1"/>
  <c r="CD109" i="1"/>
  <c r="CI109" i="1"/>
  <c r="CN109" i="1"/>
  <c r="CS109" i="1"/>
  <c r="C114" i="1"/>
  <c r="C117" i="1"/>
  <c r="D114" i="1"/>
  <c r="E114" i="1"/>
  <c r="F114" i="1"/>
  <c r="G114" i="1"/>
  <c r="H114" i="1"/>
  <c r="I114" i="1"/>
  <c r="J114" i="1"/>
  <c r="I214" i="4" s="1"/>
  <c r="K114" i="1"/>
  <c r="K117" i="1" s="1"/>
  <c r="L114" i="1"/>
  <c r="M114" i="1"/>
  <c r="L214" i="4" s="1"/>
  <c r="N114" i="1"/>
  <c r="N117" i="1" s="1"/>
  <c r="O114" i="1"/>
  <c r="P114" i="1"/>
  <c r="Q114" i="1"/>
  <c r="R114" i="1"/>
  <c r="Q214" i="4" s="1"/>
  <c r="S114" i="1"/>
  <c r="T114" i="1"/>
  <c r="U114" i="1"/>
  <c r="U117" i="1"/>
  <c r="V114" i="1"/>
  <c r="W114" i="1"/>
  <c r="AA114" i="1" s="1"/>
  <c r="AA117" i="1" s="1"/>
  <c r="AF114" i="1"/>
  <c r="AU114" i="1"/>
  <c r="AU116" i="1"/>
  <c r="AZ114" i="1"/>
  <c r="BE114" i="1"/>
  <c r="BJ114" i="1"/>
  <c r="BO114" i="1"/>
  <c r="BT114" i="1"/>
  <c r="BY114" i="1"/>
  <c r="C116" i="1"/>
  <c r="G116" i="1"/>
  <c r="G117" i="1" s="1"/>
  <c r="D116" i="1"/>
  <c r="E116" i="1"/>
  <c r="E117" i="1"/>
  <c r="F116" i="1"/>
  <c r="F117" i="1" s="1"/>
  <c r="H116" i="1"/>
  <c r="L116" i="1" s="1"/>
  <c r="L117" i="1" s="1"/>
  <c r="I116" i="1"/>
  <c r="J116" i="1"/>
  <c r="K116" i="1"/>
  <c r="M116" i="1"/>
  <c r="N116" i="1"/>
  <c r="O116" i="1"/>
  <c r="Q116" i="1"/>
  <c r="Q117" i="1" s="1"/>
  <c r="P116" i="1"/>
  <c r="R116" i="1"/>
  <c r="R117" i="1" s="1"/>
  <c r="S116" i="1"/>
  <c r="V116" i="1"/>
  <c r="V117" i="1" s="1"/>
  <c r="T116" i="1"/>
  <c r="U116" i="1"/>
  <c r="W116" i="1"/>
  <c r="AA116" i="1" s="1"/>
  <c r="AF116" i="1"/>
  <c r="AZ116" i="1"/>
  <c r="BE116" i="1"/>
  <c r="BJ116" i="1"/>
  <c r="BO116" i="1"/>
  <c r="BT116" i="1"/>
  <c r="BY116" i="1"/>
  <c r="CD116" i="1"/>
  <c r="D117" i="1"/>
  <c r="M117" i="1"/>
  <c r="P117" i="1"/>
  <c r="S117" i="1"/>
  <c r="X117" i="1"/>
  <c r="Y117" i="1"/>
  <c r="Z117" i="1"/>
  <c r="AB117" i="1"/>
  <c r="AC117" i="1"/>
  <c r="AD117" i="1"/>
  <c r="AE117" i="1"/>
  <c r="AG117" i="1"/>
  <c r="AH117" i="1"/>
  <c r="AI117" i="1"/>
  <c r="AJ117" i="1"/>
  <c r="AK117" i="1"/>
  <c r="AL117" i="1"/>
  <c r="AM117" i="1"/>
  <c r="AN117" i="1"/>
  <c r="AO117" i="1"/>
  <c r="AP117" i="1"/>
  <c r="AQ117" i="1"/>
  <c r="AR117" i="1"/>
  <c r="AS117" i="1"/>
  <c r="AT117" i="1"/>
  <c r="AV117" i="1"/>
  <c r="AW117" i="1"/>
  <c r="AX117" i="1"/>
  <c r="AY117" i="1"/>
  <c r="BA117" i="1"/>
  <c r="BB117" i="1"/>
  <c r="BC117" i="1"/>
  <c r="BD117" i="1"/>
  <c r="BF117" i="1"/>
  <c r="BG117" i="1"/>
  <c r="BH117" i="1"/>
  <c r="BI117" i="1"/>
  <c r="BK117" i="1"/>
  <c r="BL117" i="1"/>
  <c r="BM117" i="1"/>
  <c r="BN117" i="1"/>
  <c r="BP117" i="1"/>
  <c r="BQ117" i="1"/>
  <c r="BR117" i="1"/>
  <c r="BS117" i="1"/>
  <c r="BU117" i="1"/>
  <c r="BV117" i="1"/>
  <c r="BW117" i="1"/>
  <c r="BX117" i="1"/>
  <c r="BZ117" i="1"/>
  <c r="CA117" i="1"/>
  <c r="CB117" i="1"/>
  <c r="C118" i="1"/>
  <c r="D118" i="1"/>
  <c r="E118" i="1"/>
  <c r="F118" i="1"/>
  <c r="G118" i="1"/>
  <c r="H118" i="1"/>
  <c r="I118" i="1"/>
  <c r="J118" i="1"/>
  <c r="K118" i="1"/>
  <c r="L118" i="1" s="1"/>
  <c r="M118" i="1"/>
  <c r="M119" i="1" s="1"/>
  <c r="N118" i="1"/>
  <c r="N119" i="1" s="1"/>
  <c r="O118" i="1"/>
  <c r="O119" i="1" s="1"/>
  <c r="P118" i="1"/>
  <c r="Q118" i="1" s="1"/>
  <c r="Q119" i="1" s="1"/>
  <c r="R118" i="1"/>
  <c r="R119" i="1"/>
  <c r="S118" i="1"/>
  <c r="S119" i="1" s="1"/>
  <c r="T118" i="1"/>
  <c r="T119" i="1"/>
  <c r="U118" i="1"/>
  <c r="V118" i="1" s="1"/>
  <c r="W118" i="1"/>
  <c r="W119" i="1"/>
  <c r="Z118" i="1"/>
  <c r="AA118" i="1" s="1"/>
  <c r="AE118" i="1"/>
  <c r="AG118" i="1" s="1"/>
  <c r="AP118" i="1"/>
  <c r="AT118" i="1"/>
  <c r="AT119" i="1" s="1"/>
  <c r="AU118" i="1"/>
  <c r="AV118" i="1"/>
  <c r="AV119" i="1" s="1"/>
  <c r="AZ118" i="1"/>
  <c r="BA118" i="1"/>
  <c r="BF119" i="1"/>
  <c r="BB118" i="1"/>
  <c r="BB119" i="1" s="1"/>
  <c r="BD118" i="1"/>
  <c r="BD63" i="2"/>
  <c r="BJ59" i="2" s="1"/>
  <c r="BE118" i="1"/>
  <c r="BE119" i="1" s="1"/>
  <c r="BJ118" i="1"/>
  <c r="BO118" i="1"/>
  <c r="BT118" i="1"/>
  <c r="BY118" i="1"/>
  <c r="BY119" i="1" s="1"/>
  <c r="U119" i="1"/>
  <c r="AB119" i="1"/>
  <c r="AC119" i="1"/>
  <c r="AD119" i="1"/>
  <c r="AQ119" i="1"/>
  <c r="AR119" i="1"/>
  <c r="AS119" i="1"/>
  <c r="AW119" i="1"/>
  <c r="AX119" i="1"/>
  <c r="BC119" i="1"/>
  <c r="BD119" i="1"/>
  <c r="BH119" i="1"/>
  <c r="BI119" i="1"/>
  <c r="BK119" i="1"/>
  <c r="BL119" i="1"/>
  <c r="BM119" i="1"/>
  <c r="BN119" i="1"/>
  <c r="BP119" i="1"/>
  <c r="BQ119" i="1"/>
  <c r="BR119" i="1"/>
  <c r="BS119" i="1"/>
  <c r="BU119" i="1"/>
  <c r="BV119" i="1"/>
  <c r="BW119" i="1"/>
  <c r="BX119" i="1"/>
  <c r="BZ119" i="1"/>
  <c r="CA119" i="1"/>
  <c r="CB119" i="1"/>
  <c r="A131" i="1"/>
  <c r="AL133" i="1"/>
  <c r="AQ133" i="1"/>
  <c r="AV133" i="1"/>
  <c r="BA133" i="1"/>
  <c r="BF133" i="1"/>
  <c r="BK133" i="1"/>
  <c r="BP133" i="1"/>
  <c r="BU133" i="1"/>
  <c r="BZ133" i="1"/>
  <c r="CE133" i="1"/>
  <c r="CJ133" i="1"/>
  <c r="CO133" i="1"/>
  <c r="H134" i="1"/>
  <c r="I134" i="1"/>
  <c r="J134" i="1"/>
  <c r="K134" i="1"/>
  <c r="L134" i="1"/>
  <c r="M134" i="1"/>
  <c r="N134" i="1"/>
  <c r="O134" i="1"/>
  <c r="P134" i="1"/>
  <c r="Q134" i="1"/>
  <c r="R134" i="1"/>
  <c r="S134" i="1"/>
  <c r="T134" i="1"/>
  <c r="U134" i="1"/>
  <c r="V134" i="1"/>
  <c r="W134" i="1"/>
  <c r="X134" i="1"/>
  <c r="Y134" i="1"/>
  <c r="Z134" i="1"/>
  <c r="AA134" i="1"/>
  <c r="AB134" i="1"/>
  <c r="AC134" i="1"/>
  <c r="AD134" i="1"/>
  <c r="AE134" i="1"/>
  <c r="AF134" i="1"/>
  <c r="AG134" i="1"/>
  <c r="AH134" i="1"/>
  <c r="AI134" i="1"/>
  <c r="AJ134" i="1"/>
  <c r="AK134" i="1"/>
  <c r="AL134" i="1"/>
  <c r="AM134" i="1"/>
  <c r="AN134" i="1"/>
  <c r="AO134" i="1"/>
  <c r="AP134" i="1"/>
  <c r="AQ134" i="1"/>
  <c r="AR134" i="1"/>
  <c r="AS134" i="1"/>
  <c r="AT134" i="1"/>
  <c r="AU134" i="1"/>
  <c r="AV134" i="1"/>
  <c r="AW134" i="1"/>
  <c r="AX134" i="1"/>
  <c r="AY134" i="1"/>
  <c r="AZ134" i="1"/>
  <c r="BA134" i="1"/>
  <c r="BB134" i="1"/>
  <c r="BC134" i="1"/>
  <c r="BD134" i="1"/>
  <c r="BE134" i="1"/>
  <c r="BF134" i="1"/>
  <c r="BG134" i="1"/>
  <c r="BH134" i="1"/>
  <c r="BI134" i="1"/>
  <c r="BJ134" i="1"/>
  <c r="BK134" i="1"/>
  <c r="BL134" i="1"/>
  <c r="BM134" i="1"/>
  <c r="BN134" i="1"/>
  <c r="BO134" i="1"/>
  <c r="BP134" i="1"/>
  <c r="BQ134" i="1"/>
  <c r="BR134" i="1"/>
  <c r="BS134" i="1"/>
  <c r="BT134" i="1"/>
  <c r="BU134" i="1"/>
  <c r="BV134" i="1"/>
  <c r="BW134" i="1"/>
  <c r="BX134" i="1"/>
  <c r="BY134" i="1"/>
  <c r="BZ134" i="1"/>
  <c r="CA134" i="1"/>
  <c r="CB134" i="1"/>
  <c r="CC134" i="1"/>
  <c r="CD134" i="1"/>
  <c r="CE134" i="1"/>
  <c r="CF134" i="1"/>
  <c r="CH134" i="1"/>
  <c r="CI134" i="1"/>
  <c r="CK134" i="1"/>
  <c r="CL134" i="1"/>
  <c r="CM134" i="1"/>
  <c r="CN134" i="1"/>
  <c r="CO134" i="1"/>
  <c r="CP134" i="1"/>
  <c r="CQ134" i="1"/>
  <c r="CR134" i="1"/>
  <c r="CS134" i="1"/>
  <c r="H137" i="1"/>
  <c r="I137" i="1"/>
  <c r="J137" i="1"/>
  <c r="M137" i="1"/>
  <c r="N137" i="1"/>
  <c r="O137" i="1"/>
  <c r="R137" i="1"/>
  <c r="S137" i="1"/>
  <c r="T137" i="1"/>
  <c r="W137" i="1"/>
  <c r="X137" i="1"/>
  <c r="Y137" i="1"/>
  <c r="AB137" i="1"/>
  <c r="AC137" i="1"/>
  <c r="AD137" i="1"/>
  <c r="AE137" i="1"/>
  <c r="AG137" i="1"/>
  <c r="AH137" i="1"/>
  <c r="AI137" i="1"/>
  <c r="AJ137" i="1"/>
  <c r="AL137" i="1"/>
  <c r="AM137" i="1"/>
  <c r="AN137" i="1"/>
  <c r="AO137" i="1"/>
  <c r="AQ137" i="1"/>
  <c r="AR137" i="1"/>
  <c r="AS137" i="1"/>
  <c r="AT137" i="1"/>
  <c r="AU137" i="1"/>
  <c r="AV137" i="1"/>
  <c r="AW137" i="1"/>
  <c r="AX137" i="1"/>
  <c r="AY137" i="1"/>
  <c r="BA137" i="1"/>
  <c r="BB137" i="1"/>
  <c r="BC137" i="1"/>
  <c r="BD137" i="1"/>
  <c r="BF137" i="1"/>
  <c r="BG137" i="1"/>
  <c r="BH137" i="1"/>
  <c r="BI137" i="1"/>
  <c r="BK137" i="1"/>
  <c r="BL137" i="1"/>
  <c r="BN137" i="1"/>
  <c r="BS137" i="1"/>
  <c r="BX137" i="1"/>
  <c r="N138" i="1"/>
  <c r="O138" i="1"/>
  <c r="P138" i="1"/>
  <c r="S138" i="1"/>
  <c r="T138" i="1"/>
  <c r="X138" i="1"/>
  <c r="Y138" i="1"/>
  <c r="AC138" i="1"/>
  <c r="AD138" i="1"/>
  <c r="AH138" i="1"/>
  <c r="AI138" i="1"/>
  <c r="AJ138" i="1"/>
  <c r="AM138" i="1"/>
  <c r="AN138" i="1"/>
  <c r="AO138" i="1"/>
  <c r="AR138" i="1"/>
  <c r="AS138" i="1"/>
  <c r="AT138" i="1"/>
  <c r="AW138" i="1"/>
  <c r="AX138" i="1"/>
  <c r="AY138" i="1"/>
  <c r="BB138" i="1"/>
  <c r="BC138" i="1"/>
  <c r="BD138" i="1"/>
  <c r="BG138" i="1"/>
  <c r="BH138" i="1"/>
  <c r="BI138" i="1"/>
  <c r="BL138" i="1"/>
  <c r="BM138" i="1"/>
  <c r="BN138" i="1"/>
  <c r="BQ138" i="1"/>
  <c r="BR138" i="1"/>
  <c r="BS138" i="1"/>
  <c r="BV138" i="1"/>
  <c r="BW138" i="1"/>
  <c r="BX138" i="1"/>
  <c r="CA138" i="1"/>
  <c r="CB138" i="1"/>
  <c r="I139" i="1"/>
  <c r="N139" i="1"/>
  <c r="T139" i="1"/>
  <c r="W139" i="1"/>
  <c r="Y139" i="1"/>
  <c r="AL139" i="1"/>
  <c r="AR139" i="1"/>
  <c r="AW139" i="1"/>
  <c r="BB139" i="1"/>
  <c r="BD139" i="1"/>
  <c r="BF139" i="1"/>
  <c r="BG139" i="1"/>
  <c r="BI139" i="1"/>
  <c r="BL139" i="1"/>
  <c r="BN139" i="1"/>
  <c r="M141" i="1"/>
  <c r="H143" i="1"/>
  <c r="I143" i="1"/>
  <c r="J143" i="1"/>
  <c r="M143" i="1"/>
  <c r="N143" i="1"/>
  <c r="O143" i="1"/>
  <c r="R143" i="1"/>
  <c r="S143" i="1"/>
  <c r="T143" i="1"/>
  <c r="W143" i="1"/>
  <c r="X143" i="1"/>
  <c r="Y143" i="1"/>
  <c r="AB143" i="1"/>
  <c r="AC143" i="1"/>
  <c r="AD143" i="1"/>
  <c r="AE143" i="1"/>
  <c r="AG143" i="1"/>
  <c r="AH143" i="1"/>
  <c r="AI143" i="1"/>
  <c r="AJ143" i="1"/>
  <c r="AL143" i="1"/>
  <c r="AM143" i="1"/>
  <c r="AN143" i="1"/>
  <c r="AO143" i="1"/>
  <c r="AQ143" i="1"/>
  <c r="AR143" i="1"/>
  <c r="AS143" i="1"/>
  <c r="AT143" i="1"/>
  <c r="AV143" i="1"/>
  <c r="AW143" i="1"/>
  <c r="AX143" i="1"/>
  <c r="AY143" i="1"/>
  <c r="BA143" i="1"/>
  <c r="BB143" i="1"/>
  <c r="BC143" i="1"/>
  <c r="BD143" i="1"/>
  <c r="BF143" i="1"/>
  <c r="BG143" i="1"/>
  <c r="BH143" i="1"/>
  <c r="BI143" i="1"/>
  <c r="BK143" i="1"/>
  <c r="BL143" i="1"/>
  <c r="BM143" i="1"/>
  <c r="BN143" i="1"/>
  <c r="BP143" i="1"/>
  <c r="BQ143" i="1"/>
  <c r="BR143" i="1"/>
  <c r="BS143" i="1"/>
  <c r="BU143" i="1"/>
  <c r="BV143" i="1"/>
  <c r="BW143" i="1"/>
  <c r="BX143" i="1"/>
  <c r="BZ143" i="1"/>
  <c r="CA143" i="1"/>
  <c r="CB143" i="1"/>
  <c r="H144" i="1"/>
  <c r="I144" i="1"/>
  <c r="J144" i="1"/>
  <c r="M144" i="1"/>
  <c r="N144" i="1"/>
  <c r="O144" i="1"/>
  <c r="R144" i="1"/>
  <c r="S144" i="1"/>
  <c r="T144" i="1"/>
  <c r="W144" i="1"/>
  <c r="X144" i="1"/>
  <c r="Y144" i="1"/>
  <c r="AB144" i="1"/>
  <c r="AC144" i="1"/>
  <c r="AD144" i="1"/>
  <c r="AG144" i="1"/>
  <c r="AH144" i="1"/>
  <c r="AI144" i="1"/>
  <c r="AJ144" i="1"/>
  <c r="AL144" i="1"/>
  <c r="AM144" i="1"/>
  <c r="AN144" i="1"/>
  <c r="AO144" i="1"/>
  <c r="AQ144" i="1"/>
  <c r="AR144" i="1"/>
  <c r="AS144" i="1"/>
  <c r="AT144" i="1"/>
  <c r="AV144" i="1"/>
  <c r="AW144" i="1"/>
  <c r="AX144" i="1"/>
  <c r="AY144" i="1"/>
  <c r="BA144" i="1"/>
  <c r="BB144" i="1"/>
  <c r="BC144" i="1"/>
  <c r="BD144" i="1"/>
  <c r="BF144" i="1"/>
  <c r="BG144" i="1"/>
  <c r="BH144" i="1"/>
  <c r="BI144" i="1"/>
  <c r="BK144" i="1"/>
  <c r="BL144" i="1"/>
  <c r="BM144" i="1"/>
  <c r="BN144" i="1"/>
  <c r="BP144" i="1"/>
  <c r="BQ144" i="1"/>
  <c r="BR144" i="1"/>
  <c r="BS144" i="1"/>
  <c r="BU144" i="1"/>
  <c r="BV144" i="1"/>
  <c r="BW144" i="1"/>
  <c r="BX144" i="1"/>
  <c r="BZ144" i="1"/>
  <c r="CA144" i="1"/>
  <c r="CB144" i="1"/>
  <c r="H145" i="1"/>
  <c r="I145" i="1"/>
  <c r="J145" i="1"/>
  <c r="M145" i="1"/>
  <c r="N145" i="1"/>
  <c r="O145" i="1"/>
  <c r="P145" i="1"/>
  <c r="R145" i="1"/>
  <c r="S145" i="1"/>
  <c r="T145" i="1"/>
  <c r="W145" i="1"/>
  <c r="X145" i="1"/>
  <c r="Y145" i="1"/>
  <c r="AB145" i="1"/>
  <c r="AC145" i="1"/>
  <c r="AD145" i="1"/>
  <c r="AG145" i="1"/>
  <c r="AH145" i="1"/>
  <c r="AI145" i="1"/>
  <c r="AJ145" i="1"/>
  <c r="AL145" i="1"/>
  <c r="AM145" i="1"/>
  <c r="AN145" i="1"/>
  <c r="AO145" i="1"/>
  <c r="AQ145" i="1"/>
  <c r="AT145" i="1"/>
  <c r="AY145" i="1"/>
  <c r="BB145" i="1"/>
  <c r="BC145" i="1"/>
  <c r="BD145" i="1"/>
  <c r="BF145" i="1"/>
  <c r="BG145" i="1"/>
  <c r="BH145" i="1"/>
  <c r="BI145" i="1"/>
  <c r="BK145" i="1"/>
  <c r="BL145" i="1"/>
  <c r="BM145" i="1"/>
  <c r="BN145" i="1"/>
  <c r="BP145" i="1"/>
  <c r="BQ145" i="1"/>
  <c r="BR145" i="1"/>
  <c r="BS145" i="1"/>
  <c r="BU145" i="1"/>
  <c r="BV145" i="1"/>
  <c r="BW145" i="1"/>
  <c r="BX145" i="1"/>
  <c r="BZ145" i="1"/>
  <c r="CA145" i="1"/>
  <c r="CB145" i="1"/>
  <c r="M146" i="1"/>
  <c r="R146" i="1"/>
  <c r="AG146" i="1"/>
  <c r="AL146" i="1"/>
  <c r="AQ146" i="1"/>
  <c r="BK146" i="1"/>
  <c r="BN146" i="1"/>
  <c r="BP146" i="1"/>
  <c r="BS146" i="1"/>
  <c r="BU146" i="1"/>
  <c r="BX146" i="1"/>
  <c r="D153" i="1"/>
  <c r="E153" i="1"/>
  <c r="F153" i="1"/>
  <c r="H153" i="1"/>
  <c r="I153" i="1"/>
  <c r="J153" i="1"/>
  <c r="K153" i="1"/>
  <c r="M153" i="1"/>
  <c r="N153" i="1"/>
  <c r="O153" i="1"/>
  <c r="R153" i="1"/>
  <c r="S153" i="1"/>
  <c r="T153" i="1"/>
  <c r="U153" i="1"/>
  <c r="W153" i="1"/>
  <c r="X153" i="1"/>
  <c r="Y153" i="1"/>
  <c r="Z153" i="1"/>
  <c r="AB153" i="1"/>
  <c r="AC153" i="1"/>
  <c r="AD153" i="1"/>
  <c r="AE153" i="1"/>
  <c r="AG153" i="1"/>
  <c r="AH153" i="1"/>
  <c r="AI153" i="1"/>
  <c r="AJ153" i="1"/>
  <c r="AL153" i="1"/>
  <c r="AM153" i="1"/>
  <c r="AN153" i="1"/>
  <c r="AO153" i="1"/>
  <c r="AQ153" i="1"/>
  <c r="AR153" i="1"/>
  <c r="AS153" i="1"/>
  <c r="AT153" i="1"/>
  <c r="AV153" i="1"/>
  <c r="AW153" i="1"/>
  <c r="AX153" i="1"/>
  <c r="AY153" i="1"/>
  <c r="BA153" i="1"/>
  <c r="BB153" i="1"/>
  <c r="BC153" i="1"/>
  <c r="BD153" i="1"/>
  <c r="BF153" i="1"/>
  <c r="BG153" i="1"/>
  <c r="BH153" i="1"/>
  <c r="BI153" i="1"/>
  <c r="BK153" i="1"/>
  <c r="BL153" i="1"/>
  <c r="BM153" i="1"/>
  <c r="BN153" i="1"/>
  <c r="BR153" i="1"/>
  <c r="BS153" i="1"/>
  <c r="BX153" i="1"/>
  <c r="BZ153" i="1"/>
  <c r="CA153" i="1"/>
  <c r="CB153" i="1"/>
  <c r="J154" i="1"/>
  <c r="K154" i="1"/>
  <c r="M154" i="1"/>
  <c r="N154" i="1"/>
  <c r="O154" i="1"/>
  <c r="P154" i="1"/>
  <c r="S154" i="1"/>
  <c r="T154" i="1"/>
  <c r="U154" i="1"/>
  <c r="X154" i="1"/>
  <c r="Y154" i="1"/>
  <c r="AC154" i="1"/>
  <c r="AD154" i="1"/>
  <c r="AE154" i="1"/>
  <c r="AG154" i="1"/>
  <c r="AH154" i="1"/>
  <c r="AI154" i="1"/>
  <c r="AJ154" i="1"/>
  <c r="AL154" i="1"/>
  <c r="AM154" i="1"/>
  <c r="AN154" i="1"/>
  <c r="AO154" i="1"/>
  <c r="AQ154" i="1"/>
  <c r="AR154" i="1"/>
  <c r="AS154" i="1"/>
  <c r="AT154" i="1"/>
  <c r="AV154" i="1"/>
  <c r="AW154" i="1"/>
  <c r="AX154" i="1"/>
  <c r="AY154" i="1"/>
  <c r="BA154" i="1"/>
  <c r="BB154" i="1"/>
  <c r="BC154" i="1"/>
  <c r="BD154" i="1"/>
  <c r="BF154" i="1"/>
  <c r="BG154" i="1"/>
  <c r="BH154" i="1"/>
  <c r="BI154" i="1"/>
  <c r="BK154" i="1"/>
  <c r="BL154" i="1"/>
  <c r="BM154" i="1"/>
  <c r="BN154" i="1"/>
  <c r="BP154" i="1"/>
  <c r="BQ154" i="1"/>
  <c r="BR154" i="1"/>
  <c r="BS154" i="1"/>
  <c r="BU154" i="1"/>
  <c r="BV154" i="1"/>
  <c r="BW154" i="1"/>
  <c r="BX154" i="1"/>
  <c r="BZ154" i="1"/>
  <c r="CA154" i="1"/>
  <c r="CB154" i="1"/>
  <c r="CC154" i="1"/>
  <c r="J155" i="1"/>
  <c r="M155" i="1"/>
  <c r="AD155" i="1"/>
  <c r="AN155" i="1"/>
  <c r="AR155" i="1"/>
  <c r="AX155" i="1"/>
  <c r="BB155" i="1"/>
  <c r="BL155" i="1"/>
  <c r="T157" i="1"/>
  <c r="D159" i="1"/>
  <c r="E159" i="1"/>
  <c r="F159" i="1"/>
  <c r="H159" i="1"/>
  <c r="I159" i="1"/>
  <c r="J159" i="1"/>
  <c r="N159" i="1"/>
  <c r="O159" i="1"/>
  <c r="S159" i="1"/>
  <c r="T159" i="1"/>
  <c r="X159" i="1"/>
  <c r="Y159" i="1"/>
  <c r="Z159" i="1"/>
  <c r="AB159" i="1"/>
  <c r="AC159" i="1"/>
  <c r="AD159" i="1"/>
  <c r="AE159" i="1"/>
  <c r="AG159" i="1"/>
  <c r="AH159" i="1"/>
  <c r="AI159" i="1"/>
  <c r="AJ159" i="1"/>
  <c r="AL159" i="1"/>
  <c r="AM159" i="1"/>
  <c r="AN159" i="1"/>
  <c r="AO159" i="1"/>
  <c r="AQ159" i="1"/>
  <c r="AR159" i="1"/>
  <c r="AS159" i="1"/>
  <c r="AT159" i="1"/>
  <c r="AV159" i="1"/>
  <c r="AW159" i="1"/>
  <c r="AX159" i="1"/>
  <c r="AY159" i="1"/>
  <c r="BA159" i="1"/>
  <c r="BB159" i="1"/>
  <c r="BC159" i="1"/>
  <c r="BD159" i="1"/>
  <c r="BF159" i="1"/>
  <c r="BG159" i="1"/>
  <c r="BH159" i="1"/>
  <c r="BI159" i="1"/>
  <c r="BK159" i="1"/>
  <c r="BL159" i="1"/>
  <c r="BM159" i="1"/>
  <c r="BN159" i="1"/>
  <c r="BP159" i="1"/>
  <c r="BQ159" i="1"/>
  <c r="BR159" i="1"/>
  <c r="BS159" i="1"/>
  <c r="BU159" i="1"/>
  <c r="BV159" i="1"/>
  <c r="BW159" i="1"/>
  <c r="BX159" i="1"/>
  <c r="BZ159" i="1"/>
  <c r="CA159" i="1"/>
  <c r="CB159" i="1"/>
  <c r="D160" i="1"/>
  <c r="E160" i="1"/>
  <c r="I160" i="1"/>
  <c r="J160" i="1"/>
  <c r="K160" i="1"/>
  <c r="M160" i="1"/>
  <c r="N160" i="1"/>
  <c r="O160" i="1"/>
  <c r="S160" i="1"/>
  <c r="T160" i="1"/>
  <c r="X160" i="1"/>
  <c r="Y160" i="1"/>
  <c r="AC160" i="1"/>
  <c r="AD160" i="1"/>
  <c r="AE160" i="1"/>
  <c r="AG160" i="1"/>
  <c r="AH160" i="1"/>
  <c r="AI160" i="1"/>
  <c r="AJ160" i="1"/>
  <c r="AL160" i="1"/>
  <c r="AM160" i="1"/>
  <c r="AN160" i="1"/>
  <c r="AO160" i="1"/>
  <c r="AQ160" i="1"/>
  <c r="AR160" i="1"/>
  <c r="AS160" i="1"/>
  <c r="AT160" i="1"/>
  <c r="AV160" i="1"/>
  <c r="AW160" i="1"/>
  <c r="AX160" i="1"/>
  <c r="AY160" i="1"/>
  <c r="BA160" i="1"/>
  <c r="BB160" i="1"/>
  <c r="BC160" i="1"/>
  <c r="BD160" i="1"/>
  <c r="BF160" i="1"/>
  <c r="BG160" i="1"/>
  <c r="BH160" i="1"/>
  <c r="BI160" i="1"/>
  <c r="BK160" i="1"/>
  <c r="BL160" i="1"/>
  <c r="BM160" i="1"/>
  <c r="BN160" i="1"/>
  <c r="BP160" i="1"/>
  <c r="BQ160" i="1"/>
  <c r="BR160" i="1"/>
  <c r="BS160" i="1"/>
  <c r="BU160" i="1"/>
  <c r="BV160" i="1"/>
  <c r="BW160" i="1"/>
  <c r="BX160" i="1"/>
  <c r="BZ160" i="1"/>
  <c r="CA160" i="1"/>
  <c r="CB160" i="1"/>
  <c r="D161" i="1"/>
  <c r="E161" i="1"/>
  <c r="I161" i="1"/>
  <c r="J161" i="1"/>
  <c r="K161" i="1"/>
  <c r="M161" i="1"/>
  <c r="N161" i="1"/>
  <c r="O161" i="1"/>
  <c r="P161" i="1"/>
  <c r="R161" i="1"/>
  <c r="S161" i="1"/>
  <c r="T161" i="1"/>
  <c r="X161" i="1"/>
  <c r="Y161" i="1"/>
  <c r="AC161" i="1"/>
  <c r="AD161" i="1"/>
  <c r="AE161" i="1"/>
  <c r="AG161" i="1"/>
  <c r="AH161" i="1"/>
  <c r="AI161" i="1"/>
  <c r="AJ161" i="1"/>
  <c r="AL161" i="1"/>
  <c r="AM161" i="1"/>
  <c r="AN161" i="1"/>
  <c r="AO161" i="1"/>
  <c r="AQ161" i="1"/>
  <c r="AX161" i="1"/>
  <c r="AY161" i="1"/>
  <c r="BA161" i="1"/>
  <c r="BB161" i="1"/>
  <c r="BC161" i="1"/>
  <c r="BD161" i="1"/>
  <c r="BF161" i="1"/>
  <c r="BG161" i="1"/>
  <c r="BH161" i="1"/>
  <c r="BI161" i="1"/>
  <c r="BK161" i="1"/>
  <c r="BL161" i="1"/>
  <c r="BM161" i="1"/>
  <c r="BN161" i="1"/>
  <c r="BP161" i="1"/>
  <c r="BQ161" i="1"/>
  <c r="BR161" i="1"/>
  <c r="BS161" i="1"/>
  <c r="BU161" i="1"/>
  <c r="BV161" i="1"/>
  <c r="BW161" i="1"/>
  <c r="BX161" i="1"/>
  <c r="BZ161" i="1"/>
  <c r="CA161" i="1"/>
  <c r="CB161" i="1"/>
  <c r="I162" i="1"/>
  <c r="S162" i="1"/>
  <c r="T162" i="1"/>
  <c r="Y162" i="1"/>
  <c r="AG162" i="1"/>
  <c r="AL162" i="1"/>
  <c r="BC162" i="1"/>
  <c r="BK162" i="1"/>
  <c r="BN162" i="1"/>
  <c r="BP162" i="1"/>
  <c r="BU162" i="1"/>
  <c r="BV162" i="1"/>
  <c r="A169" i="1"/>
  <c r="C169" i="1"/>
  <c r="D169" i="1"/>
  <c r="E169" i="1"/>
  <c r="I169" i="1"/>
  <c r="K169" i="1"/>
  <c r="N169" i="1"/>
  <c r="R169" i="1"/>
  <c r="T169" i="1"/>
  <c r="W169" i="1"/>
  <c r="Y169" i="1"/>
  <c r="AC169" i="1"/>
  <c r="AE169" i="1"/>
  <c r="AH169" i="1"/>
  <c r="AJ169" i="1"/>
  <c r="AM169" i="1"/>
  <c r="AN169" i="1"/>
  <c r="AR169" i="1"/>
  <c r="AV169" i="1"/>
  <c r="AW169" i="1"/>
  <c r="AY169" i="1"/>
  <c r="BB169" i="1"/>
  <c r="BD169" i="1"/>
  <c r="BG169" i="1"/>
  <c r="BI169" i="1"/>
  <c r="BL169" i="1"/>
  <c r="BN169" i="1"/>
  <c r="BQ169" i="1"/>
  <c r="CA169" i="1"/>
  <c r="A170" i="1"/>
  <c r="D170" i="1"/>
  <c r="E170" i="1"/>
  <c r="I170" i="1"/>
  <c r="J170" i="1"/>
  <c r="K170" i="1"/>
  <c r="N170" i="1"/>
  <c r="R170" i="1"/>
  <c r="T170" i="1"/>
  <c r="W170" i="1"/>
  <c r="Y170" i="1"/>
  <c r="AE170" i="1"/>
  <c r="AH170" i="1"/>
  <c r="AI170" i="1"/>
  <c r="AJ170" i="1"/>
  <c r="AM170" i="1"/>
  <c r="AO170" i="1"/>
  <c r="AR170" i="1"/>
  <c r="AT170" i="1"/>
  <c r="AW170" i="1"/>
  <c r="AY170" i="1"/>
  <c r="BA170" i="1"/>
  <c r="BB170" i="1"/>
  <c r="BD170" i="1"/>
  <c r="BG170" i="1"/>
  <c r="BI170" i="1"/>
  <c r="BL170" i="1"/>
  <c r="BN170" i="1"/>
  <c r="CA170" i="1"/>
  <c r="A171" i="1"/>
  <c r="E171" i="1"/>
  <c r="I171" i="1"/>
  <c r="J171" i="1"/>
  <c r="K171" i="1"/>
  <c r="N171" i="1"/>
  <c r="O171" i="1"/>
  <c r="R171" i="1"/>
  <c r="T171" i="1"/>
  <c r="W171" i="1"/>
  <c r="Y171" i="1"/>
  <c r="AE171" i="1"/>
  <c r="AG171" i="1"/>
  <c r="AH171" i="1"/>
  <c r="AJ171" i="1"/>
  <c r="AM171" i="1"/>
  <c r="AQ171" i="1"/>
  <c r="AT171" i="1"/>
  <c r="AW171" i="1"/>
  <c r="AX171" i="1"/>
  <c r="AY171" i="1"/>
  <c r="BB171" i="1"/>
  <c r="BC171" i="1"/>
  <c r="BD171" i="1"/>
  <c r="BG171" i="1"/>
  <c r="BH171" i="1"/>
  <c r="BI171" i="1"/>
  <c r="BL171" i="1"/>
  <c r="BM171" i="1"/>
  <c r="BN171" i="1"/>
  <c r="BR171" i="1"/>
  <c r="BS171" i="1"/>
  <c r="CA171" i="1"/>
  <c r="D172" i="1"/>
  <c r="E172" i="1"/>
  <c r="I172" i="1"/>
  <c r="J172" i="1"/>
  <c r="K172" i="1"/>
  <c r="N172" i="1"/>
  <c r="R172" i="1"/>
  <c r="T172" i="1"/>
  <c r="Y172" i="1"/>
  <c r="AE172" i="1"/>
  <c r="AJ172" i="1"/>
  <c r="AQ172" i="1"/>
  <c r="AW172" i="1"/>
  <c r="BB172" i="1"/>
  <c r="BI172" i="1"/>
  <c r="BK172" i="1"/>
  <c r="BN172" i="1"/>
  <c r="AA176" i="1"/>
  <c r="W176" i="1" s="1"/>
  <c r="AF176" i="1"/>
  <c r="AB176" i="1"/>
  <c r="AC176" i="1" s="1"/>
  <c r="AD176" i="1" s="1"/>
  <c r="AE176" i="1" s="1"/>
  <c r="AK176" i="1"/>
  <c r="AG176" i="1"/>
  <c r="AH176" i="1" s="1"/>
  <c r="AG180" i="1"/>
  <c r="AM180" i="1"/>
  <c r="BF180" i="1"/>
  <c r="BK180" i="1"/>
  <c r="H184" i="1"/>
  <c r="I184" i="1"/>
  <c r="J184" i="1"/>
  <c r="M184" i="1"/>
  <c r="S184" i="1"/>
  <c r="W184" i="1"/>
  <c r="X184" i="1"/>
  <c r="Y184" i="1"/>
  <c r="Z184" i="1"/>
  <c r="AB184" i="1"/>
  <c r="AC184" i="1"/>
  <c r="AD184" i="1"/>
  <c r="AE184" i="1"/>
  <c r="AG184" i="1"/>
  <c r="AH184" i="1"/>
  <c r="AI184" i="1"/>
  <c r="AJ184" i="1"/>
  <c r="AL184" i="1"/>
  <c r="AM184" i="1"/>
  <c r="AN184" i="1"/>
  <c r="AO184" i="1"/>
  <c r="AQ184" i="1"/>
  <c r="AR184" i="1"/>
  <c r="AS184" i="1"/>
  <c r="AT184" i="1"/>
  <c r="AV184" i="1"/>
  <c r="AW184" i="1"/>
  <c r="AX184" i="1"/>
  <c r="AY184" i="1"/>
  <c r="BA184" i="1"/>
  <c r="BB184" i="1"/>
  <c r="BC184" i="1"/>
  <c r="BD184" i="1"/>
  <c r="BF184" i="1"/>
  <c r="BG184" i="1"/>
  <c r="BH184" i="1"/>
  <c r="BI184" i="1"/>
  <c r="BK184" i="1"/>
  <c r="BL184" i="1"/>
  <c r="BM184" i="1"/>
  <c r="BN184" i="1"/>
  <c r="BP184" i="1"/>
  <c r="BQ184" i="1"/>
  <c r="BR184" i="1"/>
  <c r="BS184" i="1"/>
  <c r="BU184" i="1"/>
  <c r="BV184" i="1"/>
  <c r="BW184" i="1"/>
  <c r="BX184" i="1"/>
  <c r="BZ184" i="1"/>
  <c r="CA184" i="1"/>
  <c r="CB184" i="1"/>
  <c r="BD186" i="1"/>
  <c r="BI186" i="1"/>
  <c r="BN186" i="1"/>
  <c r="BS186" i="1"/>
  <c r="BX186" i="1"/>
  <c r="CC186" i="1"/>
  <c r="CM186" i="1"/>
  <c r="CR186" i="1"/>
  <c r="C190" i="1"/>
  <c r="D190" i="1"/>
  <c r="E190" i="1"/>
  <c r="F190" i="1"/>
  <c r="G190" i="1"/>
  <c r="H190" i="1"/>
  <c r="I190" i="1"/>
  <c r="J190" i="1"/>
  <c r="K190" i="1"/>
  <c r="M190" i="1"/>
  <c r="N190" i="1"/>
  <c r="O190" i="1"/>
  <c r="P190" i="1"/>
  <c r="R190" i="1"/>
  <c r="S190" i="1"/>
  <c r="T190" i="1"/>
  <c r="U190" i="1"/>
  <c r="V190" i="1"/>
  <c r="W190" i="1"/>
  <c r="X190" i="1"/>
  <c r="Y190" i="1"/>
  <c r="Z190" i="1"/>
  <c r="AA190" i="1"/>
  <c r="AB190" i="1"/>
  <c r="AC190" i="1"/>
  <c r="AD190" i="1"/>
  <c r="AE190" i="1"/>
  <c r="AG190" i="1"/>
  <c r="AH190" i="1"/>
  <c r="AI190" i="1"/>
  <c r="AJ190" i="1"/>
  <c r="AL190" i="1"/>
  <c r="AM190" i="1"/>
  <c r="AN190" i="1"/>
  <c r="AO190" i="1"/>
  <c r="AP190" i="1"/>
  <c r="AQ190" i="1"/>
  <c r="AR190" i="1"/>
  <c r="AS190" i="1"/>
  <c r="AT190" i="1"/>
  <c r="AU190" i="1"/>
  <c r="AV190" i="1"/>
  <c r="AW190" i="1"/>
  <c r="AX190" i="1"/>
  <c r="AY190" i="1"/>
  <c r="AZ190" i="1"/>
  <c r="BA190" i="1"/>
  <c r="BB190" i="1"/>
  <c r="BC190" i="1"/>
  <c r="BD190" i="1"/>
  <c r="BF190" i="1"/>
  <c r="BG190" i="1"/>
  <c r="BH190" i="1"/>
  <c r="BI190" i="1"/>
  <c r="BJ190" i="1"/>
  <c r="BK190" i="1"/>
  <c r="BL190" i="1"/>
  <c r="BM190" i="1"/>
  <c r="BN190" i="1"/>
  <c r="BO190" i="1"/>
  <c r="BP190" i="1"/>
  <c r="BQ190" i="1"/>
  <c r="BR190" i="1"/>
  <c r="BS190" i="1"/>
  <c r="BT190" i="1"/>
  <c r="BU190" i="1"/>
  <c r="BV190" i="1"/>
  <c r="BW190" i="1"/>
  <c r="BX190" i="1"/>
  <c r="BZ190" i="1"/>
  <c r="CA190" i="1"/>
  <c r="CB190" i="1"/>
  <c r="H192" i="1"/>
  <c r="I192" i="1"/>
  <c r="J192" i="1"/>
  <c r="K192" i="1"/>
  <c r="M192" i="1"/>
  <c r="N192" i="1"/>
  <c r="O192" i="1"/>
  <c r="P192" i="1"/>
  <c r="R192" i="1"/>
  <c r="S192" i="1"/>
  <c r="T192" i="1"/>
  <c r="U192" i="1"/>
  <c r="W192" i="1"/>
  <c r="X192" i="1"/>
  <c r="Y192" i="1"/>
  <c r="Z192" i="1"/>
  <c r="AB192" i="1"/>
  <c r="AC192" i="1"/>
  <c r="AD192" i="1"/>
  <c r="AE192" i="1"/>
  <c r="AG192" i="1"/>
  <c r="AH192" i="1"/>
  <c r="AI192" i="1"/>
  <c r="AJ192" i="1"/>
  <c r="AL192" i="1"/>
  <c r="AM192" i="1"/>
  <c r="AN192" i="1"/>
  <c r="AO192" i="1"/>
  <c r="AQ192" i="1"/>
  <c r="AR192" i="1"/>
  <c r="AS192" i="1"/>
  <c r="AT192" i="1"/>
  <c r="AV192" i="1"/>
  <c r="AW192" i="1"/>
  <c r="AX192" i="1"/>
  <c r="AY192" i="1"/>
  <c r="BA192" i="1"/>
  <c r="BB192" i="1"/>
  <c r="BC192" i="1"/>
  <c r="BD192" i="1"/>
  <c r="BF192" i="1"/>
  <c r="BG192" i="1"/>
  <c r="BH192" i="1"/>
  <c r="BI192" i="1"/>
  <c r="BK192" i="1"/>
  <c r="BL192" i="1"/>
  <c r="BM192" i="1"/>
  <c r="BN192" i="1"/>
  <c r="BP192" i="1"/>
  <c r="BQ192" i="1"/>
  <c r="BR192" i="1"/>
  <c r="BS192" i="1"/>
  <c r="BU192" i="1"/>
  <c r="BV192" i="1"/>
  <c r="BW192" i="1"/>
  <c r="BX192" i="1"/>
  <c r="BZ192" i="1"/>
  <c r="CA192" i="1"/>
  <c r="CB192" i="1"/>
  <c r="H193" i="1"/>
  <c r="I193" i="1"/>
  <c r="J193" i="1"/>
  <c r="K193" i="1"/>
  <c r="M193" i="1"/>
  <c r="N193" i="1"/>
  <c r="O193" i="1"/>
  <c r="P193" i="1"/>
  <c r="R193" i="1"/>
  <c r="S193" i="1"/>
  <c r="T193" i="1"/>
  <c r="U193" i="1"/>
  <c r="W193" i="1"/>
  <c r="X193" i="1"/>
  <c r="Y193" i="1"/>
  <c r="Z193" i="1"/>
  <c r="AB193" i="1"/>
  <c r="AC193" i="1"/>
  <c r="AD193" i="1"/>
  <c r="AE193" i="1"/>
  <c r="AG193" i="1"/>
  <c r="AH193" i="1"/>
  <c r="AI193" i="1"/>
  <c r="AJ193" i="1"/>
  <c r="AL193" i="1"/>
  <c r="AM193" i="1"/>
  <c r="AN193" i="1"/>
  <c r="AO193" i="1"/>
  <c r="AQ193" i="1"/>
  <c r="AR193" i="1"/>
  <c r="AS193" i="1"/>
  <c r="AT193" i="1"/>
  <c r="AV193" i="1"/>
  <c r="AW193" i="1"/>
  <c r="AX193" i="1"/>
  <c r="AY193" i="1"/>
  <c r="BA193" i="1"/>
  <c r="BB193" i="1"/>
  <c r="BC193" i="1"/>
  <c r="BD193" i="1"/>
  <c r="BF193" i="1"/>
  <c r="BG193" i="1"/>
  <c r="BH193" i="1"/>
  <c r="BI193" i="1"/>
  <c r="BK193" i="1"/>
  <c r="BL193" i="1"/>
  <c r="BM193" i="1"/>
  <c r="BN193" i="1"/>
  <c r="BP193" i="1"/>
  <c r="BQ193" i="1"/>
  <c r="BR193" i="1"/>
  <c r="BS193" i="1"/>
  <c r="BU193" i="1"/>
  <c r="BV193" i="1"/>
  <c r="BW193" i="1"/>
  <c r="BX193" i="1"/>
  <c r="BZ193" i="1"/>
  <c r="CA193" i="1"/>
  <c r="CB193" i="1"/>
  <c r="CC193" i="1"/>
  <c r="E195" i="1"/>
  <c r="H195" i="1"/>
  <c r="J195" i="1"/>
  <c r="M195" i="1"/>
  <c r="R195" i="1"/>
  <c r="T195" i="1"/>
  <c r="AI195" i="1"/>
  <c r="AQ195" i="1"/>
  <c r="AT195" i="1"/>
  <c r="AW195" i="1"/>
  <c r="AX195" i="1"/>
  <c r="BB195" i="1"/>
  <c r="BF195" i="1"/>
  <c r="H197" i="1"/>
  <c r="I197" i="1"/>
  <c r="J197" i="1"/>
  <c r="K197" i="1"/>
  <c r="M197" i="1"/>
  <c r="N197" i="1"/>
  <c r="O197" i="1"/>
  <c r="P197" i="1"/>
  <c r="S197" i="1"/>
  <c r="T197" i="1"/>
  <c r="W197" i="1"/>
  <c r="X197" i="1"/>
  <c r="Y197" i="1"/>
  <c r="AT197" i="1"/>
  <c r="AV197" i="1"/>
  <c r="BA197" i="1"/>
  <c r="BC197" i="1"/>
  <c r="BD197" i="1"/>
  <c r="BF197" i="1"/>
  <c r="BH197" i="1"/>
  <c r="BI197" i="1"/>
  <c r="BK197" i="1"/>
  <c r="BM197" i="1"/>
  <c r="BN197" i="1"/>
  <c r="BP197" i="1"/>
  <c r="BR197" i="1"/>
  <c r="BS197" i="1"/>
  <c r="BU197" i="1"/>
  <c r="BW197" i="1"/>
  <c r="BX197" i="1"/>
  <c r="BZ197" i="1"/>
  <c r="H200" i="1"/>
  <c r="I200" i="1"/>
  <c r="J200" i="1"/>
  <c r="K200" i="1"/>
  <c r="M200" i="1"/>
  <c r="N200" i="1"/>
  <c r="O200" i="1"/>
  <c r="P200" i="1"/>
  <c r="R200" i="1"/>
  <c r="S200" i="1"/>
  <c r="T200" i="1"/>
  <c r="U200" i="1"/>
  <c r="BK208" i="1"/>
  <c r="BL208" i="1"/>
  <c r="BL210" i="1" s="1"/>
  <c r="BM208" i="1"/>
  <c r="BN208" i="1"/>
  <c r="BN210" i="1" s="1"/>
  <c r="BP208" i="1"/>
  <c r="BQ208" i="1"/>
  <c r="BR208" i="1"/>
  <c r="BR210" i="1" s="1"/>
  <c r="BS208" i="1"/>
  <c r="BU208" i="1"/>
  <c r="BV208" i="1"/>
  <c r="BW208" i="1"/>
  <c r="BW210" i="1" s="1"/>
  <c r="BX208" i="1"/>
  <c r="BZ208" i="1"/>
  <c r="CA208" i="1"/>
  <c r="CA209" i="1" s="1"/>
  <c r="CB208" i="1"/>
  <c r="CC208" i="1"/>
  <c r="BL211" i="1"/>
  <c r="BN211" i="1"/>
  <c r="BQ211" i="1"/>
  <c r="BR211" i="1"/>
  <c r="BW211" i="1"/>
  <c r="CA211" i="1"/>
  <c r="BP227" i="1"/>
  <c r="BQ227" i="1"/>
  <c r="BR227" i="1"/>
  <c r="BS227" i="1"/>
  <c r="BU227" i="1"/>
  <c r="BV227" i="1"/>
  <c r="BW227" i="1"/>
  <c r="BX227" i="1"/>
  <c r="BY227" i="1"/>
  <c r="BZ227" i="1"/>
  <c r="CA227" i="1"/>
  <c r="CB227" i="1"/>
  <c r="CC227" i="1"/>
  <c r="CD227" i="1"/>
  <c r="CE227" i="1"/>
  <c r="CF227" i="1"/>
  <c r="CG227" i="1"/>
  <c r="CH227" i="1"/>
  <c r="CJ227" i="1"/>
  <c r="CK227" i="1"/>
  <c r="CM227" i="1"/>
  <c r="CD36" i="3"/>
  <c r="BZ59" i="2"/>
  <c r="BZ62" i="2" s="1"/>
  <c r="BY63" i="2"/>
  <c r="BX64" i="2"/>
  <c r="AE13" i="3"/>
  <c r="CD78" i="1"/>
  <c r="AO98" i="3"/>
  <c r="AR10" i="3"/>
  <c r="AR64" i="3" s="1"/>
  <c r="CD114" i="1"/>
  <c r="I75" i="447" s="1"/>
  <c r="CD36" i="1"/>
  <c r="CC138" i="1"/>
  <c r="CB74" i="3"/>
  <c r="AF12" i="3"/>
  <c r="CB64" i="3"/>
  <c r="CA218" i="4" s="1"/>
  <c r="BO63" i="2"/>
  <c r="CD48" i="3"/>
  <c r="CC102" i="3"/>
  <c r="AY76" i="3"/>
  <c r="AG65" i="3"/>
  <c r="AH11" i="3"/>
  <c r="AI11" i="3" s="1"/>
  <c r="AI10" i="3" s="1"/>
  <c r="BW59" i="2"/>
  <c r="BK59" i="2"/>
  <c r="BO59" i="2"/>
  <c r="CD13" i="3"/>
  <c r="CC67" i="3"/>
  <c r="CC77" i="2"/>
  <c r="AM11" i="3"/>
  <c r="AL65" i="3"/>
  <c r="CB77" i="2"/>
  <c r="BP59" i="2"/>
  <c r="CB102" i="3"/>
  <c r="AX76" i="3"/>
  <c r="CC99" i="3"/>
  <c r="CC76" i="2"/>
  <c r="D39" i="8"/>
  <c r="D9" i="8" s="1"/>
  <c r="CC153" i="1"/>
  <c r="CC137" i="1"/>
  <c r="W55" i="1"/>
  <c r="M55" i="1"/>
  <c r="U51" i="1"/>
  <c r="Z47" i="1"/>
  <c r="K47" i="1"/>
  <c r="F47" i="1"/>
  <c r="AE46" i="1"/>
  <c r="CL40" i="1"/>
  <c r="BY22" i="1"/>
  <c r="BT119" i="1"/>
  <c r="H51" i="1"/>
  <c r="K23" i="1"/>
  <c r="U54" i="1"/>
  <c r="W51" i="1"/>
  <c r="AV25" i="1"/>
  <c r="AB70" i="2"/>
  <c r="AB69" i="2"/>
  <c r="AB83" i="2"/>
  <c r="AY93" i="3"/>
  <c r="AL76" i="2"/>
  <c r="AS100" i="3"/>
  <c r="AW98" i="3"/>
  <c r="AW97" i="3"/>
  <c r="AW82" i="2" s="1"/>
  <c r="BR91" i="3"/>
  <c r="AR91" i="3"/>
  <c r="AJ91" i="3"/>
  <c r="AC89" i="3"/>
  <c r="AS37" i="3"/>
  <c r="AP30" i="3"/>
  <c r="AO32" i="3"/>
  <c r="BZ195" i="1"/>
  <c r="BU195" i="1"/>
  <c r="BY221" i="4"/>
  <c r="BT221" i="4"/>
  <c r="AR221" i="4"/>
  <c r="AK221" i="4"/>
  <c r="AG126" i="2"/>
  <c r="AJ104" i="3"/>
  <c r="AW102" i="3"/>
  <c r="AW99" i="3"/>
  <c r="AW76" i="2" s="1"/>
  <c r="AW78" i="2" s="1"/>
  <c r="AR92" i="3"/>
  <c r="BH90" i="3"/>
  <c r="BG89" i="3"/>
  <c r="BG195" i="1" s="1"/>
  <c r="AT77" i="3"/>
  <c r="AJ76" i="3"/>
  <c r="AX69" i="3"/>
  <c r="AP31" i="3"/>
  <c r="BG90" i="3"/>
  <c r="BG133" i="2" s="1"/>
  <c r="AS195" i="1"/>
  <c r="AL195" i="1"/>
  <c r="AB195" i="1"/>
  <c r="D195" i="1"/>
  <c r="AS126" i="2"/>
  <c r="BB104" i="3"/>
  <c r="AW101" i="3"/>
  <c r="BS91" i="3"/>
  <c r="BB91" i="3"/>
  <c r="AD89" i="3"/>
  <c r="AX71" i="3"/>
  <c r="CD212" i="4"/>
  <c r="CE193" i="1"/>
  <c r="BZ20" i="1"/>
  <c r="CE137" i="1"/>
  <c r="BB157" i="1"/>
  <c r="Z22" i="1"/>
  <c r="CE153" i="1"/>
  <c r="BG26" i="1"/>
  <c r="AW25" i="1"/>
  <c r="BZ19" i="1"/>
  <c r="AK163" i="310"/>
  <c r="W231" i="310"/>
  <c r="U231" i="310"/>
  <c r="V229" i="310"/>
  <c r="BL29" i="310"/>
  <c r="BY11" i="310"/>
  <c r="H55" i="447" s="1"/>
  <c r="U227" i="310"/>
  <c r="CB63" i="310"/>
  <c r="BC63" i="310"/>
  <c r="AX62" i="310"/>
  <c r="BC58" i="310"/>
  <c r="BA201" i="310"/>
  <c r="AO185" i="310"/>
  <c r="AO183" i="310"/>
  <c r="AS146" i="310"/>
  <c r="CA63" i="310"/>
  <c r="BH63" i="310"/>
  <c r="BC62" i="310"/>
  <c r="BT55" i="310"/>
  <c r="AQ52" i="310"/>
  <c r="BC40" i="310"/>
  <c r="BC32" i="310"/>
  <c r="BB15" i="310"/>
  <c r="AB216" i="310"/>
  <c r="AY196" i="310"/>
  <c r="AK196" i="310"/>
  <c r="AO184" i="310"/>
  <c r="AU176" i="310"/>
  <c r="AW173" i="310"/>
  <c r="AS164" i="310"/>
  <c r="AY162" i="310"/>
  <c r="BG63" i="310"/>
  <c r="BH62" i="310"/>
  <c r="BB62" i="310"/>
  <c r="AZ49" i="310"/>
  <c r="BE18" i="310"/>
  <c r="AV85" i="310"/>
  <c r="V225" i="310"/>
  <c r="V249" i="310" s="1"/>
  <c r="Z154" i="310"/>
  <c r="BK133" i="310"/>
  <c r="BP133" i="310" s="1"/>
  <c r="BU133" i="310" s="1"/>
  <c r="BZ133" i="310" s="1"/>
  <c r="CE133" i="310" s="1"/>
  <c r="CJ133" i="310" s="1"/>
  <c r="CO133" i="310" s="1"/>
  <c r="CT133" i="310" s="1"/>
  <c r="AU127" i="310"/>
  <c r="CA62" i="310"/>
  <c r="BN62" i="310"/>
  <c r="AZ55" i="310"/>
  <c r="CA40" i="310"/>
  <c r="CB33" i="310"/>
  <c r="BP33" i="310"/>
  <c r="BK15" i="310"/>
  <c r="AU169" i="310"/>
  <c r="AY116" i="310"/>
  <c r="BX62" i="310"/>
  <c r="BS58" i="310"/>
  <c r="BN58" i="310"/>
  <c r="AQ57" i="310"/>
  <c r="BV15" i="310"/>
  <c r="AW15" i="310"/>
  <c r="CD11" i="310"/>
  <c r="I55" i="447" s="1"/>
  <c r="AG214" i="310"/>
  <c r="BA180" i="310"/>
  <c r="AK162" i="310"/>
  <c r="AE155" i="310"/>
  <c r="AB154" i="310"/>
  <c r="CD118" i="1"/>
  <c r="CD119" i="1" s="1"/>
  <c r="AY43" i="3"/>
  <c r="AZ43" i="3" s="1"/>
  <c r="AX97" i="3"/>
  <c r="AX82" i="2" s="1"/>
  <c r="Q73" i="3"/>
  <c r="BX212" i="4"/>
  <c r="BD212" i="4"/>
  <c r="AJ212" i="4"/>
  <c r="P212" i="4"/>
  <c r="BY102" i="2"/>
  <c r="BE102" i="2"/>
  <c r="AK102" i="2"/>
  <c r="Q102" i="2"/>
  <c r="BV15" i="2"/>
  <c r="BV24" i="2" s="1"/>
  <c r="BU199" i="4" s="1"/>
  <c r="AC51" i="2"/>
  <c r="AC52" i="2"/>
  <c r="BN212" i="4"/>
  <c r="AT212" i="4"/>
  <c r="Z212" i="4"/>
  <c r="BO102" i="2"/>
  <c r="AU102" i="2"/>
  <c r="V102" i="2"/>
  <c r="CL227" i="1"/>
  <c r="BE77" i="1"/>
  <c r="CA40" i="1"/>
  <c r="CA39" i="1"/>
  <c r="BR38" i="1"/>
  <c r="BR45" i="1"/>
  <c r="BN26" i="1"/>
  <c r="BH53" i="1"/>
  <c r="AX26" i="1"/>
  <c r="AT49" i="1"/>
  <c r="AT139" i="1"/>
  <c r="AY139" i="1"/>
  <c r="AN9" i="4"/>
  <c r="AN11" i="4"/>
  <c r="AN21" i="4" s="1"/>
  <c r="AO139" i="1"/>
  <c r="AO49" i="1"/>
  <c r="AO53" i="1"/>
  <c r="AI9" i="4"/>
  <c r="AI11" i="4" s="1"/>
  <c r="AJ139" i="1"/>
  <c r="AJ49" i="1"/>
  <c r="AJ53" i="1"/>
  <c r="AG25" i="1"/>
  <c r="AB53" i="1"/>
  <c r="AB45" i="1"/>
  <c r="AC26" i="1"/>
  <c r="AC155" i="1"/>
  <c r="W49" i="1"/>
  <c r="W25" i="1"/>
  <c r="W38" i="1"/>
  <c r="W53" i="1"/>
  <c r="W45" i="1"/>
  <c r="R49" i="1"/>
  <c r="S26" i="1"/>
  <c r="R53" i="1"/>
  <c r="AK72" i="310"/>
  <c r="AP138" i="1"/>
  <c r="P23" i="1"/>
  <c r="P22" i="1"/>
  <c r="U22" i="1"/>
  <c r="U138" i="1"/>
  <c r="R154" i="1"/>
  <c r="CC20" i="1"/>
  <c r="CB20" i="1"/>
  <c r="CB137" i="1"/>
  <c r="BW19" i="1"/>
  <c r="BW137" i="1"/>
  <c r="BW20" i="1"/>
  <c r="BR19" i="1"/>
  <c r="BR20" i="1"/>
  <c r="BR137" i="1"/>
  <c r="BS20" i="1"/>
  <c r="BM19" i="1"/>
  <c r="BM137" i="1"/>
  <c r="BM20" i="1"/>
  <c r="AP19" i="1"/>
  <c r="Q18" i="1"/>
  <c r="P20" i="1"/>
  <c r="R20" i="1"/>
  <c r="P24" i="1"/>
  <c r="P49" i="1" s="1"/>
  <c r="U137" i="1"/>
  <c r="AT55" i="1"/>
  <c r="AX54" i="1"/>
  <c r="G52" i="1"/>
  <c r="F65" i="1"/>
  <c r="AT161" i="1"/>
  <c r="Z161" i="1"/>
  <c r="I146" i="1"/>
  <c r="AO146" i="1"/>
  <c r="AJ146" i="1"/>
  <c r="Y67" i="1"/>
  <c r="AD146" i="1"/>
  <c r="X146" i="1"/>
  <c r="P65" i="1"/>
  <c r="U143" i="1"/>
  <c r="Z143" i="1"/>
  <c r="T33" i="1"/>
  <c r="T38" i="1"/>
  <c r="T41" i="1" s="1"/>
  <c r="S194" i="4" s="1"/>
  <c r="T141" i="1"/>
  <c r="N33" i="1"/>
  <c r="N141" i="1"/>
  <c r="N38" i="1"/>
  <c r="N41" i="1" s="1"/>
  <c r="M194" i="4" s="1"/>
  <c r="N157" i="1"/>
  <c r="H33" i="1"/>
  <c r="H141" i="1"/>
  <c r="M38" i="1"/>
  <c r="M41" i="1" s="1"/>
  <c r="L194" i="4" s="1"/>
  <c r="M49" i="1"/>
  <c r="H38" i="1"/>
  <c r="H41" i="1" s="1"/>
  <c r="G194" i="4" s="1"/>
  <c r="I26" i="1"/>
  <c r="C43" i="8"/>
  <c r="C39" i="8" s="1"/>
  <c r="D26" i="1"/>
  <c r="C49" i="1"/>
  <c r="C53" i="1"/>
  <c r="C38" i="1"/>
  <c r="C41" i="1" s="1"/>
  <c r="D155" i="1"/>
  <c r="K45" i="1"/>
  <c r="BR33" i="1"/>
  <c r="AT26" i="1"/>
  <c r="BM45" i="1"/>
  <c r="AT53" i="1"/>
  <c r="AJ45" i="1"/>
  <c r="BM35" i="1"/>
  <c r="BM39" i="1" s="1"/>
  <c r="W33" i="1"/>
  <c r="N200" i="4"/>
  <c r="O51" i="2"/>
  <c r="O52" i="2" s="1"/>
  <c r="J51" i="2"/>
  <c r="J52" i="2" s="1"/>
  <c r="BK51" i="2"/>
  <c r="BJ200" i="4"/>
  <c r="BS202" i="4"/>
  <c r="AY202" i="4"/>
  <c r="AE202" i="4"/>
  <c r="AB200" i="4"/>
  <c r="AS34" i="2"/>
  <c r="AS43" i="2" s="1"/>
  <c r="AS51" i="2" s="1"/>
  <c r="AS52" i="2" s="1"/>
  <c r="K34" i="2"/>
  <c r="BN199" i="4"/>
  <c r="F24" i="2"/>
  <c r="G24" i="2" s="1"/>
  <c r="BI202" i="4"/>
  <c r="AO202" i="4"/>
  <c r="U202" i="4"/>
  <c r="BW119" i="2"/>
  <c r="AA102" i="2"/>
  <c r="AE82" i="2"/>
  <c r="L56" i="2"/>
  <c r="F34" i="2"/>
  <c r="G34" i="2" s="1"/>
  <c r="Z199" i="4"/>
  <c r="CC119" i="1"/>
  <c r="BJ85" i="2"/>
  <c r="BO81" i="2" s="1"/>
  <c r="BO136" i="2"/>
  <c r="BS66" i="1"/>
  <c r="BX26" i="1"/>
  <c r="BB26" i="1"/>
  <c r="AN26" i="1"/>
  <c r="AB25" i="1"/>
  <c r="CG71" i="8"/>
  <c r="AW54" i="1"/>
  <c r="K50" i="1"/>
  <c r="V48" i="1"/>
  <c r="BL26" i="1"/>
  <c r="BR26" i="1"/>
  <c r="BH26" i="1"/>
  <c r="AW26" i="1"/>
  <c r="Y25" i="1"/>
  <c r="BY117" i="1"/>
  <c r="BE117" i="1"/>
  <c r="AK19" i="1"/>
  <c r="P35" i="1"/>
  <c r="P39" i="1" s="1"/>
  <c r="K53" i="1"/>
  <c r="K49" i="1"/>
  <c r="F35" i="1"/>
  <c r="F39" i="1" s="1"/>
  <c r="AV26" i="1"/>
  <c r="BY65" i="1"/>
  <c r="BB54" i="1"/>
  <c r="AT54" i="1"/>
  <c r="K54" i="1"/>
  <c r="Z35" i="1"/>
  <c r="Z39" i="1" s="1"/>
  <c r="AU22" i="1"/>
  <c r="AU19" i="1"/>
  <c r="CE66" i="4"/>
  <c r="AY48" i="3"/>
  <c r="AY102" i="3" s="1"/>
  <c r="AZ102" i="3" s="1"/>
  <c r="AX102" i="3"/>
  <c r="AJ70" i="2"/>
  <c r="AJ69" i="2" s="1"/>
  <c r="V67" i="3"/>
  <c r="AI82" i="2"/>
  <c r="BJ199" i="1"/>
  <c r="AF79" i="2"/>
  <c r="BJ125" i="2"/>
  <c r="V79" i="2"/>
  <c r="CD56" i="2"/>
  <c r="AJ25" i="3"/>
  <c r="AK25" i="3" s="1"/>
  <c r="AF30" i="2"/>
  <c r="BZ138" i="2"/>
  <c r="BP138" i="2"/>
  <c r="BK138" i="2"/>
  <c r="BF138" i="2"/>
  <c r="BJ129" i="2"/>
  <c r="BE85" i="2"/>
  <c r="BJ81" i="2" s="1"/>
  <c r="AP213" i="310"/>
  <c r="AK192" i="310"/>
  <c r="AK193" i="310" s="1"/>
  <c r="AP169" i="310"/>
  <c r="BI14" i="310"/>
  <c r="BE11" i="310"/>
  <c r="R243" i="310"/>
  <c r="BZ15" i="310"/>
  <c r="CD76" i="1"/>
  <c r="CB157" i="1"/>
  <c r="CA33" i="1"/>
  <c r="CA157" i="1"/>
  <c r="BC38" i="1"/>
  <c r="BN157" i="1"/>
  <c r="BM38" i="1"/>
  <c r="BM41" i="1" s="1"/>
  <c r="BL194" i="4" s="1"/>
  <c r="BR141" i="1"/>
  <c r="P119" i="1"/>
  <c r="G106" i="1"/>
  <c r="AK78" i="1"/>
  <c r="BX76" i="1"/>
  <c r="BT59" i="1"/>
  <c r="BT227" i="1" s="1"/>
  <c r="BO58" i="1"/>
  <c r="AD45" i="1"/>
  <c r="BY44" i="1"/>
  <c r="BO44" i="1"/>
  <c r="BL45" i="1"/>
  <c r="AZ44" i="1"/>
  <c r="AL79" i="310"/>
  <c r="AL80" i="310" s="1"/>
  <c r="AP36" i="1"/>
  <c r="AP37" i="1"/>
  <c r="AP40" i="1" s="1"/>
  <c r="AC79" i="310"/>
  <c r="AC80" i="310" s="1"/>
  <c r="AC32" i="1"/>
  <c r="AF36" i="1"/>
  <c r="Q36" i="1"/>
  <c r="P37" i="1"/>
  <c r="P40" i="1" s="1"/>
  <c r="BX32" i="1"/>
  <c r="BX98" i="2" s="1"/>
  <c r="BW215" i="4" s="1"/>
  <c r="BX35" i="1"/>
  <c r="BX39" i="1" s="1"/>
  <c r="BK25" i="1"/>
  <c r="BK26" i="1"/>
  <c r="BA26" i="1"/>
  <c r="BP16" i="1"/>
  <c r="BK16" i="1"/>
  <c r="AV200" i="4"/>
  <c r="AW51" i="2"/>
  <c r="AW52" i="2" s="1"/>
  <c r="AF34" i="2"/>
  <c r="BI45" i="3"/>
  <c r="BJ45" i="3"/>
  <c r="BH99" i="3"/>
  <c r="AK16" i="3"/>
  <c r="AJ70" i="3"/>
  <c r="AI219" i="4"/>
  <c r="BW69" i="3"/>
  <c r="BX69" i="3"/>
  <c r="BX49" i="8"/>
  <c r="BX53" i="8"/>
  <c r="AK76" i="1"/>
  <c r="CC47" i="1"/>
  <c r="CB46" i="1"/>
  <c r="AT46" i="1"/>
  <c r="AY46" i="1"/>
  <c r="AH46" i="1"/>
  <c r="AI47" i="1"/>
  <c r="BF79" i="310"/>
  <c r="BF37" i="1"/>
  <c r="BF40" i="1" s="1"/>
  <c r="BY34" i="1"/>
  <c r="BW35" i="1"/>
  <c r="BW39" i="1" s="1"/>
  <c r="BF32" i="1"/>
  <c r="AF34" i="1"/>
  <c r="AD76" i="310"/>
  <c r="AD32" i="1"/>
  <c r="AD99" i="2" s="1"/>
  <c r="AD35" i="1"/>
  <c r="AD39" i="1" s="1"/>
  <c r="BL32" i="1"/>
  <c r="BB33" i="1"/>
  <c r="BB38" i="1"/>
  <c r="E33" i="1"/>
  <c r="E38" i="1"/>
  <c r="E41" i="1" s="1"/>
  <c r="AY25" i="1"/>
  <c r="AY26" i="1"/>
  <c r="AQ25" i="1"/>
  <c r="AQ26" i="1"/>
  <c r="AG26" i="1"/>
  <c r="AZ24" i="1"/>
  <c r="AZ96" i="2" s="1"/>
  <c r="AZ19" i="1"/>
  <c r="K225" i="4"/>
  <c r="K231" i="4"/>
  <c r="BE200" i="4"/>
  <c r="BF51" i="2"/>
  <c r="BF52" i="2" s="1"/>
  <c r="AY50" i="3"/>
  <c r="AY104" i="3" s="1"/>
  <c r="AX104" i="3"/>
  <c r="AF37" i="3"/>
  <c r="AE91" i="3"/>
  <c r="Z119" i="1"/>
  <c r="W117" i="1"/>
  <c r="I117" i="1"/>
  <c r="BY78" i="1"/>
  <c r="AP78" i="1"/>
  <c r="BE76" i="1"/>
  <c r="AZ76" i="1"/>
  <c r="AU58" i="1"/>
  <c r="AZ57" i="1"/>
  <c r="AV56" i="1"/>
  <c r="BR53" i="1"/>
  <c r="BB53" i="1"/>
  <c r="AR49" i="1"/>
  <c r="AN49" i="1"/>
  <c r="AT45" i="1"/>
  <c r="AH45" i="1"/>
  <c r="BB45" i="1"/>
  <c r="BG46" i="1"/>
  <c r="AK44" i="1"/>
  <c r="Q44" i="1"/>
  <c r="R47" i="1"/>
  <c r="BI32" i="1"/>
  <c r="AQ32" i="1"/>
  <c r="AQ35" i="1"/>
  <c r="AQ39" i="1" s="1"/>
  <c r="AM32" i="1"/>
  <c r="AM35" i="1"/>
  <c r="AM39" i="1" s="1"/>
  <c r="AH32" i="1"/>
  <c r="AK34" i="1"/>
  <c r="AK35" i="1" s="1"/>
  <c r="AK39" i="1" s="1"/>
  <c r="AH35" i="1"/>
  <c r="AH39" i="1"/>
  <c r="BH32" i="1"/>
  <c r="AG32" i="1"/>
  <c r="AG141" i="1" s="1"/>
  <c r="AZ22" i="1"/>
  <c r="BC17" i="1"/>
  <c r="AU200" i="4"/>
  <c r="AV51" i="2"/>
  <c r="X199" i="4"/>
  <c r="BZ58" i="8"/>
  <c r="BZ19" i="8" s="1"/>
  <c r="BZ82" i="8"/>
  <c r="BZ87" i="8" s="1"/>
  <c r="AH29" i="8"/>
  <c r="AZ119" i="1"/>
  <c r="AK65" i="1"/>
  <c r="AU44" i="1"/>
  <c r="AU46" i="1" s="1"/>
  <c r="AN45" i="1"/>
  <c r="AN47" i="1"/>
  <c r="AF44" i="1"/>
  <c r="BE34" i="1"/>
  <c r="BC35" i="1"/>
  <c r="BC39" i="1" s="1"/>
  <c r="AP34" i="1"/>
  <c r="AP35" i="1" s="1"/>
  <c r="AP39" i="1" s="1"/>
  <c r="AL32" i="1"/>
  <c r="AL35" i="1"/>
  <c r="AL39" i="1" s="1"/>
  <c r="BW32" i="1"/>
  <c r="BW33" i="1" s="1"/>
  <c r="BG32" i="1"/>
  <c r="AE32" i="1"/>
  <c r="AE99" i="2" s="1"/>
  <c r="BG25" i="1"/>
  <c r="BG45" i="1"/>
  <c r="AC62" i="4"/>
  <c r="AC61" i="4" s="1"/>
  <c r="AI25" i="1"/>
  <c r="AI27" i="1"/>
  <c r="AE26" i="1"/>
  <c r="AE45" i="1"/>
  <c r="BM17" i="1"/>
  <c r="BQ16" i="1"/>
  <c r="BL17" i="1"/>
  <c r="AF46" i="3"/>
  <c r="AE100" i="3"/>
  <c r="AY37" i="3"/>
  <c r="AX91" i="3"/>
  <c r="BE36" i="3"/>
  <c r="BD90" i="3"/>
  <c r="BS54" i="8"/>
  <c r="BT48" i="8"/>
  <c r="AN38" i="1"/>
  <c r="AN41" i="1" s="1"/>
  <c r="AM194" i="4" s="1"/>
  <c r="R38" i="1"/>
  <c r="BI35" i="1"/>
  <c r="BI39" i="1"/>
  <c r="AJ27" i="1"/>
  <c r="BF26" i="1"/>
  <c r="AL26" i="1"/>
  <c r="R26" i="1"/>
  <c r="M26" i="1"/>
  <c r="AT25" i="1"/>
  <c r="AO25" i="1"/>
  <c r="AJ25" i="1"/>
  <c r="P25" i="1"/>
  <c r="AP24" i="1"/>
  <c r="BL23" i="1"/>
  <c r="BB23" i="1"/>
  <c r="BP22" i="1"/>
  <c r="BD22" i="1"/>
  <c r="BO21" i="1"/>
  <c r="CA20" i="1"/>
  <c r="BV20" i="1"/>
  <c r="BQ20" i="1"/>
  <c r="BL20" i="1"/>
  <c r="BG20" i="1"/>
  <c r="BB20" i="1"/>
  <c r="AW20" i="1"/>
  <c r="CB19" i="1"/>
  <c r="BA19" i="1"/>
  <c r="K19" i="1"/>
  <c r="BJ18" i="1"/>
  <c r="BH15" i="1"/>
  <c r="BF13" i="1"/>
  <c r="R227" i="310"/>
  <c r="AF198" i="310"/>
  <c r="AL185" i="310"/>
  <c r="AM187" i="310" s="1"/>
  <c r="AM188" i="310" s="1"/>
  <c r="AB185" i="310"/>
  <c r="AN184" i="310"/>
  <c r="AH184" i="310"/>
  <c r="AB184" i="310"/>
  <c r="AS182" i="310"/>
  <c r="AS185" i="310" s="1"/>
  <c r="AY161" i="310"/>
  <c r="AZ160" i="310"/>
  <c r="AZ196" i="310" s="1"/>
  <c r="AX148" i="310"/>
  <c r="AR148" i="310"/>
  <c r="AX147" i="310"/>
  <c r="AR147" i="310"/>
  <c r="AX146" i="310"/>
  <c r="AR146" i="310"/>
  <c r="AX145" i="310"/>
  <c r="AR145" i="310"/>
  <c r="AX144" i="310"/>
  <c r="AX117" i="310"/>
  <c r="BF114" i="310"/>
  <c r="CB68" i="310"/>
  <c r="AY72" i="310"/>
  <c r="BU64" i="310"/>
  <c r="BP64" i="310"/>
  <c r="BG64" i="310"/>
  <c r="BX63" i="310"/>
  <c r="BS63" i="310"/>
  <c r="BN63" i="310"/>
  <c r="BA63" i="310"/>
  <c r="AV63" i="310"/>
  <c r="CB62" i="310"/>
  <c r="BI62" i="310"/>
  <c r="AV58" i="310"/>
  <c r="CA45" i="310"/>
  <c r="CB40" i="310"/>
  <c r="BU33" i="310"/>
  <c r="BU32" i="310"/>
  <c r="BJ132" i="2"/>
  <c r="AP85" i="2"/>
  <c r="AU81" i="2" s="1"/>
  <c r="AP79" i="2"/>
  <c r="AK41" i="2"/>
  <c r="BX34" i="2"/>
  <c r="BN34" i="2"/>
  <c r="BO34" i="2" s="1"/>
  <c r="AJ34" i="2"/>
  <c r="AT25" i="3"/>
  <c r="AT79" i="3" s="1"/>
  <c r="AU79" i="3" s="1"/>
  <c r="U24" i="2"/>
  <c r="V24" i="2" s="1"/>
  <c r="U199" i="4" s="1"/>
  <c r="BJ69" i="3"/>
  <c r="BT62" i="3"/>
  <c r="AI49" i="3"/>
  <c r="AD49" i="3"/>
  <c r="BG46" i="3"/>
  <c r="BH46" i="3"/>
  <c r="AA46" i="3"/>
  <c r="AF42" i="3"/>
  <c r="AD40" i="3"/>
  <c r="AA37" i="3"/>
  <c r="AP36" i="3"/>
  <c r="AT29" i="3"/>
  <c r="AU29" i="3" s="1"/>
  <c r="BO73" i="8"/>
  <c r="AU73" i="8"/>
  <c r="AU70" i="8"/>
  <c r="CC63" i="8"/>
  <c r="BM59" i="8"/>
  <c r="BM20" i="8" s="1"/>
  <c r="AR55" i="8"/>
  <c r="BS47" i="8"/>
  <c r="CF24" i="8"/>
  <c r="BZ24" i="8"/>
  <c r="BR24" i="8"/>
  <c r="BN24" i="8"/>
  <c r="BF24" i="8"/>
  <c r="BB24" i="8"/>
  <c r="AX24" i="8"/>
  <c r="AT24" i="8"/>
  <c r="AD24" i="8"/>
  <c r="R24" i="8"/>
  <c r="AM16" i="8"/>
  <c r="AM14" i="8" s="1"/>
  <c r="BR15" i="8"/>
  <c r="BR29" i="8" s="1"/>
  <c r="BN15" i="8"/>
  <c r="BN29" i="8" s="1"/>
  <c r="BF15" i="8"/>
  <c r="BF29" i="8" s="1"/>
  <c r="BB15" i="8"/>
  <c r="BB29" i="8" s="1"/>
  <c r="AX15" i="8"/>
  <c r="AX29" i="8"/>
  <c r="N15" i="8"/>
  <c r="C33" i="1"/>
  <c r="BI26" i="1"/>
  <c r="BD26" i="1"/>
  <c r="AO26" i="1"/>
  <c r="AJ26" i="1"/>
  <c r="K26" i="1"/>
  <c r="BI25" i="1"/>
  <c r="AS25" i="1"/>
  <c r="AK24" i="1"/>
  <c r="BA23" i="1"/>
  <c r="W23" i="1"/>
  <c r="R23" i="1"/>
  <c r="AY22" i="1"/>
  <c r="BK20" i="1"/>
  <c r="BF20" i="1"/>
  <c r="BA20" i="1"/>
  <c r="AB20" i="1"/>
  <c r="W20" i="1"/>
  <c r="F20" i="1"/>
  <c r="BL19" i="1"/>
  <c r="AE19" i="1"/>
  <c r="Z19" i="1"/>
  <c r="U19" i="1"/>
  <c r="BO18" i="1"/>
  <c r="BE18" i="1"/>
  <c r="BG15" i="1"/>
  <c r="BG16" i="1" s="1"/>
  <c r="BG14" i="1"/>
  <c r="BK13" i="1"/>
  <c r="Z227" i="310"/>
  <c r="AG185" i="310"/>
  <c r="AG186" i="310" s="1"/>
  <c r="AG184" i="310"/>
  <c r="AS173" i="310"/>
  <c r="AX164" i="310"/>
  <c r="BS32" i="310"/>
  <c r="CD84" i="310"/>
  <c r="BU15" i="310"/>
  <c r="BY85" i="2"/>
  <c r="CD81" i="2" s="1"/>
  <c r="AK85" i="2"/>
  <c r="AK79" i="2"/>
  <c r="L79" i="2"/>
  <c r="Q57" i="2"/>
  <c r="BZ51" i="3"/>
  <c r="AH16" i="8"/>
  <c r="AH14" i="8"/>
  <c r="AP22" i="1"/>
  <c r="BC19" i="1"/>
  <c r="AY19" i="1"/>
  <c r="R285" i="310"/>
  <c r="Z158" i="310"/>
  <c r="BM49" i="310"/>
  <c r="BW44" i="310"/>
  <c r="BZ14" i="310"/>
  <c r="BL14" i="310"/>
  <c r="BO129" i="2"/>
  <c r="L57" i="2"/>
  <c r="BO70" i="3"/>
  <c r="BN219" i="4" s="1"/>
  <c r="BE62" i="3"/>
  <c r="BU59" i="8"/>
  <c r="BU20" i="8" s="1"/>
  <c r="AH55" i="8"/>
  <c r="CB54" i="8"/>
  <c r="BP54" i="8"/>
  <c r="BP55" i="8" s="1"/>
  <c r="BV53" i="8"/>
  <c r="BR53" i="8"/>
  <c r="CC49" i="8"/>
  <c r="BY47" i="8"/>
  <c r="BS29" i="8"/>
  <c r="AY29" i="8"/>
  <c r="AQ29" i="8"/>
  <c r="AM29" i="8"/>
  <c r="AE29" i="8"/>
  <c r="S29" i="8"/>
  <c r="BE9" i="8"/>
  <c r="BZ87" i="2"/>
  <c r="AU56" i="2"/>
  <c r="BY71" i="3"/>
  <c r="CN65" i="3"/>
  <c r="U49" i="3"/>
  <c r="V49" i="3" s="1"/>
  <c r="AN45" i="3"/>
  <c r="AO99" i="3" s="1"/>
  <c r="BI59" i="8"/>
  <c r="BI20" i="8" s="1"/>
  <c r="AW59" i="8"/>
  <c r="AW20" i="8" s="1"/>
  <c r="AS59" i="8"/>
  <c r="AS20" i="8" s="1"/>
  <c r="BW24" i="8"/>
  <c r="BC24" i="8"/>
  <c r="AY24" i="8"/>
  <c r="AQ24" i="8"/>
  <c r="AM24" i="8"/>
  <c r="AI24" i="8"/>
  <c r="AE24" i="8"/>
  <c r="W24" i="8"/>
  <c r="S24" i="8"/>
  <c r="AZ9" i="8"/>
  <c r="P9" i="8"/>
  <c r="CC54" i="1"/>
  <c r="CC50" i="1"/>
  <c r="CC46" i="1"/>
  <c r="V76" i="1"/>
  <c r="AB11" i="3"/>
  <c r="AC11" i="3" s="1"/>
  <c r="AC10" i="3" s="1"/>
  <c r="AF58" i="1"/>
  <c r="AA52" i="1"/>
  <c r="Z54" i="1"/>
  <c r="AE54" i="1"/>
  <c r="Z65" i="1"/>
  <c r="Z55" i="1"/>
  <c r="V44" i="1"/>
  <c r="U47" i="1"/>
  <c r="U65" i="1"/>
  <c r="V65" i="1" s="1"/>
  <c r="U46" i="1"/>
  <c r="Z46" i="1"/>
  <c r="W47" i="1"/>
  <c r="BB66" i="1"/>
  <c r="AI56" i="1"/>
  <c r="AK58" i="1"/>
  <c r="AP45" i="1"/>
  <c r="BP66" i="1"/>
  <c r="BQ56" i="1"/>
  <c r="BT57" i="1"/>
  <c r="BO119" i="1"/>
  <c r="BW56" i="1"/>
  <c r="BY57" i="1"/>
  <c r="Q48" i="1"/>
  <c r="P51" i="1"/>
  <c r="P50" i="1"/>
  <c r="U50" i="1"/>
  <c r="R51" i="1"/>
  <c r="L78" i="1"/>
  <c r="AF76" i="1"/>
  <c r="AA76" i="1"/>
  <c r="BN66" i="1"/>
  <c r="K56" i="1"/>
  <c r="L56" i="1" s="1"/>
  <c r="AS56" i="1"/>
  <c r="AA56" i="1"/>
  <c r="V52" i="1"/>
  <c r="P54" i="1"/>
  <c r="BJ12" i="1"/>
  <c r="BN13" i="1"/>
  <c r="BI14" i="1"/>
  <c r="BK14" i="1"/>
  <c r="BI15" i="1"/>
  <c r="V78" i="1"/>
  <c r="BJ76" i="1"/>
  <c r="E31" i="447" s="1"/>
  <c r="BR66" i="1"/>
  <c r="F56" i="1"/>
  <c r="AX56" i="1"/>
  <c r="L44" i="1"/>
  <c r="K46" i="1"/>
  <c r="P46" i="1"/>
  <c r="AU76" i="1"/>
  <c r="BT76" i="1"/>
  <c r="BO76" i="1"/>
  <c r="AP58" i="1"/>
  <c r="CD57" i="1"/>
  <c r="CB56" i="1"/>
  <c r="AW56" i="1"/>
  <c r="CD63" i="2"/>
  <c r="CE64" i="2" s="1"/>
  <c r="CC64" i="2"/>
  <c r="Z37" i="1"/>
  <c r="Z40" i="1" s="1"/>
  <c r="V21" i="1"/>
  <c r="BY18" i="1"/>
  <c r="BC25" i="1"/>
  <c r="AM25" i="1"/>
  <c r="BT18" i="1"/>
  <c r="BT24" i="1" s="1"/>
  <c r="CJ189" i="4"/>
  <c r="AQ216" i="310"/>
  <c r="AQ76" i="310" s="1"/>
  <c r="AE185" i="310"/>
  <c r="AJ202" i="310"/>
  <c r="Q241" i="310"/>
  <c r="AI229" i="310"/>
  <c r="AN229" i="310" s="1"/>
  <c r="AS229" i="310" s="1"/>
  <c r="AX229" i="310" s="1"/>
  <c r="BC229" i="310" s="1"/>
  <c r="BH229" i="310" s="1"/>
  <c r="BM229" i="310" s="1"/>
  <c r="BR229" i="310" s="1"/>
  <c r="BW229" i="310" s="1"/>
  <c r="CB229" i="310" s="1"/>
  <c r="CG229" i="310" s="1"/>
  <c r="CL229" i="310" s="1"/>
  <c r="CQ229" i="310" s="1"/>
  <c r="CV229" i="310" s="1"/>
  <c r="AA229" i="310"/>
  <c r="AA230" i="310" s="1"/>
  <c r="P243" i="310"/>
  <c r="AZ198" i="310"/>
  <c r="AJ193" i="310"/>
  <c r="Z183" i="310"/>
  <c r="AM165" i="310"/>
  <c r="AF163" i="310"/>
  <c r="AF165" i="310" s="1"/>
  <c r="AB158" i="310"/>
  <c r="AU48" i="310"/>
  <c r="AB161" i="310"/>
  <c r="AV145" i="310"/>
  <c r="AR139" i="310"/>
  <c r="CD51" i="310"/>
  <c r="CD54" i="310"/>
  <c r="CD55" i="310" s="1"/>
  <c r="BS40" i="310"/>
  <c r="AX40" i="310"/>
  <c r="BC41" i="310" s="1"/>
  <c r="BX33" i="310"/>
  <c r="BS33" i="310"/>
  <c r="CB32" i="310"/>
  <c r="BX32" i="310"/>
  <c r="BY52" i="310"/>
  <c r="BU44" i="310"/>
  <c r="AX25" i="310"/>
  <c r="BQ28" i="310"/>
  <c r="BI28" i="310"/>
  <c r="BS15" i="310"/>
  <c r="AY15" i="310"/>
  <c r="CA14" i="310"/>
  <c r="BS14" i="310"/>
  <c r="BK14" i="310"/>
  <c r="BG14" i="310"/>
  <c r="C9" i="447"/>
  <c r="BQ89" i="4"/>
  <c r="BL89" i="4"/>
  <c r="BM29" i="310"/>
  <c r="BL28" i="310"/>
  <c r="BD28" i="310"/>
  <c r="BR15" i="310"/>
  <c r="BN14" i="310"/>
  <c r="BB14" i="310"/>
  <c r="D13" i="447"/>
  <c r="BU89" i="4"/>
  <c r="BK89" i="4"/>
  <c r="C13" i="447"/>
  <c r="BT89" i="4"/>
  <c r="BP15" i="310"/>
  <c r="BX14" i="310"/>
  <c r="D9" i="447"/>
  <c r="BE8" i="310"/>
  <c r="BW89" i="4"/>
  <c r="I64" i="447"/>
  <c r="BW66" i="4"/>
  <c r="BW76" i="4"/>
  <c r="BM66" i="4"/>
  <c r="BQ66" i="4"/>
  <c r="BY66" i="4"/>
  <c r="Z103" i="3"/>
  <c r="CD19" i="3"/>
  <c r="CC73" i="3"/>
  <c r="AJ49" i="3"/>
  <c r="AK49" i="3"/>
  <c r="AK46" i="3"/>
  <c r="AJ72" i="3"/>
  <c r="AK18" i="3"/>
  <c r="BJ71" i="3"/>
  <c r="CD69" i="3"/>
  <c r="L67" i="3"/>
  <c r="AA64" i="3"/>
  <c r="AA197" i="1"/>
  <c r="BY77" i="3"/>
  <c r="Q75" i="3"/>
  <c r="AK73" i="3"/>
  <c r="AC49" i="3"/>
  <c r="AX83" i="3"/>
  <c r="AA70" i="3"/>
  <c r="Z219" i="4" s="1"/>
  <c r="G67" i="3"/>
  <c r="BO64" i="3"/>
  <c r="BO197" i="1" s="1"/>
  <c r="Q74" i="3"/>
  <c r="Q71" i="3"/>
  <c r="AZ65" i="3"/>
  <c r="CD71" i="3"/>
  <c r="CC66" i="3"/>
  <c r="CC68" i="2"/>
  <c r="CC69" i="2" s="1"/>
  <c r="CB127" i="2"/>
  <c r="CC127" i="2" s="1"/>
  <c r="BO125" i="2"/>
  <c r="BA89" i="2"/>
  <c r="CA87" i="2"/>
  <c r="BT85" i="2"/>
  <c r="BY81" i="2" s="1"/>
  <c r="AZ85" i="2"/>
  <c r="BE81" i="2" s="1"/>
  <c r="AF85" i="2"/>
  <c r="BT129" i="2"/>
  <c r="BO85" i="2"/>
  <c r="BT81" i="2" s="1"/>
  <c r="AU85" i="2"/>
  <c r="AZ81" i="2" s="1"/>
  <c r="AA85" i="2"/>
  <c r="P81" i="2"/>
  <c r="Q81" i="2"/>
  <c r="CD61" i="2"/>
  <c r="BT132" i="2"/>
  <c r="BT125" i="2"/>
  <c r="G79" i="2"/>
  <c r="AC73" i="2"/>
  <c r="CR60" i="2"/>
  <c r="CT60" i="2" s="1"/>
  <c r="CU60" i="2" s="1"/>
  <c r="CV60" i="2" s="1"/>
  <c r="CI38" i="2"/>
  <c r="CK38" i="2"/>
  <c r="CL38" i="2" s="1"/>
  <c r="CM38" i="2" s="1"/>
  <c r="CI59" i="2"/>
  <c r="CC82" i="3"/>
  <c r="CD28" i="3"/>
  <c r="CD44" i="2"/>
  <c r="CC30" i="2"/>
  <c r="AX25" i="3"/>
  <c r="AK30" i="2"/>
  <c r="CI11" i="2"/>
  <c r="CD13" i="2"/>
  <c r="CI12" i="2"/>
  <c r="CD12" i="2"/>
  <c r="CD47" i="3"/>
  <c r="CC101" i="3"/>
  <c r="AQ47" i="3"/>
  <c r="AX74" i="3"/>
  <c r="CB96" i="3"/>
  <c r="CB103" i="3" s="1"/>
  <c r="CB49" i="3"/>
  <c r="CD42" i="3"/>
  <c r="I221" i="4"/>
  <c r="AZ50" i="3"/>
  <c r="AR83" i="2"/>
  <c r="AR70" i="2"/>
  <c r="AR57" i="2" s="1"/>
  <c r="AK100" i="3"/>
  <c r="AH83" i="2"/>
  <c r="BG76" i="2"/>
  <c r="BX82" i="2"/>
  <c r="AH70" i="2"/>
  <c r="AH69" i="2" s="1"/>
  <c r="BX83" i="2"/>
  <c r="BG126" i="2"/>
  <c r="BF221" i="4"/>
  <c r="AU100" i="3"/>
  <c r="BE101" i="3"/>
  <c r="BO75" i="3"/>
  <c r="AF89" i="3"/>
  <c r="Q64" i="3"/>
  <c r="Q197" i="1"/>
  <c r="BQ49" i="3"/>
  <c r="BG49" i="3"/>
  <c r="AW49" i="3"/>
  <c r="BM48" i="3"/>
  <c r="BM102" i="3"/>
  <c r="BL49" i="3"/>
  <c r="BC35" i="3"/>
  <c r="BD35" i="3" s="1"/>
  <c r="BB40" i="3"/>
  <c r="L64" i="3"/>
  <c r="BE42" i="3"/>
  <c r="AE40" i="3"/>
  <c r="AF40" i="3" s="1"/>
  <c r="AF36" i="3"/>
  <c r="AY35" i="3"/>
  <c r="AY89" i="3" s="1"/>
  <c r="V64" i="3"/>
  <c r="U218" i="4" s="1"/>
  <c r="AM49" i="3"/>
  <c r="BL40" i="3"/>
  <c r="BM37" i="3"/>
  <c r="BM91" i="3" s="1"/>
  <c r="BQ40" i="3"/>
  <c r="BR35" i="3"/>
  <c r="BR40" i="3"/>
  <c r="AY13" i="3"/>
  <c r="AY67" i="3" s="1"/>
  <c r="CC51" i="1"/>
  <c r="CI59" i="1"/>
  <c r="CI227" i="1" s="1"/>
  <c r="AE119" i="1"/>
  <c r="AF118" i="1"/>
  <c r="G75" i="447"/>
  <c r="C37" i="447"/>
  <c r="G76" i="1"/>
  <c r="F75" i="447"/>
  <c r="F76" i="447" s="1"/>
  <c r="CN59" i="1"/>
  <c r="CN227" i="1" s="1"/>
  <c r="E37" i="447"/>
  <c r="Y68" i="1"/>
  <c r="X195" i="4" s="1"/>
  <c r="Y80" i="1"/>
  <c r="H75" i="447"/>
  <c r="D37" i="447"/>
  <c r="G56" i="1"/>
  <c r="V50" i="1"/>
  <c r="P76" i="1"/>
  <c r="AU57" i="1"/>
  <c r="CC56" i="1"/>
  <c r="U79" i="310"/>
  <c r="K79" i="310"/>
  <c r="AV34" i="1"/>
  <c r="AR34" i="1"/>
  <c r="U76" i="310"/>
  <c r="U32" i="1"/>
  <c r="BI98" i="2"/>
  <c r="BH215" i="4" s="1"/>
  <c r="BI99" i="2"/>
  <c r="BI33" i="1"/>
  <c r="BA33" i="1"/>
  <c r="AO98" i="2"/>
  <c r="AN215" i="4" s="1"/>
  <c r="BO65" i="1"/>
  <c r="BL56" i="1"/>
  <c r="AN56" i="1"/>
  <c r="AB56" i="1"/>
  <c r="P56" i="1"/>
  <c r="Q56" i="1" s="1"/>
  <c r="AR54" i="1"/>
  <c r="AU52" i="1"/>
  <c r="U35" i="1"/>
  <c r="U39" i="1" s="1"/>
  <c r="AY34" i="1"/>
  <c r="AY32" i="1" s="1"/>
  <c r="AY33" i="1" s="1"/>
  <c r="G34" i="1"/>
  <c r="BM99" i="2"/>
  <c r="BM98" i="2"/>
  <c r="BL215" i="4" s="1"/>
  <c r="BM33" i="1"/>
  <c r="G78" i="1"/>
  <c r="CE77" i="2"/>
  <c r="G57" i="1"/>
  <c r="P79" i="310"/>
  <c r="Z76" i="310"/>
  <c r="P32" i="1"/>
  <c r="P76" i="310"/>
  <c r="BQ33" i="1"/>
  <c r="G32" i="1"/>
  <c r="V36" i="1"/>
  <c r="L36" i="1"/>
  <c r="V34" i="1"/>
  <c r="BS99" i="2"/>
  <c r="AE98" i="2"/>
  <c r="AD215" i="4" s="1"/>
  <c r="W98" i="2"/>
  <c r="V215" i="4" s="1"/>
  <c r="W99" i="2"/>
  <c r="S99" i="2"/>
  <c r="S98" i="2"/>
  <c r="R215" i="4" s="1"/>
  <c r="O98" i="2"/>
  <c r="N215" i="4" s="1"/>
  <c r="O99" i="2"/>
  <c r="BR11" i="8"/>
  <c r="BR34" i="8" s="1"/>
  <c r="BR35" i="8" s="1"/>
  <c r="BR43" i="8"/>
  <c r="BR96" i="2"/>
  <c r="BR95" i="2"/>
  <c r="BR198" i="1" s="1"/>
  <c r="BR110" i="2"/>
  <c r="BR105" i="2"/>
  <c r="BQ9" i="4"/>
  <c r="BR106" i="2"/>
  <c r="BR109" i="2"/>
  <c r="BN11" i="8"/>
  <c r="BN43" i="8"/>
  <c r="BN96" i="2"/>
  <c r="BN95" i="2"/>
  <c r="BN198" i="1" s="1"/>
  <c r="BN110" i="2"/>
  <c r="BN105" i="2"/>
  <c r="BN106" i="2"/>
  <c r="BN109" i="2"/>
  <c r="BM9" i="4"/>
  <c r="BF11" i="8"/>
  <c r="BF43" i="8"/>
  <c r="BF91" i="8"/>
  <c r="BF95" i="2"/>
  <c r="BF96" i="2"/>
  <c r="BF105" i="2"/>
  <c r="BF106" i="2"/>
  <c r="BF109" i="2"/>
  <c r="BF110" i="2"/>
  <c r="BE9" i="4"/>
  <c r="BE11" i="4"/>
  <c r="BE21" i="4" s="1"/>
  <c r="BB11" i="8"/>
  <c r="BB10" i="8" s="1"/>
  <c r="BB43" i="8"/>
  <c r="BB96" i="2"/>
  <c r="BB95" i="2"/>
  <c r="BA197" i="4" s="1"/>
  <c r="BB105" i="2"/>
  <c r="BB106" i="2"/>
  <c r="BB109" i="2"/>
  <c r="BA9" i="4"/>
  <c r="BA11" i="4" s="1"/>
  <c r="AV62" i="4"/>
  <c r="AV61" i="4" s="1"/>
  <c r="BB110" i="2"/>
  <c r="AX11" i="8"/>
  <c r="AX43" i="8"/>
  <c r="AX96" i="2"/>
  <c r="AX110" i="2"/>
  <c r="AX95" i="2"/>
  <c r="AX105" i="2"/>
  <c r="AX106" i="2"/>
  <c r="AX109" i="2"/>
  <c r="AW9" i="4"/>
  <c r="AW11" i="4" s="1"/>
  <c r="AW21" i="4" s="1"/>
  <c r="AR62" i="4"/>
  <c r="AR61" i="4"/>
  <c r="AT11" i="8"/>
  <c r="AT43" i="8"/>
  <c r="AT96" i="2"/>
  <c r="AT110" i="2"/>
  <c r="AT95" i="2"/>
  <c r="AS197" i="4" s="1"/>
  <c r="AT105" i="2"/>
  <c r="AT106" i="2"/>
  <c r="AT109" i="2"/>
  <c r="AS9" i="4"/>
  <c r="AS11" i="4" s="1"/>
  <c r="AS21" i="4" s="1"/>
  <c r="AS23" i="4" s="1"/>
  <c r="AN62" i="4"/>
  <c r="AN61" i="4"/>
  <c r="AP11" i="8"/>
  <c r="AP95" i="2"/>
  <c r="AP96" i="2"/>
  <c r="AL11" i="8"/>
  <c r="AL43" i="8"/>
  <c r="AL96" i="2"/>
  <c r="AL95" i="2"/>
  <c r="AK197" i="4" s="1"/>
  <c r="AL105" i="2"/>
  <c r="AL106" i="2"/>
  <c r="AL109" i="2"/>
  <c r="AL110" i="2"/>
  <c r="AF62" i="4"/>
  <c r="AF61" i="4" s="1"/>
  <c r="AK9" i="4"/>
  <c r="AK11" i="4" s="1"/>
  <c r="AK21" i="4" s="1"/>
  <c r="AK55" i="4"/>
  <c r="AH11" i="8"/>
  <c r="AH34" i="8" s="1"/>
  <c r="AH35" i="8" s="1"/>
  <c r="AH43" i="8"/>
  <c r="AH92" i="8" s="1"/>
  <c r="AH96" i="2"/>
  <c r="AH95" i="2"/>
  <c r="AH105" i="2"/>
  <c r="AH106" i="2"/>
  <c r="AH109" i="2"/>
  <c r="AG9" i="4"/>
  <c r="AB62" i="4"/>
  <c r="AB61" i="4" s="1"/>
  <c r="AH110" i="2"/>
  <c r="AG55" i="4"/>
  <c r="AD11" i="8"/>
  <c r="AD34" i="8" s="1"/>
  <c r="AD35" i="8" s="1"/>
  <c r="AD43" i="8"/>
  <c r="AD55" i="8" s="1"/>
  <c r="AD96" i="2"/>
  <c r="AD95" i="2"/>
  <c r="AD110" i="2"/>
  <c r="AD105" i="2"/>
  <c r="AD106" i="2"/>
  <c r="AD109" i="2"/>
  <c r="AC9" i="4"/>
  <c r="AC11" i="4" s="1"/>
  <c r="AC21" i="4" s="1"/>
  <c r="AC23" i="4" s="1"/>
  <c r="AC55" i="4"/>
  <c r="R11" i="8"/>
  <c r="R43" i="8"/>
  <c r="R55" i="8" s="1"/>
  <c r="R96" i="2"/>
  <c r="R105" i="2"/>
  <c r="R109" i="2"/>
  <c r="R110" i="2"/>
  <c r="R95" i="2"/>
  <c r="Q9" i="4"/>
  <c r="Q55" i="4"/>
  <c r="N11" i="8"/>
  <c r="N10" i="8" s="1"/>
  <c r="N43" i="8"/>
  <c r="N91" i="8" s="1"/>
  <c r="N96" i="2"/>
  <c r="N105" i="2"/>
  <c r="N109" i="2"/>
  <c r="N95" i="2"/>
  <c r="N198" i="1" s="1"/>
  <c r="M35" i="4"/>
  <c r="M33" i="4" s="1"/>
  <c r="N110" i="2"/>
  <c r="M9" i="4"/>
  <c r="M11" i="4" s="1"/>
  <c r="M21" i="4" s="1"/>
  <c r="M55" i="4"/>
  <c r="J43" i="8"/>
  <c r="J41" i="8"/>
  <c r="J11" i="8"/>
  <c r="J95" i="2"/>
  <c r="I197" i="4" s="1"/>
  <c r="J96" i="2"/>
  <c r="J110" i="2"/>
  <c r="J105" i="2"/>
  <c r="I9" i="4"/>
  <c r="I11" i="4" s="1"/>
  <c r="I35" i="4"/>
  <c r="J109" i="2"/>
  <c r="I55" i="4"/>
  <c r="P19" i="1"/>
  <c r="U72" i="310"/>
  <c r="K72" i="310"/>
  <c r="BR98" i="2"/>
  <c r="BQ215" i="4" s="1"/>
  <c r="BR99" i="2"/>
  <c r="BN99" i="2"/>
  <c r="BN98" i="2"/>
  <c r="BM215" i="4" s="1"/>
  <c r="BF98" i="2"/>
  <c r="BE215" i="4" s="1"/>
  <c r="BF99" i="2"/>
  <c r="BB99" i="2"/>
  <c r="BB98" i="2"/>
  <c r="BA215" i="4" s="1"/>
  <c r="AL98" i="2"/>
  <c r="AK215" i="4" s="1"/>
  <c r="AL99" i="2"/>
  <c r="AD98" i="2"/>
  <c r="AC215" i="4" s="1"/>
  <c r="N98" i="2"/>
  <c r="M215" i="4" s="1"/>
  <c r="N99" i="2"/>
  <c r="BQ11" i="8"/>
  <c r="BQ10" i="8" s="1"/>
  <c r="BQ43" i="8"/>
  <c r="BQ95" i="2"/>
  <c r="BQ96" i="2"/>
  <c r="BQ105" i="2"/>
  <c r="BQ106" i="2"/>
  <c r="BQ109" i="2"/>
  <c r="BQ110" i="2"/>
  <c r="BP9" i="4"/>
  <c r="BM11" i="8"/>
  <c r="BM43" i="8"/>
  <c r="BM95" i="2"/>
  <c r="BL197" i="4" s="1"/>
  <c r="BM96" i="2"/>
  <c r="BM110" i="2"/>
  <c r="BM106" i="2"/>
  <c r="BM109" i="2"/>
  <c r="BM105" i="2"/>
  <c r="BL9" i="4"/>
  <c r="BL11" i="4"/>
  <c r="BL21" i="4" s="1"/>
  <c r="BI11" i="8"/>
  <c r="BI43" i="8"/>
  <c r="BI92" i="8" s="1"/>
  <c r="BN99" i="8" s="1"/>
  <c r="BI95" i="2"/>
  <c r="BI110" i="2"/>
  <c r="BI96" i="2"/>
  <c r="BI105" i="2"/>
  <c r="BI106" i="2"/>
  <c r="BI109" i="2"/>
  <c r="BH9" i="4"/>
  <c r="BH11" i="4" s="1"/>
  <c r="BH21" i="4" s="1"/>
  <c r="BA11" i="8"/>
  <c r="BA34" i="8" s="1"/>
  <c r="BA35" i="8" s="1"/>
  <c r="BA43" i="8"/>
  <c r="BF100" i="8" s="1"/>
  <c r="BA105" i="2"/>
  <c r="BA106" i="2"/>
  <c r="BA109" i="2"/>
  <c r="BA95" i="2"/>
  <c r="BA96" i="2"/>
  <c r="BA110" i="2"/>
  <c r="AU62" i="4"/>
  <c r="AU61" i="4" s="1"/>
  <c r="AW11" i="8"/>
  <c r="AW34" i="8" s="1"/>
  <c r="AW35" i="8" s="1"/>
  <c r="AW43" i="8"/>
  <c r="AW94" i="8" s="1"/>
  <c r="AW95" i="2"/>
  <c r="AW198" i="1" s="1"/>
  <c r="AW105" i="2"/>
  <c r="AW106" i="2"/>
  <c r="AW109" i="2"/>
  <c r="AW96" i="2"/>
  <c r="AW110" i="2"/>
  <c r="AS11" i="8"/>
  <c r="AS10" i="8" s="1"/>
  <c r="AS43" i="8"/>
  <c r="AS93" i="8" s="1"/>
  <c r="AS95" i="2"/>
  <c r="AS96" i="2"/>
  <c r="AS110" i="2"/>
  <c r="AS106" i="2"/>
  <c r="AM62" i="4"/>
  <c r="AM61" i="4" s="1"/>
  <c r="AS109" i="2"/>
  <c r="AS105" i="2"/>
  <c r="AR9" i="4"/>
  <c r="AO11" i="8"/>
  <c r="AO43" i="8"/>
  <c r="AO92" i="8" s="1"/>
  <c r="AO110" i="2"/>
  <c r="AO96" i="2"/>
  <c r="AO105" i="2"/>
  <c r="AO106" i="2"/>
  <c r="AO109" i="2"/>
  <c r="AI62" i="4"/>
  <c r="AO95" i="2"/>
  <c r="AO198" i="1" s="1"/>
  <c r="AK11" i="8"/>
  <c r="AK96" i="2"/>
  <c r="AK95" i="2"/>
  <c r="AJ197" i="4" s="1"/>
  <c r="AG11" i="8"/>
  <c r="AG43" i="8"/>
  <c r="AG95" i="2"/>
  <c r="AG105" i="2"/>
  <c r="AG106" i="2"/>
  <c r="AG109" i="2"/>
  <c r="AG110" i="2"/>
  <c r="AG96" i="2"/>
  <c r="AA62" i="4"/>
  <c r="AA61" i="4" s="1"/>
  <c r="AC11" i="8"/>
  <c r="AC43" i="8"/>
  <c r="AC95" i="2"/>
  <c r="AC96" i="2"/>
  <c r="AC105" i="2"/>
  <c r="AC106" i="2"/>
  <c r="AC109" i="2"/>
  <c r="AC110" i="2"/>
  <c r="AB9" i="4"/>
  <c r="Y11" i="8"/>
  <c r="Y43" i="8"/>
  <c r="Y93" i="8" s="1"/>
  <c r="Y95" i="2"/>
  <c r="Y96" i="2"/>
  <c r="Y110" i="2"/>
  <c r="Y109" i="2"/>
  <c r="Y105" i="2"/>
  <c r="M11" i="8"/>
  <c r="M43" i="8"/>
  <c r="M91" i="8" s="1"/>
  <c r="M95" i="2"/>
  <c r="M105" i="2"/>
  <c r="M109" i="2"/>
  <c r="M96" i="2"/>
  <c r="M110" i="2"/>
  <c r="L9" i="4"/>
  <c r="L11" i="4" s="1"/>
  <c r="L21" i="4" s="1"/>
  <c r="I11" i="8"/>
  <c r="I43" i="8"/>
  <c r="I41" i="8" s="1"/>
  <c r="I93" i="8" s="1"/>
  <c r="I105" i="2"/>
  <c r="I109" i="2"/>
  <c r="I95" i="2"/>
  <c r="H197" i="4" s="1"/>
  <c r="I96" i="2"/>
  <c r="I110" i="2"/>
  <c r="H9" i="4"/>
  <c r="H11" i="4" s="1"/>
  <c r="H21" i="4" s="1"/>
  <c r="H35" i="4"/>
  <c r="H33" i="4"/>
  <c r="AK22" i="1"/>
  <c r="AA21" i="1"/>
  <c r="Q21" i="1"/>
  <c r="AF55" i="4"/>
  <c r="Q35" i="4"/>
  <c r="Q33" i="4"/>
  <c r="AZ9" i="4"/>
  <c r="Y99" i="2"/>
  <c r="Y98" i="2"/>
  <c r="X215" i="4" s="1"/>
  <c r="M99" i="2"/>
  <c r="M98" i="2"/>
  <c r="L215" i="4" s="1"/>
  <c r="I98" i="2"/>
  <c r="H215" i="4" s="1"/>
  <c r="I99" i="2"/>
  <c r="BX11" i="8"/>
  <c r="BX96" i="2"/>
  <c r="BX110" i="2"/>
  <c r="BX105" i="2"/>
  <c r="BX106" i="2"/>
  <c r="BX109" i="2"/>
  <c r="BL43" i="8"/>
  <c r="BL93" i="8" s="1"/>
  <c r="BL11" i="8"/>
  <c r="BL105" i="2"/>
  <c r="BL106" i="2"/>
  <c r="BL109" i="2"/>
  <c r="BL95" i="2"/>
  <c r="BL198" i="1" s="1"/>
  <c r="BL96" i="2"/>
  <c r="BL110" i="2"/>
  <c r="BH11" i="8"/>
  <c r="BH43" i="8"/>
  <c r="BH95" i="2"/>
  <c r="BH198" i="1" s="1"/>
  <c r="BH96" i="2"/>
  <c r="BH110" i="2"/>
  <c r="BH106" i="2"/>
  <c r="BH109" i="2"/>
  <c r="BH105" i="2"/>
  <c r="BG9" i="4"/>
  <c r="BD11" i="8"/>
  <c r="BD43" i="8"/>
  <c r="BD95" i="2"/>
  <c r="BD110" i="2"/>
  <c r="BD105" i="2"/>
  <c r="BD106" i="2"/>
  <c r="BD109" i="2"/>
  <c r="BD96" i="2"/>
  <c r="BC9" i="4"/>
  <c r="BC11" i="4" s="1"/>
  <c r="BC21" i="4" s="1"/>
  <c r="AX62" i="4"/>
  <c r="AX61" i="4" s="1"/>
  <c r="AV11" i="8"/>
  <c r="AV43" i="8"/>
  <c r="AV92" i="8" s="1"/>
  <c r="AV105" i="2"/>
  <c r="AV106" i="2"/>
  <c r="AV109" i="2"/>
  <c r="AV95" i="2"/>
  <c r="AV110" i="2"/>
  <c r="AV96" i="2"/>
  <c r="AU9" i="4"/>
  <c r="AU11" i="4" s="1"/>
  <c r="AU21" i="4" s="1"/>
  <c r="AP62" i="4"/>
  <c r="AP61" i="4" s="1"/>
  <c r="AR11" i="8"/>
  <c r="AR43" i="8"/>
  <c r="AR93" i="8" s="1"/>
  <c r="AR95" i="2"/>
  <c r="AR198" i="1" s="1"/>
  <c r="AR96" i="2"/>
  <c r="AR105" i="2"/>
  <c r="AR106" i="2"/>
  <c r="AR109" i="2"/>
  <c r="AL62" i="4"/>
  <c r="AL61" i="4" s="1"/>
  <c r="AR110" i="2"/>
  <c r="AN11" i="8"/>
  <c r="AN43" i="8"/>
  <c r="AN93" i="8" s="1"/>
  <c r="AN95" i="2"/>
  <c r="AM197" i="4" s="1"/>
  <c r="AN110" i="2"/>
  <c r="AN106" i="2"/>
  <c r="AN109" i="2"/>
  <c r="AM9" i="4"/>
  <c r="AN105" i="2"/>
  <c r="AN96" i="2"/>
  <c r="AH62" i="4"/>
  <c r="AH61" i="4" s="1"/>
  <c r="AJ11" i="8"/>
  <c r="AJ43" i="8"/>
  <c r="AJ96" i="2"/>
  <c r="AJ110" i="2"/>
  <c r="AJ105" i="2"/>
  <c r="AJ106" i="2"/>
  <c r="AJ109" i="2"/>
  <c r="AD62" i="4"/>
  <c r="AD61" i="4" s="1"/>
  <c r="AJ95" i="2"/>
  <c r="AI55" i="4"/>
  <c r="AB11" i="8"/>
  <c r="AB43" i="8"/>
  <c r="AB93" i="8" s="1"/>
  <c r="AB95" i="2"/>
  <c r="AB96" i="2"/>
  <c r="AB105" i="2"/>
  <c r="AB106" i="2"/>
  <c r="AB109" i="2"/>
  <c r="AB110" i="2"/>
  <c r="AA9" i="4"/>
  <c r="AA11" i="4" s="1"/>
  <c r="AA21" i="4" s="1"/>
  <c r="AA55" i="4"/>
  <c r="X43" i="8"/>
  <c r="X94" i="8" s="1"/>
  <c r="X11" i="8"/>
  <c r="X95" i="2"/>
  <c r="X105" i="2"/>
  <c r="X109" i="2"/>
  <c r="W35" i="4"/>
  <c r="W34" i="4" s="1"/>
  <c r="X96" i="2"/>
  <c r="W9" i="4"/>
  <c r="W55" i="4"/>
  <c r="X110" i="2"/>
  <c r="T11" i="8"/>
  <c r="T43" i="8"/>
  <c r="T55" i="8" s="1"/>
  <c r="T95" i="2"/>
  <c r="T96" i="2"/>
  <c r="T110" i="2"/>
  <c r="T109" i="2"/>
  <c r="S9" i="4"/>
  <c r="S35" i="4"/>
  <c r="S33" i="4" s="1"/>
  <c r="S55" i="4"/>
  <c r="T105" i="2"/>
  <c r="P11" i="8"/>
  <c r="P43" i="8"/>
  <c r="P110" i="2"/>
  <c r="P95" i="2"/>
  <c r="P105" i="2"/>
  <c r="P109" i="2"/>
  <c r="P96" i="2"/>
  <c r="O9" i="4"/>
  <c r="O11" i="4" s="1"/>
  <c r="O35" i="4"/>
  <c r="O33" i="4" s="1"/>
  <c r="O55" i="4"/>
  <c r="H11" i="8"/>
  <c r="H43" i="8"/>
  <c r="H41" i="8" s="1"/>
  <c r="H95" i="2"/>
  <c r="G197" i="4" s="1"/>
  <c r="H105" i="2"/>
  <c r="H109" i="2"/>
  <c r="H110" i="2"/>
  <c r="G55" i="4"/>
  <c r="H96" i="2"/>
  <c r="G9" i="4"/>
  <c r="G18" i="1"/>
  <c r="L19" i="1" s="1"/>
  <c r="Z72" i="310"/>
  <c r="P72" i="310"/>
  <c r="AQ62" i="4"/>
  <c r="AQ61" i="4" s="1"/>
  <c r="AB55" i="4"/>
  <c r="L55" i="4"/>
  <c r="X35" i="4"/>
  <c r="X34" i="4" s="1"/>
  <c r="G35" i="4"/>
  <c r="G33" i="4" s="1"/>
  <c r="BW9" i="4"/>
  <c r="BW11" i="4" s="1"/>
  <c r="BK9" i="4"/>
  <c r="BK11" i="4" s="1"/>
  <c r="BK21" i="4" s="1"/>
  <c r="AV9" i="4"/>
  <c r="AF9" i="4"/>
  <c r="AF11" i="4" s="1"/>
  <c r="AF21" i="4" s="1"/>
  <c r="AF23" i="4" s="1"/>
  <c r="BH98" i="2"/>
  <c r="BG215" i="4" s="1"/>
  <c r="BH99" i="2"/>
  <c r="AN98" i="2"/>
  <c r="AM215" i="4" s="1"/>
  <c r="AN99" i="2"/>
  <c r="AJ99" i="2"/>
  <c r="X98" i="2"/>
  <c r="W215" i="4" s="1"/>
  <c r="T98" i="2"/>
  <c r="S215" i="4" s="1"/>
  <c r="T99" i="2"/>
  <c r="H98" i="2"/>
  <c r="G215" i="4" s="1"/>
  <c r="H99" i="2"/>
  <c r="CA11" i="8"/>
  <c r="CA96" i="2"/>
  <c r="CA105" i="2"/>
  <c r="CA106" i="2"/>
  <c r="CA109" i="2"/>
  <c r="BZ9" i="4"/>
  <c r="BZ11" i="4" s="1"/>
  <c r="BZ21" i="4" s="1"/>
  <c r="CA110" i="2"/>
  <c r="BW11" i="8"/>
  <c r="BW10" i="8" s="1"/>
  <c r="BW16" i="8" s="1"/>
  <c r="BW14" i="8" s="1"/>
  <c r="BW43" i="8"/>
  <c r="BW93" i="8" s="1"/>
  <c r="BW96" i="2"/>
  <c r="BW110" i="2"/>
  <c r="BW109" i="2"/>
  <c r="BV9" i="4"/>
  <c r="BV11" i="4" s="1"/>
  <c r="BV21" i="4" s="1"/>
  <c r="BW105" i="2"/>
  <c r="BW106" i="2"/>
  <c r="BS11" i="8"/>
  <c r="BS10" i="8"/>
  <c r="BS16" i="8" s="1"/>
  <c r="BS43" i="8"/>
  <c r="BS93" i="8" s="1"/>
  <c r="BS96" i="2"/>
  <c r="BS110" i="2"/>
  <c r="BS95" i="2"/>
  <c r="BS198" i="1" s="1"/>
  <c r="BS105" i="2"/>
  <c r="BS106" i="2"/>
  <c r="BS109" i="2"/>
  <c r="BR9" i="4"/>
  <c r="BR11" i="4" s="1"/>
  <c r="BR21" i="4" s="1"/>
  <c r="BK11" i="8"/>
  <c r="BK10" i="8" s="1"/>
  <c r="BK43" i="8"/>
  <c r="BK93" i="8" s="1"/>
  <c r="BK95" i="2"/>
  <c r="BK96" i="2"/>
  <c r="BK105" i="2"/>
  <c r="BK106" i="2"/>
  <c r="BK109" i="2"/>
  <c r="BK110" i="2"/>
  <c r="BJ9" i="4"/>
  <c r="BG11" i="8"/>
  <c r="BG43" i="8"/>
  <c r="BG96" i="2"/>
  <c r="BG105" i="2"/>
  <c r="BG106" i="2"/>
  <c r="BG109" i="2"/>
  <c r="BG95" i="2"/>
  <c r="BG110" i="2"/>
  <c r="BC11" i="8"/>
  <c r="BC43" i="8"/>
  <c r="BC96" i="2"/>
  <c r="BC95" i="2"/>
  <c r="BC110" i="2"/>
  <c r="BC109" i="2"/>
  <c r="BC105" i="2"/>
  <c r="AW62" i="4"/>
  <c r="AW61" i="4" s="1"/>
  <c r="BC106" i="2"/>
  <c r="AY11" i="8"/>
  <c r="AY10" i="8" s="1"/>
  <c r="AY16" i="8" s="1"/>
  <c r="AY43" i="8"/>
  <c r="AY91" i="8" s="1"/>
  <c r="AY95" i="2"/>
  <c r="AY96" i="2"/>
  <c r="AY110" i="2"/>
  <c r="AY105" i="2"/>
  <c r="AY106" i="2"/>
  <c r="AY109" i="2"/>
  <c r="AX9" i="4"/>
  <c r="AX11" i="4" s="1"/>
  <c r="AX21" i="4" s="1"/>
  <c r="AS62" i="4"/>
  <c r="AS61" i="4" s="1"/>
  <c r="AQ11" i="8"/>
  <c r="AQ10" i="8" s="1"/>
  <c r="AQ43" i="8"/>
  <c r="AQ93" i="8" s="1"/>
  <c r="AQ96" i="2"/>
  <c r="AQ95" i="2"/>
  <c r="AQ105" i="2"/>
  <c r="AQ106" i="2"/>
  <c r="AQ109" i="2"/>
  <c r="AQ110" i="2"/>
  <c r="AP9" i="4"/>
  <c r="AP11" i="4" s="1"/>
  <c r="AK62" i="4"/>
  <c r="AK61" i="4" s="1"/>
  <c r="AM11" i="8"/>
  <c r="AM26" i="8" s="1"/>
  <c r="AM43" i="8"/>
  <c r="AM92" i="8"/>
  <c r="AM96" i="2"/>
  <c r="AM95" i="2"/>
  <c r="AM105" i="2"/>
  <c r="AM106" i="2"/>
  <c r="AM109" i="2"/>
  <c r="AL9" i="4"/>
  <c r="AL11" i="4" s="1"/>
  <c r="AL21" i="4" s="1"/>
  <c r="AM110" i="2"/>
  <c r="AI11" i="8"/>
  <c r="AI43" i="8"/>
  <c r="AI95" i="2"/>
  <c r="AI96" i="2"/>
  <c r="AI110" i="2"/>
  <c r="AI109" i="2"/>
  <c r="AH55" i="4"/>
  <c r="AI105" i="2"/>
  <c r="AH9" i="4"/>
  <c r="AI106" i="2"/>
  <c r="AE11" i="8"/>
  <c r="AE10" i="8" s="1"/>
  <c r="AE43" i="8"/>
  <c r="AE91" i="8" s="1"/>
  <c r="AE95" i="2"/>
  <c r="AD197" i="4" s="1"/>
  <c r="AE96" i="2"/>
  <c r="AE110" i="2"/>
  <c r="AE105" i="2"/>
  <c r="AE106" i="2"/>
  <c r="AE109" i="2"/>
  <c r="AD9" i="4"/>
  <c r="AD55" i="4"/>
  <c r="W11" i="8"/>
  <c r="W43" i="8"/>
  <c r="W94" i="8" s="1"/>
  <c r="W96" i="2"/>
  <c r="W105" i="2"/>
  <c r="W109" i="2"/>
  <c r="W110" i="2"/>
  <c r="W95" i="2"/>
  <c r="V9" i="4"/>
  <c r="V11" i="4" s="1"/>
  <c r="V21" i="4" s="1"/>
  <c r="V55" i="4"/>
  <c r="V35" i="4"/>
  <c r="V33" i="4" s="1"/>
  <c r="V42" i="4" s="1"/>
  <c r="S11" i="8"/>
  <c r="S10" i="8"/>
  <c r="S43" i="8"/>
  <c r="S55" i="8" s="1"/>
  <c r="S95" i="2"/>
  <c r="S96" i="2"/>
  <c r="S105" i="2"/>
  <c r="S109" i="2"/>
  <c r="R9" i="4"/>
  <c r="R35" i="4"/>
  <c r="R34" i="4"/>
  <c r="W43" i="4" s="1"/>
  <c r="R55" i="4"/>
  <c r="S110" i="2"/>
  <c r="O11" i="8"/>
  <c r="O43" i="8"/>
  <c r="O95" i="2"/>
  <c r="O96" i="2"/>
  <c r="O110" i="2"/>
  <c r="O109" i="2"/>
  <c r="N55" i="4"/>
  <c r="O105" i="2"/>
  <c r="N9" i="4"/>
  <c r="N11" i="4" s="1"/>
  <c r="N21" i="4" s="1"/>
  <c r="N35" i="4"/>
  <c r="K11" i="8"/>
  <c r="K43" i="8"/>
  <c r="K95" i="2"/>
  <c r="J197" i="4" s="1"/>
  <c r="K96" i="2"/>
  <c r="K110" i="2"/>
  <c r="K105" i="2"/>
  <c r="K109" i="2"/>
  <c r="J55" i="4"/>
  <c r="J35" i="4"/>
  <c r="J33" i="4" s="1"/>
  <c r="C41" i="8"/>
  <c r="C54" i="8" s="1"/>
  <c r="X55" i="4"/>
  <c r="H55" i="4"/>
  <c r="BF9" i="4"/>
  <c r="AQ9" i="4"/>
  <c r="AQ11" i="4" s="1"/>
  <c r="AQ21" i="4" s="1"/>
  <c r="AQ23" i="4" s="1"/>
  <c r="BT63" i="2"/>
  <c r="BU64" i="2" s="1"/>
  <c r="BY59" i="2"/>
  <c r="BT59" i="2"/>
  <c r="BV59" i="2"/>
  <c r="BV62" i="2" s="1"/>
  <c r="BY24" i="1"/>
  <c r="Q79" i="310"/>
  <c r="C31" i="447"/>
  <c r="C67" i="1"/>
  <c r="AC221" i="4"/>
  <c r="AD195" i="1"/>
  <c r="AB221" i="4"/>
  <c r="AT37" i="3"/>
  <c r="AU37" i="3"/>
  <c r="AS70" i="2"/>
  <c r="AS83" i="2"/>
  <c r="AB57" i="2"/>
  <c r="CC99" i="2"/>
  <c r="CE162" i="1"/>
  <c r="T67" i="1"/>
  <c r="AA54" i="1"/>
  <c r="AY97" i="3"/>
  <c r="AY82" i="2" s="1"/>
  <c r="AZ82" i="2" s="1"/>
  <c r="Q137" i="1"/>
  <c r="BX99" i="2"/>
  <c r="BY19" i="1"/>
  <c r="BO35" i="1"/>
  <c r="BO39" i="1" s="1"/>
  <c r="BJ15" i="1"/>
  <c r="BO24" i="1"/>
  <c r="C40" i="8"/>
  <c r="P26" i="1"/>
  <c r="P139" i="1"/>
  <c r="P45" i="1"/>
  <c r="R155" i="1"/>
  <c r="P172" i="1"/>
  <c r="T180" i="1"/>
  <c r="P169" i="1"/>
  <c r="P170" i="1"/>
  <c r="P180" i="1"/>
  <c r="P171" i="1"/>
  <c r="R180" i="1"/>
  <c r="P155" i="1"/>
  <c r="S180" i="1"/>
  <c r="P181" i="1"/>
  <c r="P113" i="2" s="1"/>
  <c r="BJ32" i="1"/>
  <c r="Q35" i="1"/>
  <c r="Q39" i="1" s="1"/>
  <c r="H67" i="1"/>
  <c r="N67" i="1"/>
  <c r="Y102" i="1"/>
  <c r="Y103" i="1" s="1"/>
  <c r="Y174" i="1"/>
  <c r="I181" i="1"/>
  <c r="I113" i="2" s="1"/>
  <c r="Q19" i="1"/>
  <c r="M67" i="1"/>
  <c r="W41" i="1"/>
  <c r="V194" i="4" s="1"/>
  <c r="W67" i="1"/>
  <c r="L34" i="2"/>
  <c r="K43" i="2"/>
  <c r="AZ95" i="2"/>
  <c r="AZ11" i="8"/>
  <c r="AZ34" i="8" s="1"/>
  <c r="AZ35" i="8" s="1"/>
  <c r="F31" i="447"/>
  <c r="CE68" i="2"/>
  <c r="CE69" i="2" s="1"/>
  <c r="L72" i="310"/>
  <c r="BM67" i="1"/>
  <c r="BM68" i="1" s="1"/>
  <c r="BL195" i="4" s="1"/>
  <c r="AJ29" i="1"/>
  <c r="BO137" i="1"/>
  <c r="AB65" i="3"/>
  <c r="Q46" i="1"/>
  <c r="BR58" i="8"/>
  <c r="BR19" i="8" s="1"/>
  <c r="BR82" i="8"/>
  <c r="BR87" i="8" s="1"/>
  <c r="BE19" i="1"/>
  <c r="BE137" i="1"/>
  <c r="BS53" i="8"/>
  <c r="BS49" i="8"/>
  <c r="BT49" i="8"/>
  <c r="AZ162" i="310"/>
  <c r="AS184" i="310"/>
  <c r="BJ19" i="1"/>
  <c r="BJ24" i="1"/>
  <c r="BJ137" i="1"/>
  <c r="BJ35" i="1"/>
  <c r="BJ39" i="1"/>
  <c r="BO22" i="1"/>
  <c r="BO138" i="1"/>
  <c r="BT138" i="1"/>
  <c r="AZ37" i="3"/>
  <c r="AY91" i="3"/>
  <c r="AE33" i="1"/>
  <c r="AE38" i="1"/>
  <c r="AE157" i="1"/>
  <c r="AL33" i="1"/>
  <c r="AL38" i="1"/>
  <c r="AL157" i="1"/>
  <c r="AS63" i="8"/>
  <c r="BH33" i="1"/>
  <c r="BH38" i="1"/>
  <c r="BH41" i="1" s="1"/>
  <c r="BG194" i="4" s="1"/>
  <c r="BH157" i="1"/>
  <c r="AQ157" i="1"/>
  <c r="BF33" i="1"/>
  <c r="BF141" i="1"/>
  <c r="BF157" i="1"/>
  <c r="BF38" i="1"/>
  <c r="BX58" i="8"/>
  <c r="BX19" i="8" s="1"/>
  <c r="BX82" i="8"/>
  <c r="BX87" i="8" s="1"/>
  <c r="CG73" i="8"/>
  <c r="BH76" i="2"/>
  <c r="BX33" i="1"/>
  <c r="BX38" i="1"/>
  <c r="BX41" i="1" s="1"/>
  <c r="BW194" i="4" s="1"/>
  <c r="BZ157" i="1"/>
  <c r="AC33" i="1"/>
  <c r="AC38" i="1"/>
  <c r="AC41" i="1" s="1"/>
  <c r="AB194" i="4" s="1"/>
  <c r="AZ45" i="1"/>
  <c r="AZ46" i="1"/>
  <c r="AZ143" i="1"/>
  <c r="AZ169" i="1"/>
  <c r="BM141" i="1"/>
  <c r="P15" i="8"/>
  <c r="BY53" i="8"/>
  <c r="BV58" i="8"/>
  <c r="BV19" i="8" s="1"/>
  <c r="BV82" i="8"/>
  <c r="BV87" i="8" s="1"/>
  <c r="BV55" i="8"/>
  <c r="BY34" i="2"/>
  <c r="BX43" i="2"/>
  <c r="AP139" i="1"/>
  <c r="AP169" i="1"/>
  <c r="AP25" i="1"/>
  <c r="BG33" i="1"/>
  <c r="BG141" i="1"/>
  <c r="BG157" i="1"/>
  <c r="BI141" i="1"/>
  <c r="BN141" i="1"/>
  <c r="BI38" i="1"/>
  <c r="BI157" i="1"/>
  <c r="AK45" i="1"/>
  <c r="BB41" i="1"/>
  <c r="BA194" i="4" s="1"/>
  <c r="BB67" i="1"/>
  <c r="AD33" i="1"/>
  <c r="AD38" i="1"/>
  <c r="AD41" i="1" s="1"/>
  <c r="AC194" i="4" s="1"/>
  <c r="AD157" i="1"/>
  <c r="AD141" i="1"/>
  <c r="BI99" i="3"/>
  <c r="BJ99" i="3" s="1"/>
  <c r="AB186" i="310"/>
  <c r="BS59" i="8"/>
  <c r="BS20" i="8" s="1"/>
  <c r="BS83" i="8"/>
  <c r="BS88" i="8" s="1"/>
  <c r="BR55" i="8"/>
  <c r="BG38" i="1"/>
  <c r="AK172" i="1"/>
  <c r="AN157" i="1"/>
  <c r="CG70" i="8"/>
  <c r="CG72" i="8" s="1"/>
  <c r="BT22" i="1"/>
  <c r="BT143" i="1"/>
  <c r="BY76" i="1"/>
  <c r="BX104" i="1"/>
  <c r="AZ15" i="8"/>
  <c r="AZ9" i="1"/>
  <c r="Q9" i="8"/>
  <c r="BE9" i="1"/>
  <c r="BE15" i="8"/>
  <c r="BE29" i="8"/>
  <c r="BE24" i="8"/>
  <c r="BT54" i="8"/>
  <c r="BP59" i="8"/>
  <c r="BP20" i="8"/>
  <c r="BP83" i="8"/>
  <c r="BP88" i="8" s="1"/>
  <c r="T199" i="4"/>
  <c r="AK34" i="2"/>
  <c r="AJ43" i="2"/>
  <c r="AK43" i="2" s="1"/>
  <c r="BM16" i="1"/>
  <c r="CB55" i="8"/>
  <c r="BE35" i="1"/>
  <c r="BE39" i="1" s="1"/>
  <c r="AU143" i="1"/>
  <c r="AN67" i="1"/>
  <c r="BT47" i="8"/>
  <c r="BY35" i="1"/>
  <c r="BY39" i="1" s="1"/>
  <c r="BY137" i="1"/>
  <c r="BK17" i="1"/>
  <c r="BN16" i="1"/>
  <c r="AB181" i="1"/>
  <c r="AB113" i="2" s="1"/>
  <c r="Z181" i="1"/>
  <c r="Z113" i="2" s="1"/>
  <c r="BT137" i="1"/>
  <c r="Q143" i="1"/>
  <c r="W162" i="1"/>
  <c r="W181" i="1"/>
  <c r="W113" i="2" s="1"/>
  <c r="X181" i="1"/>
  <c r="X113" i="2" s="1"/>
  <c r="U146" i="1"/>
  <c r="Y181" i="1"/>
  <c r="Y113" i="2" s="1"/>
  <c r="U162" i="1"/>
  <c r="U181" i="1"/>
  <c r="U113" i="2" s="1"/>
  <c r="CI60" i="1"/>
  <c r="BD155" i="310"/>
  <c r="BN218" i="4"/>
  <c r="CI12" i="3"/>
  <c r="CD37" i="3"/>
  <c r="CC91" i="3"/>
  <c r="AX79" i="3"/>
  <c r="CF56" i="2"/>
  <c r="CC57" i="2"/>
  <c r="CD68" i="2"/>
  <c r="CD25" i="3"/>
  <c r="CC79" i="3"/>
  <c r="CS60" i="2"/>
  <c r="CD39" i="3"/>
  <c r="CC93" i="3"/>
  <c r="CE212" i="4"/>
  <c r="CF193" i="1"/>
  <c r="CE30" i="2"/>
  <c r="CE34" i="2" s="1"/>
  <c r="CE43" i="2" s="1"/>
  <c r="CN60" i="2"/>
  <c r="CD37" i="2"/>
  <c r="CD19" i="2"/>
  <c r="CD14" i="3"/>
  <c r="CC68" i="3"/>
  <c r="CD68" i="3" s="1"/>
  <c r="AK199" i="1"/>
  <c r="CD29" i="3"/>
  <c r="CC83" i="3"/>
  <c r="C93" i="8"/>
  <c r="W91" i="8"/>
  <c r="AE34" i="8"/>
  <c r="AE35" i="8" s="1"/>
  <c r="AM93" i="8"/>
  <c r="AR100" i="8"/>
  <c r="AQ34" i="8"/>
  <c r="AQ35" i="8" s="1"/>
  <c r="AY93" i="8"/>
  <c r="BC198" i="1"/>
  <c r="BB197" i="4"/>
  <c r="BW92" i="8"/>
  <c r="BW91" i="8"/>
  <c r="AO91" i="8"/>
  <c r="AS92" i="8"/>
  <c r="AW10" i="8"/>
  <c r="CD138" i="1"/>
  <c r="CD22" i="1"/>
  <c r="V79" i="310"/>
  <c r="AV32" i="1"/>
  <c r="AV35" i="1"/>
  <c r="AV39" i="1" s="1"/>
  <c r="Q76" i="1"/>
  <c r="P104" i="1"/>
  <c r="CK40" i="1"/>
  <c r="CU40" i="1"/>
  <c r="CD37" i="1"/>
  <c r="CD40" i="1" s="1"/>
  <c r="CD45" i="2"/>
  <c r="CI73" i="2" s="1"/>
  <c r="T94" i="8"/>
  <c r="T93" i="8"/>
  <c r="X93" i="8"/>
  <c r="X55" i="8"/>
  <c r="X60" i="8" s="1"/>
  <c r="X21" i="8" s="1"/>
  <c r="S16" i="8" s="1"/>
  <c r="S14" i="8" s="1"/>
  <c r="AY197" i="4"/>
  <c r="AD41" i="8"/>
  <c r="AD93" i="8" s="1"/>
  <c r="AD91" i="8"/>
  <c r="AD92" i="8"/>
  <c r="AH94" i="8"/>
  <c r="AM100" i="8"/>
  <c r="AL10" i="8"/>
  <c r="BB198" i="1"/>
  <c r="BT11" i="8"/>
  <c r="BT95" i="2"/>
  <c r="BT96" i="2"/>
  <c r="BT45" i="1"/>
  <c r="BT169" i="1"/>
  <c r="AI91" i="8"/>
  <c r="BH100" i="8"/>
  <c r="BS92" i="8"/>
  <c r="G24" i="1"/>
  <c r="G172" i="1" s="1"/>
  <c r="L137" i="1"/>
  <c r="AJ92" i="8"/>
  <c r="AJ91" i="8"/>
  <c r="AJ93" i="8"/>
  <c r="BH91" i="8"/>
  <c r="BH79" i="8"/>
  <c r="BM100" i="8"/>
  <c r="BH93" i="8"/>
  <c r="AC55" i="8"/>
  <c r="AC84" i="8" s="1"/>
  <c r="AC31" i="8" s="1"/>
  <c r="AF197" i="4"/>
  <c r="AS26" i="8"/>
  <c r="AS34" i="8"/>
  <c r="AS35" i="8"/>
  <c r="BA10" i="8"/>
  <c r="BA16" i="8" s="1"/>
  <c r="BM10" i="8"/>
  <c r="BM16" i="8" s="1"/>
  <c r="BM14" i="8" s="1"/>
  <c r="BM34" i="8"/>
  <c r="BM35" i="8" s="1"/>
  <c r="BQ93" i="8"/>
  <c r="BQ94" i="8"/>
  <c r="BQ10" i="1"/>
  <c r="BV60" i="8"/>
  <c r="BV21" i="8" s="1"/>
  <c r="N26" i="8"/>
  <c r="N34" i="8"/>
  <c r="N35" i="8" s="1"/>
  <c r="R92" i="8"/>
  <c r="R93" i="8"/>
  <c r="AL198" i="1"/>
  <c r="AX91" i="8"/>
  <c r="AX92" i="8"/>
  <c r="BC100" i="8"/>
  <c r="AX79" i="8"/>
  <c r="BF34" i="8"/>
  <c r="BF35" i="8" s="1"/>
  <c r="BF10" i="8"/>
  <c r="BF10" i="1" s="1"/>
  <c r="Q32" i="1"/>
  <c r="P33" i="1"/>
  <c r="P38" i="1"/>
  <c r="P41" i="1" s="1"/>
  <c r="O194" i="4" s="1"/>
  <c r="P157" i="1"/>
  <c r="G35" i="1"/>
  <c r="G39" i="1" s="1"/>
  <c r="AC65" i="3"/>
  <c r="CC39" i="1"/>
  <c r="AQ92" i="8"/>
  <c r="AV100" i="8"/>
  <c r="BG93" i="8"/>
  <c r="BG91" i="8"/>
  <c r="BG92" i="8"/>
  <c r="BR197" i="4"/>
  <c r="AB94" i="8"/>
  <c r="AJ10" i="8"/>
  <c r="AV198" i="1"/>
  <c r="BH34" i="8"/>
  <c r="BH35" i="8" s="1"/>
  <c r="BI91" i="8"/>
  <c r="BI93" i="8"/>
  <c r="BQ34" i="8"/>
  <c r="BQ35" i="8" s="1"/>
  <c r="AH198" i="1"/>
  <c r="L79" i="310"/>
  <c r="L37" i="1"/>
  <c r="L40" i="1" s="1"/>
  <c r="BY11" i="8"/>
  <c r="BY96" i="2"/>
  <c r="BY139" i="1"/>
  <c r="AR35" i="1"/>
  <c r="AR39" i="1" s="1"/>
  <c r="Y82" i="1"/>
  <c r="Y188" i="1" s="1"/>
  <c r="Y189" i="1" s="1"/>
  <c r="Y84" i="1"/>
  <c r="G76" i="447"/>
  <c r="G74" i="447"/>
  <c r="G37" i="447"/>
  <c r="C68" i="1"/>
  <c r="C80" i="1"/>
  <c r="C84" i="1" s="1"/>
  <c r="C174" i="1"/>
  <c r="C102" i="1"/>
  <c r="C103" i="1" s="1"/>
  <c r="CE103" i="4"/>
  <c r="BO11" i="8"/>
  <c r="N174" i="1"/>
  <c r="N68" i="1"/>
  <c r="M195" i="4" s="1"/>
  <c r="N80" i="1"/>
  <c r="C9" i="8"/>
  <c r="BT139" i="1"/>
  <c r="BO172" i="1"/>
  <c r="F71" i="447" s="1"/>
  <c r="BO139" i="1"/>
  <c r="W80" i="1"/>
  <c r="W82" i="1" s="1"/>
  <c r="W188" i="1" s="1"/>
  <c r="W189" i="1" s="1"/>
  <c r="H102" i="1"/>
  <c r="H174" i="1"/>
  <c r="H68" i="1"/>
  <c r="G195" i="4" s="1"/>
  <c r="BM71" i="1"/>
  <c r="BO53" i="1"/>
  <c r="BO45" i="1"/>
  <c r="BO96" i="2"/>
  <c r="L43" i="2"/>
  <c r="K200" i="4"/>
  <c r="K51" i="2"/>
  <c r="J200" i="4"/>
  <c r="AN174" i="1"/>
  <c r="AN80" i="1"/>
  <c r="AN68" i="1"/>
  <c r="AM195" i="4" s="1"/>
  <c r="AJ51" i="2"/>
  <c r="AK51" i="2" s="1"/>
  <c r="BJ95" i="2"/>
  <c r="BJ198" i="1" s="1"/>
  <c r="BJ11" i="8"/>
  <c r="BJ96" i="2"/>
  <c r="H31" i="447"/>
  <c r="BG41" i="1"/>
  <c r="BF194" i="4" s="1"/>
  <c r="BX67" i="1"/>
  <c r="BX229" i="1" s="1"/>
  <c r="CG63" i="8"/>
  <c r="BF41" i="1"/>
  <c r="BE194" i="4" s="1"/>
  <c r="BF67" i="1"/>
  <c r="AE41" i="1"/>
  <c r="AD194" i="4" s="1"/>
  <c r="Q15" i="8"/>
  <c r="BY43" i="2"/>
  <c r="BX200" i="4"/>
  <c r="BX51" i="2"/>
  <c r="BY51" i="2" s="1"/>
  <c r="BW200" i="4"/>
  <c r="BS58" i="8"/>
  <c r="BS19" i="8" s="1"/>
  <c r="BS82" i="8"/>
  <c r="BS87" i="8" s="1"/>
  <c r="BS55" i="8"/>
  <c r="BT53" i="8"/>
  <c r="BB80" i="1"/>
  <c r="BB174" i="1"/>
  <c r="BB68" i="1"/>
  <c r="BB102" i="1"/>
  <c r="BB103" i="1"/>
  <c r="BB71" i="1"/>
  <c r="BI41" i="1"/>
  <c r="BH194" i="4" s="1"/>
  <c r="BI67" i="1"/>
  <c r="BH67" i="1"/>
  <c r="BH102" i="1" s="1"/>
  <c r="BF155" i="310"/>
  <c r="CI17" i="310"/>
  <c r="CE57" i="2"/>
  <c r="CF212" i="4"/>
  <c r="CD44" i="3"/>
  <c r="CC98" i="3"/>
  <c r="CD98" i="3" s="1"/>
  <c r="CG56" i="2"/>
  <c r="CD70" i="2"/>
  <c r="CC83" i="2"/>
  <c r="CI58" i="1"/>
  <c r="CD44" i="1"/>
  <c r="CC184" i="1"/>
  <c r="CC143" i="1"/>
  <c r="CC159" i="1"/>
  <c r="CD48" i="1"/>
  <c r="CC160" i="1"/>
  <c r="CC144" i="1"/>
  <c r="CD52" i="1"/>
  <c r="CC145" i="1"/>
  <c r="CC161" i="1"/>
  <c r="Y89" i="1"/>
  <c r="Y87" i="1"/>
  <c r="Y175" i="1"/>
  <c r="BS197" i="4"/>
  <c r="BT198" i="1"/>
  <c r="CD39" i="2"/>
  <c r="AD16" i="8"/>
  <c r="CP40" i="1"/>
  <c r="CD14" i="2"/>
  <c r="CD22" i="2"/>
  <c r="CC190" i="1"/>
  <c r="CB202" i="4"/>
  <c r="CD28" i="2"/>
  <c r="CD34" i="1"/>
  <c r="C82" i="1"/>
  <c r="C188" i="1" s="1"/>
  <c r="C189" i="1" s="1"/>
  <c r="N84" i="1"/>
  <c r="N87" i="1"/>
  <c r="N82" i="1"/>
  <c r="N188" i="1" s="1"/>
  <c r="N189" i="1" s="1"/>
  <c r="H103" i="1"/>
  <c r="BF102" i="1"/>
  <c r="BF174" i="1"/>
  <c r="BF71" i="1"/>
  <c r="BF80" i="1"/>
  <c r="BF68" i="1"/>
  <c r="BI71" i="1"/>
  <c r="BI174" i="1"/>
  <c r="BI80" i="1"/>
  <c r="BI84" i="1" s="1"/>
  <c r="BI102" i="1"/>
  <c r="BI103" i="1"/>
  <c r="BI68" i="1"/>
  <c r="BH195" i="4"/>
  <c r="BA195" i="4"/>
  <c r="BS60" i="8"/>
  <c r="BS21" i="8" s="1"/>
  <c r="AN82" i="1"/>
  <c r="AN84" i="1"/>
  <c r="AN89" i="1" s="1"/>
  <c r="CI44" i="2"/>
  <c r="CG212" i="4"/>
  <c r="CC146" i="1"/>
  <c r="CC66" i="1"/>
  <c r="CD17" i="2"/>
  <c r="CC141" i="1"/>
  <c r="CC157" i="1"/>
  <c r="CD32" i="1"/>
  <c r="CD21" i="3"/>
  <c r="CC77" i="3"/>
  <c r="CC80" i="3"/>
  <c r="CD26" i="3"/>
  <c r="CC78" i="3"/>
  <c r="CD24" i="3"/>
  <c r="CD27" i="3"/>
  <c r="CC81" i="3"/>
  <c r="BY9" i="1"/>
  <c r="CB211" i="4"/>
  <c r="CD10" i="2"/>
  <c r="CC211" i="4" s="1"/>
  <c r="AN91" i="1"/>
  <c r="AN188" i="1"/>
  <c r="AN189" i="1" s="1"/>
  <c r="BI105" i="1"/>
  <c r="BI110" i="1" s="1"/>
  <c r="BE195" i="4"/>
  <c r="BF84" i="1"/>
  <c r="BF87" i="1" s="1"/>
  <c r="BF82" i="1"/>
  <c r="BF103" i="1"/>
  <c r="BH155" i="310"/>
  <c r="CI32" i="2"/>
  <c r="CI42" i="3"/>
  <c r="CD46" i="3"/>
  <c r="CC100" i="3"/>
  <c r="CD27" i="2"/>
  <c r="CD20" i="3"/>
  <c r="CC74" i="3"/>
  <c r="CD26" i="2"/>
  <c r="CD98" i="2" s="1"/>
  <c r="CC215" i="4" s="1"/>
  <c r="BF188" i="1"/>
  <c r="BF189" i="1" s="1"/>
  <c r="BF91" i="1"/>
  <c r="BF107" i="1"/>
  <c r="BF175" i="1"/>
  <c r="CD47" i="2"/>
  <c r="CC76" i="3"/>
  <c r="CD23" i="3"/>
  <c r="CC75" i="3"/>
  <c r="CD22" i="3"/>
  <c r="CD81" i="1"/>
  <c r="CB75" i="4"/>
  <c r="CB77" i="4"/>
  <c r="CB78" i="4"/>
  <c r="CC74" i="4"/>
  <c r="CB113" i="4"/>
  <c r="CB115" i="4" s="1"/>
  <c r="CB114" i="4"/>
  <c r="CC111" i="4"/>
  <c r="CD75" i="4"/>
  <c r="CD78" i="4"/>
  <c r="CD77" i="4"/>
  <c r="CE23" i="1"/>
  <c r="CE22" i="1"/>
  <c r="CF138" i="1"/>
  <c r="CF154" i="1"/>
  <c r="CE20" i="1"/>
  <c r="CE19" i="1"/>
  <c r="CD211" i="4"/>
  <c r="CD202" i="4"/>
  <c r="CB62" i="3"/>
  <c r="CB88" i="2" s="1"/>
  <c r="CB51" i="3"/>
  <c r="CD106" i="1"/>
  <c r="CD8" i="3"/>
  <c r="CC62" i="3"/>
  <c r="CC88" i="2" s="1"/>
  <c r="CC89" i="2" s="1"/>
  <c r="CC53" i="2"/>
  <c r="CD8" i="2"/>
  <c r="CC210" i="4" s="1"/>
  <c r="CC214" i="4" s="1"/>
  <c r="CC15" i="2"/>
  <c r="CD15" i="2"/>
  <c r="CB210" i="4"/>
  <c r="CB214" i="4" s="1"/>
  <c r="CC192" i="1"/>
  <c r="CD48" i="2"/>
  <c r="CC50" i="2"/>
  <c r="CD50" i="2" s="1"/>
  <c r="CE88" i="2"/>
  <c r="CD85" i="2"/>
  <c r="CI81" i="2" s="1"/>
  <c r="CD10" i="3"/>
  <c r="CC64" i="3"/>
  <c r="CC197" i="1" s="1"/>
  <c r="CD35" i="3"/>
  <c r="CC89" i="3"/>
  <c r="CC195" i="1" s="1"/>
  <c r="CD43" i="3"/>
  <c r="CC97" i="3"/>
  <c r="CE192" i="1"/>
  <c r="CE15" i="2"/>
  <c r="CE24" i="2" s="1"/>
  <c r="CD210" i="4"/>
  <c r="CD214" i="4" s="1"/>
  <c r="CC57" i="310"/>
  <c r="CD48" i="310"/>
  <c r="CC32" i="310"/>
  <c r="CD39" i="8"/>
  <c r="CD9" i="1" s="1"/>
  <c r="CC75" i="8"/>
  <c r="CC52" i="8"/>
  <c r="CH81" i="8" s="1"/>
  <c r="CC9" i="8"/>
  <c r="CC15" i="8" s="1"/>
  <c r="CC29" i="8" s="1"/>
  <c r="CD40" i="8"/>
  <c r="CC76" i="8"/>
  <c r="CC53" i="8"/>
  <c r="CC58" i="8" s="1"/>
  <c r="CC19" i="8" s="1"/>
  <c r="CD41" i="8"/>
  <c r="CC77" i="8"/>
  <c r="CC54" i="8"/>
  <c r="CC83" i="8"/>
  <c r="CC88" i="8"/>
  <c r="CC59" i="8"/>
  <c r="CC20" i="8" s="1"/>
  <c r="CE119" i="1"/>
  <c r="CE82" i="2"/>
  <c r="CE140" i="2"/>
  <c r="CE197" i="1"/>
  <c r="CD218" i="4"/>
  <c r="CE40" i="3"/>
  <c r="CE126" i="2"/>
  <c r="CE128" i="2"/>
  <c r="CE83" i="2"/>
  <c r="CE57" i="310"/>
  <c r="CE58" i="310" s="1"/>
  <c r="CE63" i="310"/>
  <c r="CE64" i="310"/>
  <c r="CE62" i="310"/>
  <c r="CE33" i="310"/>
  <c r="CE32" i="310"/>
  <c r="CF137" i="1"/>
  <c r="CF153" i="1"/>
  <c r="CF190" i="1"/>
  <c r="CE202" i="4"/>
  <c r="CE211" i="4"/>
  <c r="CF184" i="1"/>
  <c r="CF46" i="1"/>
  <c r="CF159" i="1"/>
  <c r="CF47" i="1"/>
  <c r="CF143" i="1"/>
  <c r="CF50" i="1"/>
  <c r="CF144" i="1"/>
  <c r="CF51" i="1"/>
  <c r="CF160" i="1"/>
  <c r="CF161" i="1"/>
  <c r="CF145" i="1"/>
  <c r="CF54" i="1"/>
  <c r="CF55" i="1"/>
  <c r="CF162" i="1"/>
  <c r="CF34" i="2"/>
  <c r="CF43" i="2" s="1"/>
  <c r="CF51" i="2" s="1"/>
  <c r="CD221" i="4"/>
  <c r="CE195" i="1"/>
  <c r="CF57" i="2"/>
  <c r="CI16" i="3"/>
  <c r="CG219" i="4"/>
  <c r="CI70" i="3"/>
  <c r="CH219" i="4" s="1"/>
  <c r="CF219" i="4"/>
  <c r="CE210" i="4"/>
  <c r="CE214" i="4" s="1"/>
  <c r="CF192" i="1"/>
  <c r="CF15" i="2"/>
  <c r="CF24" i="2" s="1"/>
  <c r="CE199" i="4" s="1"/>
  <c r="CE218" i="4"/>
  <c r="CF197" i="1"/>
  <c r="CF140" i="2"/>
  <c r="CF126" i="2"/>
  <c r="CF128" i="2"/>
  <c r="CE221" i="4"/>
  <c r="CF195" i="1"/>
  <c r="CF83" i="2"/>
  <c r="CF32" i="310"/>
  <c r="CF33" i="310"/>
  <c r="CF40" i="310"/>
  <c r="AH94" i="3"/>
  <c r="F94" i="3"/>
  <c r="Y221" i="4"/>
  <c r="AE221" i="4"/>
  <c r="V197" i="1"/>
  <c r="BU69" i="2"/>
  <c r="CA138" i="2"/>
  <c r="BV138" i="2"/>
  <c r="AN102" i="1"/>
  <c r="AL29" i="1"/>
  <c r="K184" i="1"/>
  <c r="BW181" i="1"/>
  <c r="BW113" i="2" s="1"/>
  <c r="BF170" i="1"/>
  <c r="AB170" i="1"/>
  <c r="BA169" i="1"/>
  <c r="AB169" i="1"/>
  <c r="J169" i="1"/>
  <c r="BL162" i="1"/>
  <c r="AH162" i="1"/>
  <c r="W161" i="1"/>
  <c r="R160" i="1"/>
  <c r="M159" i="1"/>
  <c r="BK155" i="1"/>
  <c r="BA155" i="1"/>
  <c r="O155" i="1"/>
  <c r="E155" i="1"/>
  <c r="BW153" i="1"/>
  <c r="P153" i="1"/>
  <c r="S146" i="1"/>
  <c r="AW145" i="1"/>
  <c r="BK139" i="1"/>
  <c r="AV139" i="1"/>
  <c r="AB139" i="1"/>
  <c r="O139" i="1"/>
  <c r="BV137" i="1"/>
  <c r="AR55" i="1"/>
  <c r="AQ53" i="1"/>
  <c r="BF53" i="1"/>
  <c r="BF49" i="1"/>
  <c r="AQ49" i="1"/>
  <c r="O49" i="1"/>
  <c r="BK45" i="1"/>
  <c r="O45" i="1"/>
  <c r="U37" i="1"/>
  <c r="U40" i="1" s="1"/>
  <c r="BQ35" i="1"/>
  <c r="BQ39" i="1" s="1"/>
  <c r="O33" i="1"/>
  <c r="BV24" i="1"/>
  <c r="BA15" i="1"/>
  <c r="AK137" i="1"/>
  <c r="CD117" i="1"/>
  <c r="BV209" i="1"/>
  <c r="BQ210" i="1"/>
  <c r="O184" i="1"/>
  <c r="AJ181" i="1"/>
  <c r="AJ113" i="2" s="1"/>
  <c r="BA180" i="1"/>
  <c r="M180" i="1"/>
  <c r="O172" i="1"/>
  <c r="BW171" i="1"/>
  <c r="BQ171" i="1"/>
  <c r="BK171" i="1"/>
  <c r="BF171" i="1"/>
  <c r="BA171" i="1"/>
  <c r="AL171" i="1"/>
  <c r="BK170" i="1"/>
  <c r="AQ170" i="1"/>
  <c r="O170" i="1"/>
  <c r="BF169" i="1"/>
  <c r="O169" i="1"/>
  <c r="N162" i="1"/>
  <c r="AR161" i="1"/>
  <c r="U161" i="1"/>
  <c r="P160" i="1"/>
  <c r="K159" i="1"/>
  <c r="BG155" i="1"/>
  <c r="BV153" i="1"/>
  <c r="P143" i="1"/>
  <c r="K143" i="1"/>
  <c r="BQ139" i="1"/>
  <c r="K65" i="1"/>
  <c r="O53" i="1"/>
  <c r="BA53" i="1"/>
  <c r="BK49" i="1"/>
  <c r="AB49" i="1"/>
  <c r="D49" i="1"/>
  <c r="AV45" i="1"/>
  <c r="D45" i="1"/>
  <c r="AQ45" i="1"/>
  <c r="O38" i="1"/>
  <c r="O41" i="1" s="1"/>
  <c r="N194" i="4" s="1"/>
  <c r="BV35" i="1"/>
  <c r="BV39" i="1" s="1"/>
  <c r="BA38" i="1"/>
  <c r="BA41" i="1" s="1"/>
  <c r="AZ194" i="4" s="1"/>
  <c r="Y141" i="1"/>
  <c r="T25" i="1"/>
  <c r="BB14" i="1"/>
  <c r="BK211" i="1"/>
  <c r="BK209" i="1"/>
  <c r="N184" i="1"/>
  <c r="AV180" i="1"/>
  <c r="AR171" i="1"/>
  <c r="D171" i="1"/>
  <c r="BQ170" i="1"/>
  <c r="AV170" i="1"/>
  <c r="BR155" i="1"/>
  <c r="BF155" i="1"/>
  <c r="K155" i="1"/>
  <c r="W154" i="1"/>
  <c r="AR145" i="1"/>
  <c r="U145" i="1"/>
  <c r="BA139" i="1"/>
  <c r="J139" i="1"/>
  <c r="CA137" i="1"/>
  <c r="BQ137" i="1"/>
  <c r="BJ119" i="1"/>
  <c r="AU119" i="1"/>
  <c r="BO117" i="1"/>
  <c r="AZ117" i="1"/>
  <c r="L76" i="1"/>
  <c r="BD104" i="1"/>
  <c r="BI162" i="1"/>
  <c r="AO162" i="1"/>
  <c r="V56" i="1"/>
  <c r="D53" i="1"/>
  <c r="BA49" i="1"/>
  <c r="J49" i="1"/>
  <c r="BF45" i="1"/>
  <c r="J45" i="1"/>
  <c r="AN103" i="1"/>
  <c r="AN105" i="1"/>
  <c r="M102" i="1"/>
  <c r="M80" i="1"/>
  <c r="M174" i="1"/>
  <c r="R41" i="1"/>
  <c r="Q194" i="4" s="1"/>
  <c r="R67" i="1"/>
  <c r="AH98" i="2"/>
  <c r="AG215" i="4" s="1"/>
  <c r="AH38" i="1"/>
  <c r="AH157" i="1"/>
  <c r="AH33" i="1"/>
  <c r="AK143" i="1"/>
  <c r="AK169" i="1"/>
  <c r="AK46" i="1"/>
  <c r="AP143" i="1"/>
  <c r="Q65" i="1"/>
  <c r="Q99" i="2" s="1"/>
  <c r="P162" i="1"/>
  <c r="S181" i="1"/>
  <c r="S113" i="2" s="1"/>
  <c r="P99" i="2"/>
  <c r="R181" i="1"/>
  <c r="R113" i="2" s="1"/>
  <c r="T181" i="1"/>
  <c r="T113" i="2" s="1"/>
  <c r="AW10" i="1"/>
  <c r="AW16" i="8"/>
  <c r="AN26" i="8"/>
  <c r="AI10" i="8"/>
  <c r="BG10" i="8"/>
  <c r="BG16" i="8" s="1"/>
  <c r="BL26" i="8"/>
  <c r="V32" i="1"/>
  <c r="V141" i="1" s="1"/>
  <c r="U98" i="2"/>
  <c r="T215" i="4" s="1"/>
  <c r="U157" i="1"/>
  <c r="U99" i="2"/>
  <c r="U141" i="1"/>
  <c r="CD56" i="1"/>
  <c r="BF89" i="1"/>
  <c r="AN92" i="1"/>
  <c r="AN93" i="1" s="1"/>
  <c r="M148" i="1"/>
  <c r="P98" i="2"/>
  <c r="O215" i="4" s="1"/>
  <c r="F74" i="447"/>
  <c r="F37" i="447"/>
  <c r="H80" i="1"/>
  <c r="H82" i="1" s="1"/>
  <c r="H188" i="1" s="1"/>
  <c r="H189" i="1" s="1"/>
  <c r="H148" i="1"/>
  <c r="R162" i="1"/>
  <c r="P91" i="8"/>
  <c r="P92" i="8"/>
  <c r="T34" i="8"/>
  <c r="T35" i="8" s="1"/>
  <c r="T10" i="8"/>
  <c r="Y10" i="8"/>
  <c r="AJ34" i="8"/>
  <c r="AJ35" i="8" s="1"/>
  <c r="AJ26" i="8"/>
  <c r="Q24" i="1"/>
  <c r="Q33" i="1" s="1"/>
  <c r="Q138" i="1"/>
  <c r="Q37" i="1"/>
  <c r="Q40" i="1" s="1"/>
  <c r="Q22" i="1"/>
  <c r="Y26" i="8"/>
  <c r="Y34" i="8"/>
  <c r="Y35" i="8" s="1"/>
  <c r="AH79" i="8"/>
  <c r="AH84" i="8"/>
  <c r="AH60" i="8"/>
  <c r="AH21" i="8" s="1"/>
  <c r="AC94" i="8"/>
  <c r="AC92" i="8"/>
  <c r="AG198" i="1"/>
  <c r="AO10" i="8"/>
  <c r="AO26" i="8"/>
  <c r="AO34" i="8"/>
  <c r="AO35" i="8" s="1"/>
  <c r="AQ84" i="8"/>
  <c r="AQ31" i="8" s="1"/>
  <c r="AL91" i="8"/>
  <c r="AL93" i="8"/>
  <c r="AQ60" i="8"/>
  <c r="AQ21" i="8" s="1"/>
  <c r="AT34" i="8"/>
  <c r="AT35" i="8" s="1"/>
  <c r="AT10" i="8"/>
  <c r="AT26" i="8"/>
  <c r="BN10" i="8"/>
  <c r="BN34" i="8"/>
  <c r="BN35" i="8" s="1"/>
  <c r="BR92" i="8"/>
  <c r="BR94" i="8"/>
  <c r="BW100" i="8"/>
  <c r="BR10" i="1"/>
  <c r="CV40" i="1"/>
  <c r="CQ40" i="1"/>
  <c r="AA36" i="1"/>
  <c r="Z79" i="310"/>
  <c r="Z32" i="1"/>
  <c r="BS33" i="1"/>
  <c r="BS141" i="1"/>
  <c r="BX141" i="1"/>
  <c r="BS98" i="2"/>
  <c r="BR215" i="4" s="1"/>
  <c r="BQ157" i="1"/>
  <c r="BT32" i="1"/>
  <c r="BP98" i="2"/>
  <c r="BO215" i="4" s="1"/>
  <c r="BP99" i="2"/>
  <c r="BC33" i="1"/>
  <c r="BC157" i="1"/>
  <c r="BD157" i="1"/>
  <c r="BC98" i="2"/>
  <c r="BB215" i="4" s="1"/>
  <c r="BC99" i="2"/>
  <c r="BH141" i="1"/>
  <c r="BE32" i="1"/>
  <c r="AO38" i="1"/>
  <c r="AO141" i="1"/>
  <c r="AO99" i="2"/>
  <c r="AO33" i="1"/>
  <c r="AJ38" i="1"/>
  <c r="AJ33" i="1"/>
  <c r="AJ98" i="2"/>
  <c r="AI215" i="4" s="1"/>
  <c r="AJ141" i="1"/>
  <c r="AB38" i="1"/>
  <c r="AB33" i="1"/>
  <c r="AF32" i="1"/>
  <c r="AB98" i="2"/>
  <c r="AA215" i="4" s="1"/>
  <c r="AB157" i="1"/>
  <c r="AB141" i="1"/>
  <c r="AB99" i="2"/>
  <c r="AC157" i="1"/>
  <c r="K76" i="310"/>
  <c r="L34" i="1"/>
  <c r="L35" i="1"/>
  <c r="L39" i="1" s="1"/>
  <c r="K32" i="1"/>
  <c r="X141" i="1"/>
  <c r="Y157" i="1"/>
  <c r="X157" i="1"/>
  <c r="X99" i="2"/>
  <c r="AC141" i="1"/>
  <c r="R33" i="1"/>
  <c r="S157" i="1"/>
  <c r="W141" i="1"/>
  <c r="R98" i="2"/>
  <c r="Q215" i="4" s="1"/>
  <c r="R99" i="2"/>
  <c r="R157" i="1"/>
  <c r="J33" i="1"/>
  <c r="J157" i="1"/>
  <c r="J38" i="1"/>
  <c r="O141" i="1"/>
  <c r="J141" i="1"/>
  <c r="J98" i="2"/>
  <c r="I215" i="4" s="1"/>
  <c r="J99" i="2"/>
  <c r="D33" i="1"/>
  <c r="D38" i="1"/>
  <c r="D41" i="1"/>
  <c r="E157" i="1"/>
  <c r="I141" i="1"/>
  <c r="D157" i="1"/>
  <c r="AY98" i="2"/>
  <c r="AX215" i="4" s="1"/>
  <c r="BL16" i="1"/>
  <c r="BG17" i="1"/>
  <c r="AG99" i="2"/>
  <c r="AL141" i="1"/>
  <c r="AG33" i="1"/>
  <c r="AG38" i="1"/>
  <c r="AG98" i="2"/>
  <c r="AF215" i="4" s="1"/>
  <c r="AG157" i="1"/>
  <c r="AQ98" i="2"/>
  <c r="AP215" i="4" s="1"/>
  <c r="AQ99" i="2"/>
  <c r="AQ38" i="1"/>
  <c r="AV141" i="1"/>
  <c r="AQ141" i="1"/>
  <c r="AQ33" i="1"/>
  <c r="BL38" i="1"/>
  <c r="BL33" i="1"/>
  <c r="BL141" i="1"/>
  <c r="BL99" i="2"/>
  <c r="BL98" i="2"/>
  <c r="BK215" i="4" s="1"/>
  <c r="BQ141" i="1"/>
  <c r="BM157" i="1"/>
  <c r="M69" i="1"/>
  <c r="AH141" i="1"/>
  <c r="O91" i="8"/>
  <c r="O92" i="8"/>
  <c r="BC34" i="8"/>
  <c r="BC35" i="8" s="1"/>
  <c r="BC10" i="8"/>
  <c r="BC16" i="8" s="1"/>
  <c r="BC14" i="8" s="1"/>
  <c r="V46" i="1"/>
  <c r="V143" i="1"/>
  <c r="BM148" i="1"/>
  <c r="C105" i="1"/>
  <c r="H69" i="1"/>
  <c r="M68" i="1"/>
  <c r="L195" i="4" s="1"/>
  <c r="AY35" i="1"/>
  <c r="Q72" i="310"/>
  <c r="W157" i="1"/>
  <c r="AP46" i="1"/>
  <c r="E67" i="1"/>
  <c r="AH99" i="2"/>
  <c r="J181" i="1"/>
  <c r="J113" i="2" s="1"/>
  <c r="G65" i="1"/>
  <c r="BR41" i="1"/>
  <c r="BQ194" i="4" s="1"/>
  <c r="BR67" i="1"/>
  <c r="AA48" i="1"/>
  <c r="AB51" i="1"/>
  <c r="Z50" i="1"/>
  <c r="AE144" i="1"/>
  <c r="Z51" i="1"/>
  <c r="AB160" i="1"/>
  <c r="AE50" i="1"/>
  <c r="G48" i="1"/>
  <c r="F160" i="1"/>
  <c r="H160" i="1"/>
  <c r="K144" i="1"/>
  <c r="BU19" i="1"/>
  <c r="BQ153" i="1"/>
  <c r="BW146" i="1"/>
  <c r="BX181" i="1"/>
  <c r="BX113" i="2" s="1"/>
  <c r="BR146" i="1"/>
  <c r="BS162" i="1"/>
  <c r="BM181" i="1"/>
  <c r="BM113" i="2" s="1"/>
  <c r="BM146" i="1"/>
  <c r="BN181" i="1"/>
  <c r="BN113" i="2" s="1"/>
  <c r="AI146" i="1"/>
  <c r="AI181" i="1"/>
  <c r="AI113" i="2" s="1"/>
  <c r="AL181" i="1"/>
  <c r="AL113" i="2" s="1"/>
  <c r="D67" i="1"/>
  <c r="D68" i="1"/>
  <c r="E162" i="1"/>
  <c r="D162" i="1"/>
  <c r="AT34" i="1"/>
  <c r="AT32" i="1"/>
  <c r="AT56" i="1"/>
  <c r="AS53" i="1"/>
  <c r="AS65" i="1"/>
  <c r="AS54" i="1"/>
  <c r="AX145" i="1"/>
  <c r="AS171" i="1"/>
  <c r="AS145" i="1"/>
  <c r="AS161" i="1"/>
  <c r="AS55" i="1"/>
  <c r="F55" i="1"/>
  <c r="F161" i="1"/>
  <c r="H55" i="1"/>
  <c r="P159" i="1"/>
  <c r="P184" i="1"/>
  <c r="R159" i="1"/>
  <c r="R184" i="1"/>
  <c r="T184" i="1"/>
  <c r="BS45" i="1"/>
  <c r="BS170" i="1"/>
  <c r="BS38" i="1"/>
  <c r="BS41" i="1" s="1"/>
  <c r="BR194" i="4" s="1"/>
  <c r="BS49" i="1"/>
  <c r="BS53" i="1"/>
  <c r="BS26" i="1"/>
  <c r="BS139" i="1"/>
  <c r="BS169" i="1"/>
  <c r="BS172" i="1"/>
  <c r="BS211" i="1"/>
  <c r="BM180" i="1"/>
  <c r="BM25" i="1"/>
  <c r="BR25" i="1"/>
  <c r="BM26" i="1"/>
  <c r="BN180" i="1"/>
  <c r="BM49" i="1"/>
  <c r="BM155" i="1"/>
  <c r="BM211" i="1"/>
  <c r="BM53" i="1"/>
  <c r="BH155" i="1"/>
  <c r="BH180" i="1"/>
  <c r="BH10" i="1"/>
  <c r="BI180" i="1"/>
  <c r="BH45" i="1"/>
  <c r="BH25" i="1"/>
  <c r="BH49" i="1"/>
  <c r="BL180" i="1"/>
  <c r="BC180" i="1"/>
  <c r="BC45" i="1"/>
  <c r="BC155" i="1"/>
  <c r="BD180" i="1"/>
  <c r="BC49" i="1"/>
  <c r="BC26" i="1"/>
  <c r="AI26" i="1"/>
  <c r="BG180" i="1"/>
  <c r="BB9" i="4"/>
  <c r="BB11" i="4" s="1"/>
  <c r="AX139" i="1"/>
  <c r="AX180" i="1"/>
  <c r="AX130" i="2" s="1"/>
  <c r="AX103" i="1"/>
  <c r="AX25" i="1"/>
  <c r="AY180" i="1"/>
  <c r="AX49" i="1"/>
  <c r="BB180" i="1"/>
  <c r="AX53" i="1"/>
  <c r="AS155" i="1"/>
  <c r="AS139" i="1"/>
  <c r="AS169" i="1"/>
  <c r="AS170" i="1"/>
  <c r="AW180" i="1"/>
  <c r="AQ180" i="1"/>
  <c r="AQ130" i="2" s="1"/>
  <c r="AN170" i="1"/>
  <c r="AN171" i="1"/>
  <c r="AN172" i="1"/>
  <c r="AR180" i="1"/>
  <c r="AN139" i="1"/>
  <c r="AN180" i="1"/>
  <c r="AI49" i="1"/>
  <c r="AI139" i="1"/>
  <c r="AI155" i="1"/>
  <c r="AI180" i="1"/>
  <c r="AI53" i="1"/>
  <c r="AJ155" i="1"/>
  <c r="AI171" i="1"/>
  <c r="AL180" i="1"/>
  <c r="AI169" i="1"/>
  <c r="AD49" i="1"/>
  <c r="AD169" i="1"/>
  <c r="AD171" i="1"/>
  <c r="AD25" i="1"/>
  <c r="AD53" i="1"/>
  <c r="AD139" i="1"/>
  <c r="AE155" i="1"/>
  <c r="AD170" i="1"/>
  <c r="AH180" i="1"/>
  <c r="X45" i="1"/>
  <c r="X169" i="1"/>
  <c r="X26" i="1"/>
  <c r="X172" i="1"/>
  <c r="X155" i="1"/>
  <c r="S49" i="1"/>
  <c r="S53" i="1"/>
  <c r="S172" i="1"/>
  <c r="S155" i="1"/>
  <c r="S169" i="1"/>
  <c r="T26" i="1"/>
  <c r="S38" i="1"/>
  <c r="M172" i="1"/>
  <c r="L35" i="4"/>
  <c r="N155" i="1"/>
  <c r="M169" i="1"/>
  <c r="R25" i="1"/>
  <c r="N26" i="1"/>
  <c r="M33" i="1"/>
  <c r="M25" i="1"/>
  <c r="O180" i="1"/>
  <c r="H172" i="1"/>
  <c r="I155" i="1"/>
  <c r="H45" i="1"/>
  <c r="H169" i="1"/>
  <c r="H53" i="1"/>
  <c r="AZ138" i="1"/>
  <c r="AF72" i="310"/>
  <c r="AF73" i="310" s="1"/>
  <c r="AK138" i="1"/>
  <c r="BG130" i="2"/>
  <c r="BP181" i="1"/>
  <c r="BP113" i="2" s="1"/>
  <c r="Z160" i="1"/>
  <c r="BP64" i="2"/>
  <c r="BZ64" i="2"/>
  <c r="BM210" i="1"/>
  <c r="BS67" i="1"/>
  <c r="BS80" i="1" s="1"/>
  <c r="S25" i="1"/>
  <c r="AF35" i="1"/>
  <c r="AF39" i="1" s="1"/>
  <c r="AG130" i="2"/>
  <c r="AS49" i="1"/>
  <c r="BT46" i="1"/>
  <c r="BS209" i="1"/>
  <c r="BT37" i="1"/>
  <c r="BT40" i="1" s="1"/>
  <c r="AZ102" i="2"/>
  <c r="BD34" i="2"/>
  <c r="BS24" i="2"/>
  <c r="AT24" i="2"/>
  <c r="P210" i="4"/>
  <c r="P214" i="4" s="1"/>
  <c r="BX138" i="2"/>
  <c r="BX202" i="4"/>
  <c r="BD202" i="4"/>
  <c r="AO24" i="2"/>
  <c r="AN199" i="4" s="1"/>
  <c r="K210" i="4"/>
  <c r="K214" i="4" s="1"/>
  <c r="AY24" i="2"/>
  <c r="AX199" i="4" s="1"/>
  <c r="AJ24" i="2"/>
  <c r="AK24" i="2" s="1"/>
  <c r="AJ199" i="4" s="1"/>
  <c r="BP157" i="1"/>
  <c r="I157" i="1"/>
  <c r="M51" i="1"/>
  <c r="AB47" i="1"/>
  <c r="AS26" i="1"/>
  <c r="K218" i="4"/>
  <c r="BS35" i="3"/>
  <c r="BN48" i="3"/>
  <c r="BN102" i="3" s="1"/>
  <c r="BO102" i="3" s="1"/>
  <c r="CD93" i="3"/>
  <c r="AS91" i="3"/>
  <c r="AU91" i="3" s="1"/>
  <c r="BK103" i="3"/>
  <c r="F195" i="1"/>
  <c r="BT96" i="3"/>
  <c r="BO96" i="3"/>
  <c r="CD74" i="3"/>
  <c r="BR89" i="3"/>
  <c r="AH126" i="2"/>
  <c r="AH130" i="2" s="1"/>
  <c r="BV195" i="1"/>
  <c r="AH195" i="1"/>
  <c r="AI65" i="3"/>
  <c r="AZ48" i="3"/>
  <c r="BV94" i="3"/>
  <c r="AK104" i="3"/>
  <c r="BZ95" i="2"/>
  <c r="BZ198" i="1" s="1"/>
  <c r="BY140" i="4"/>
  <c r="CA155" i="1"/>
  <c r="BZ169" i="1"/>
  <c r="BZ106" i="2"/>
  <c r="BY9" i="4"/>
  <c r="BY11" i="4" s="1"/>
  <c r="BY21" i="4" s="1"/>
  <c r="BZ45" i="1"/>
  <c r="BZ49" i="1"/>
  <c r="BZ211" i="1"/>
  <c r="CA26" i="1"/>
  <c r="BZ11" i="8"/>
  <c r="BZ10" i="8" s="1"/>
  <c r="BZ109" i="2"/>
  <c r="BZ170" i="1"/>
  <c r="BZ171" i="1"/>
  <c r="BZ26" i="1"/>
  <c r="BZ96" i="2"/>
  <c r="BZ110" i="2"/>
  <c r="BZ53" i="1"/>
  <c r="BZ105" i="2"/>
  <c r="BI107" i="1"/>
  <c r="CD54" i="1"/>
  <c r="BA157" i="1"/>
  <c r="AY38" i="1"/>
  <c r="CG184" i="1"/>
  <c r="CH184" i="1"/>
  <c r="BL209" i="1"/>
  <c r="BZ209" i="1"/>
  <c r="CC210" i="1"/>
  <c r="CH19" i="1"/>
  <c r="BX68" i="1"/>
  <c r="BW195" i="4" s="1"/>
  <c r="BH174" i="1"/>
  <c r="BD141" i="1"/>
  <c r="AY99" i="2"/>
  <c r="AY40" i="1"/>
  <c r="CF19" i="1"/>
  <c r="CH20" i="1"/>
  <c r="AY141" i="1"/>
  <c r="BJ38" i="1"/>
  <c r="BJ41" i="1" s="1"/>
  <c r="V96" i="3"/>
  <c r="BT93" i="3"/>
  <c r="G92" i="3"/>
  <c r="G104" i="3"/>
  <c r="BY102" i="3"/>
  <c r="AF102" i="3"/>
  <c r="L102" i="3"/>
  <c r="L101" i="3"/>
  <c r="G101" i="3"/>
  <c r="BT99" i="3"/>
  <c r="AA99" i="3"/>
  <c r="L99" i="3"/>
  <c r="AK97" i="3"/>
  <c r="AK200" i="4"/>
  <c r="AL51" i="2"/>
  <c r="AL52" i="2" s="1"/>
  <c r="M51" i="2"/>
  <c r="M52" i="2"/>
  <c r="L200" i="4"/>
  <c r="CT20" i="2"/>
  <c r="CU20" i="2" s="1"/>
  <c r="CV20" i="2" s="1"/>
  <c r="CW20" i="2" s="1"/>
  <c r="CX20" i="2" s="1"/>
  <c r="CS20" i="2"/>
  <c r="CT39" i="3"/>
  <c r="AJ202" i="4"/>
  <c r="BS138" i="2"/>
  <c r="BN138" i="2"/>
  <c r="BI138" i="2"/>
  <c r="AP102" i="2"/>
  <c r="BI34" i="2"/>
  <c r="BJ34" i="2" s="1"/>
  <c r="AY34" i="2"/>
  <c r="AE24" i="2"/>
  <c r="BX15" i="2"/>
  <c r="BX24" i="2" s="1"/>
  <c r="P34" i="2"/>
  <c r="BX122" i="4"/>
  <c r="AT210" i="4"/>
  <c r="Y199" i="4"/>
  <c r="AO34" i="2"/>
  <c r="U34" i="2"/>
  <c r="V34" i="2" s="1"/>
  <c r="CN20" i="2"/>
  <c r="CO39" i="3"/>
  <c r="AV59" i="4"/>
  <c r="AR87" i="8"/>
  <c r="BC88" i="8"/>
  <c r="BG87" i="8"/>
  <c r="BB87" i="8"/>
  <c r="AN87" i="8"/>
  <c r="AZ70" i="8"/>
  <c r="CE83" i="8"/>
  <c r="CE88" i="8" s="1"/>
  <c r="BW72" i="8"/>
  <c r="BW62" i="8" s="1"/>
  <c r="BR72" i="8"/>
  <c r="BR62" i="8" s="1"/>
  <c r="BD88" i="8"/>
  <c r="AE86" i="8"/>
  <c r="U86" i="8"/>
  <c r="BQ88" i="8"/>
  <c r="AH88" i="8"/>
  <c r="BH86" i="8"/>
  <c r="BC86" i="8"/>
  <c r="AS72" i="8"/>
  <c r="BE114" i="310"/>
  <c r="AZ92" i="310"/>
  <c r="BB115" i="310"/>
  <c r="BB106" i="310"/>
  <c r="BE96" i="310"/>
  <c r="AY117" i="310"/>
  <c r="AY143" i="310"/>
  <c r="BF104" i="310"/>
  <c r="AW8" i="310"/>
  <c r="AU24" i="310"/>
  <c r="AZ25" i="310" s="1"/>
  <c r="BB130" i="310"/>
  <c r="AR49" i="310"/>
  <c r="BF100" i="310"/>
  <c r="AQ55" i="310"/>
  <c r="BE57" i="310"/>
  <c r="BT52" i="310"/>
  <c r="BY57" i="310"/>
  <c r="AQ70" i="2"/>
  <c r="AQ57" i="2"/>
  <c r="CQ18" i="3"/>
  <c r="CQ72" i="3" s="1"/>
  <c r="CQ17" i="3"/>
  <c r="J94" i="3"/>
  <c r="AU90" i="3"/>
  <c r="AP90" i="3"/>
  <c r="L90" i="3"/>
  <c r="G90" i="3"/>
  <c r="L89" i="3"/>
  <c r="K221" i="4" s="1"/>
  <c r="V84" i="3"/>
  <c r="BK52" i="2"/>
  <c r="BF135" i="2"/>
  <c r="BN210" i="4"/>
  <c r="BN214" i="4" s="1"/>
  <c r="CJ193" i="1"/>
  <c r="CH193" i="1"/>
  <c r="CE89" i="2"/>
  <c r="BW138" i="2"/>
  <c r="BH138" i="2"/>
  <c r="BT102" i="2"/>
  <c r="AF102" i="2"/>
  <c r="CP43" i="3"/>
  <c r="AQ87" i="8"/>
  <c r="AM87" i="8"/>
  <c r="BD72" i="8"/>
  <c r="BD62" i="8" s="1"/>
  <c r="AY72" i="8"/>
  <c r="AT72" i="8"/>
  <c r="N55" i="8"/>
  <c r="N84" i="8" s="1"/>
  <c r="N31" i="8" s="1"/>
  <c r="M22" i="4" s="1"/>
  <c r="AV87" i="8"/>
  <c r="BH88" i="8"/>
  <c r="AW88" i="8"/>
  <c r="BD87" i="8"/>
  <c r="AW87" i="8"/>
  <c r="BH72" i="8"/>
  <c r="BH62" i="8" s="1"/>
  <c r="BC72" i="8"/>
  <c r="BC62" i="8" s="1"/>
  <c r="AX72" i="8"/>
  <c r="AM72" i="8"/>
  <c r="BE70" i="8"/>
  <c r="AP70" i="8"/>
  <c r="AU77" i="8"/>
  <c r="D102" i="1"/>
  <c r="D164" i="1"/>
  <c r="Q45" i="1"/>
  <c r="BI82" i="1"/>
  <c r="BI188" i="1" s="1"/>
  <c r="BI189" i="1" s="1"/>
  <c r="AN175" i="1"/>
  <c r="N89" i="1"/>
  <c r="BX174" i="1"/>
  <c r="BH80" i="1"/>
  <c r="H84" i="1"/>
  <c r="AI10" i="1"/>
  <c r="AC67" i="1"/>
  <c r="AD67" i="1"/>
  <c r="BM174" i="1"/>
  <c r="W174" i="1"/>
  <c r="BM80" i="1"/>
  <c r="BM84" i="1" s="1"/>
  <c r="BO25" i="1"/>
  <c r="BR148" i="1"/>
  <c r="BR229" i="1"/>
  <c r="BY172" i="1"/>
  <c r="H71" i="447" s="1"/>
  <c r="H26" i="447" s="1"/>
  <c r="BY25" i="1"/>
  <c r="AE92" i="8"/>
  <c r="T79" i="8"/>
  <c r="T60" i="8"/>
  <c r="BO170" i="1"/>
  <c r="AN87" i="1"/>
  <c r="N175" i="1"/>
  <c r="BM69" i="1"/>
  <c r="BH68" i="1"/>
  <c r="BG195" i="4" s="1"/>
  <c r="AI59" i="8"/>
  <c r="AI20" i="8" s="1"/>
  <c r="W148" i="1"/>
  <c r="W68" i="1"/>
  <c r="V195" i="4" s="1"/>
  <c r="W102" i="1"/>
  <c r="BO169" i="1"/>
  <c r="BT25" i="1"/>
  <c r="BO171" i="1"/>
  <c r="BO95" i="2"/>
  <c r="BR68" i="1"/>
  <c r="BQ195" i="4" s="1"/>
  <c r="BY171" i="1"/>
  <c r="S26" i="8"/>
  <c r="BG34" i="8"/>
  <c r="BG35" i="8" s="1"/>
  <c r="BT117" i="1"/>
  <c r="BI164" i="1"/>
  <c r="BH71" i="1"/>
  <c r="BM72" i="1" s="1"/>
  <c r="W84" i="1"/>
  <c r="W87" i="1" s="1"/>
  <c r="BM102" i="1"/>
  <c r="BR69" i="1"/>
  <c r="BR71" i="1"/>
  <c r="BY95" i="2"/>
  <c r="AE94" i="8"/>
  <c r="BO19" i="1"/>
  <c r="CK189" i="4"/>
  <c r="CB83" i="8"/>
  <c r="CB88" i="8"/>
  <c r="CB59" i="8"/>
  <c r="CB20" i="8" s="1"/>
  <c r="AL63" i="8"/>
  <c r="BD86" i="8"/>
  <c r="AV86" i="8"/>
  <c r="BZ83" i="8"/>
  <c r="BZ88" i="8"/>
  <c r="BZ59" i="8"/>
  <c r="BZ20" i="8" s="1"/>
  <c r="BR59" i="8"/>
  <c r="BR20" i="8" s="1"/>
  <c r="BR83" i="8"/>
  <c r="BK55" i="8"/>
  <c r="BK59" i="8"/>
  <c r="BK20" i="8" s="1"/>
  <c r="BK83" i="8"/>
  <c r="BF59" i="8"/>
  <c r="BF20" i="8" s="1"/>
  <c r="BF83" i="8"/>
  <c r="BA59" i="8"/>
  <c r="BA83" i="8"/>
  <c r="BA88" i="8" s="1"/>
  <c r="BU58" i="8"/>
  <c r="BU19" i="8" s="1"/>
  <c r="BU82" i="8"/>
  <c r="BU87" i="8"/>
  <c r="BL58" i="8"/>
  <c r="BL19" i="8" s="1"/>
  <c r="BL82" i="8"/>
  <c r="BL87" i="8"/>
  <c r="BL55" i="8"/>
  <c r="BB55" i="8"/>
  <c r="BB58" i="8"/>
  <c r="BB19" i="8"/>
  <c r="AG58" i="8"/>
  <c r="AG19" i="8" s="1"/>
  <c r="AG82" i="8"/>
  <c r="BJ52" i="8"/>
  <c r="AF52" i="8"/>
  <c r="AC81" i="8"/>
  <c r="AC86" i="8"/>
  <c r="AH81" i="8"/>
  <c r="BQ15" i="8"/>
  <c r="BQ29" i="8" s="1"/>
  <c r="AP9" i="8"/>
  <c r="AS24" i="8"/>
  <c r="AN15" i="8"/>
  <c r="AN29" i="8" s="1"/>
  <c r="AN24" i="8"/>
  <c r="AN9" i="1"/>
  <c r="AJ15" i="8"/>
  <c r="AJ29" i="8" s="1"/>
  <c r="AJ24" i="8"/>
  <c r="AG24" i="8"/>
  <c r="AG9" i="1"/>
  <c r="AL29" i="8"/>
  <c r="AL24" i="8"/>
  <c r="AG15" i="8"/>
  <c r="AG29" i="8"/>
  <c r="AK9" i="8"/>
  <c r="AK34" i="8" s="1"/>
  <c r="AK35" i="8" s="1"/>
  <c r="AC9" i="1"/>
  <c r="AH24" i="8"/>
  <c r="AF9" i="8"/>
  <c r="X15" i="8"/>
  <c r="X29" i="8"/>
  <c r="X9" i="1"/>
  <c r="X24" i="8"/>
  <c r="BV88" i="8"/>
  <c r="AX48" i="8"/>
  <c r="AX63" i="8"/>
  <c r="AG55" i="8"/>
  <c r="AG84" i="8"/>
  <c r="AG31" i="8" s="1"/>
  <c r="AG81" i="8"/>
  <c r="AK52" i="8"/>
  <c r="AL81" i="8"/>
  <c r="AL86" i="8" s="1"/>
  <c r="V41" i="8"/>
  <c r="U77" i="8"/>
  <c r="Z77" i="8"/>
  <c r="AU76" i="8"/>
  <c r="AZ76" i="8"/>
  <c r="AF58" i="8"/>
  <c r="AF19" i="8" s="1"/>
  <c r="AF76" i="8"/>
  <c r="AA53" i="8"/>
  <c r="AF82" i="8"/>
  <c r="BY9" i="8"/>
  <c r="BV24" i="8"/>
  <c r="BV15" i="8"/>
  <c r="BV29" i="8" s="1"/>
  <c r="BG15" i="8"/>
  <c r="BG29" i="8" s="1"/>
  <c r="BG24" i="8"/>
  <c r="AU9" i="8"/>
  <c r="AU9" i="1" s="1"/>
  <c r="AR24" i="8"/>
  <c r="AR15" i="8"/>
  <c r="AR29" i="8" s="1"/>
  <c r="AR9" i="1"/>
  <c r="CJ70" i="8"/>
  <c r="CK66" i="8"/>
  <c r="AT87" i="8"/>
  <c r="BG63" i="8"/>
  <c r="BG48" i="8"/>
  <c r="AV59" i="8"/>
  <c r="AV83" i="8"/>
  <c r="AV88" i="8" s="1"/>
  <c r="AR59" i="8"/>
  <c r="AR83" i="8"/>
  <c r="AR88" i="8" s="1"/>
  <c r="BI81" i="8"/>
  <c r="BI86" i="8"/>
  <c r="BN81" i="8"/>
  <c r="BN86" i="8" s="1"/>
  <c r="AJ48" i="8"/>
  <c r="AG49" i="8"/>
  <c r="CJ73" i="8"/>
  <c r="CK68" i="8"/>
  <c r="AR86" i="8"/>
  <c r="AN86" i="8"/>
  <c r="AJ86" i="8"/>
  <c r="AY47" i="8"/>
  <c r="AY53" i="8"/>
  <c r="AY62" i="8"/>
  <c r="BG58" i="8"/>
  <c r="BG19" i="8" s="1"/>
  <c r="BC84" i="8"/>
  <c r="BC31" i="8" s="1"/>
  <c r="CJ71" i="8"/>
  <c r="CK67" i="8"/>
  <c r="BY49" i="8"/>
  <c r="CA88" i="8"/>
  <c r="BK88" i="8"/>
  <c r="AO72" i="8"/>
  <c r="BT73" i="8"/>
  <c r="AZ73" i="8"/>
  <c r="BI55" i="8"/>
  <c r="BI84" i="8" s="1"/>
  <c r="BE49" i="8"/>
  <c r="V39" i="8"/>
  <c r="AA75" i="8" s="1"/>
  <c r="AS29" i="8"/>
  <c r="CA34" i="8"/>
  <c r="CA35" i="8" s="1"/>
  <c r="AG10" i="8"/>
  <c r="BI88" i="8"/>
  <c r="BV86" i="8"/>
  <c r="BQ86" i="8"/>
  <c r="BL86" i="8"/>
  <c r="Z86" i="8"/>
  <c r="BU72" i="8"/>
  <c r="BU62" i="8"/>
  <c r="BK72" i="8"/>
  <c r="BK62" i="8" s="1"/>
  <c r="BM55" i="8"/>
  <c r="BY52" i="8"/>
  <c r="AU52" i="8"/>
  <c r="AN100" i="8"/>
  <c r="BL60" i="8"/>
  <c r="AN10" i="8"/>
  <c r="AN10" i="1" s="1"/>
  <c r="BL10" i="8"/>
  <c r="AI87" i="8"/>
  <c r="BW88" i="8"/>
  <c r="BC87" i="8"/>
  <c r="AN62" i="8"/>
  <c r="BQ72" i="8"/>
  <c r="BQ62" i="8"/>
  <c r="BX72" i="8"/>
  <c r="BX62" i="8" s="1"/>
  <c r="BS72" i="8"/>
  <c r="BS62" i="8"/>
  <c r="BN72" i="8"/>
  <c r="BN62" i="8" s="1"/>
  <c r="AV72" i="8"/>
  <c r="BU55" i="8"/>
  <c r="AW29" i="8"/>
  <c r="CB72" i="8"/>
  <c r="CB62" i="8" s="1"/>
  <c r="AU24" i="8"/>
  <c r="AU15" i="8"/>
  <c r="AU29" i="8" s="1"/>
  <c r="AZ24" i="8"/>
  <c r="Q53" i="8"/>
  <c r="BR84" i="8"/>
  <c r="BR31" i="8" s="1"/>
  <c r="BB88" i="8"/>
  <c r="AQ62" i="8"/>
  <c r="AG87" i="8"/>
  <c r="CB86" i="8"/>
  <c r="AG86" i="8"/>
  <c r="AN72" i="8"/>
  <c r="AG16" i="8"/>
  <c r="AG14" i="8" s="1"/>
  <c r="M55" i="8"/>
  <c r="Q52" i="8"/>
  <c r="Q55" i="8"/>
  <c r="CA24" i="8"/>
  <c r="AZ29" i="8"/>
  <c r="BM84" i="8"/>
  <c r="BF88" i="8"/>
  <c r="BB72" i="8"/>
  <c r="BB62" i="8" s="1"/>
  <c r="AW72" i="8"/>
  <c r="AR72" i="8"/>
  <c r="AR99" i="8" s="1"/>
  <c r="BY71" i="8"/>
  <c r="P55" i="8"/>
  <c r="P84" i="8" s="1"/>
  <c r="BF55" i="8"/>
  <c r="BF81" i="8"/>
  <c r="BF86" i="8" s="1"/>
  <c r="AV55" i="8"/>
  <c r="CF15" i="8"/>
  <c r="CF29" i="8"/>
  <c r="CH49" i="8"/>
  <c r="BR88" i="8"/>
  <c r="BQ87" i="8"/>
  <c r="BU86" i="8"/>
  <c r="BB86" i="8"/>
  <c r="AX86" i="8"/>
  <c r="AQ86" i="8"/>
  <c r="AM86" i="8"/>
  <c r="S86" i="8"/>
  <c r="BF72" i="8"/>
  <c r="BF62" i="8" s="1"/>
  <c r="AP72" i="8"/>
  <c r="BE54" i="8"/>
  <c r="AA16" i="8"/>
  <c r="AU49" i="8"/>
  <c r="CC55" i="8"/>
  <c r="CC24" i="8"/>
  <c r="AQ88" i="8"/>
  <c r="BM88" i="8"/>
  <c r="CA87" i="8"/>
  <c r="CA86" i="8"/>
  <c r="AN88" i="8"/>
  <c r="BP87" i="8"/>
  <c r="AH87" i="8"/>
  <c r="BX86" i="8"/>
  <c r="BA86" i="8"/>
  <c r="AH86" i="8"/>
  <c r="AD86" i="8"/>
  <c r="AY48" i="8"/>
  <c r="BE73" i="8"/>
  <c r="AP73" i="8"/>
  <c r="BO71" i="8"/>
  <c r="BO72" i="8" s="1"/>
  <c r="AU71" i="8"/>
  <c r="AU72" i="8"/>
  <c r="BZ55" i="8"/>
  <c r="BO52" i="8"/>
  <c r="V52" i="8"/>
  <c r="AK48" i="8"/>
  <c r="BO47" i="8"/>
  <c r="BB100" i="8"/>
  <c r="BA79" i="8"/>
  <c r="BH26" i="8"/>
  <c r="AV94" i="8"/>
  <c r="BF92" i="8"/>
  <c r="AQ16" i="8"/>
  <c r="AQ14" i="8" s="1"/>
  <c r="Y10" i="1"/>
  <c r="AC16" i="8"/>
  <c r="AC14" i="8" s="1"/>
  <c r="X10" i="8"/>
  <c r="AD30" i="8"/>
  <c r="BQ26" i="8"/>
  <c r="BH10" i="8"/>
  <c r="AE41" i="8"/>
  <c r="S34" i="8"/>
  <c r="S35" i="8" s="1"/>
  <c r="BB60" i="8"/>
  <c r="BB21" i="8" s="1"/>
  <c r="AC93" i="8"/>
  <c r="AC91" i="8"/>
  <c r="P79" i="8"/>
  <c r="N92" i="8"/>
  <c r="BR100" i="8"/>
  <c r="BA94" i="8"/>
  <c r="BR93" i="8"/>
  <c r="AQ100" i="8"/>
  <c r="AL92" i="8"/>
  <c r="AG34" i="8"/>
  <c r="AG35" i="8" s="1"/>
  <c r="AI83" i="8"/>
  <c r="S79" i="8"/>
  <c r="BM10" i="1"/>
  <c r="I40" i="8"/>
  <c r="AV93" i="8"/>
  <c r="AI34" i="8"/>
  <c r="AI35" i="8" s="1"/>
  <c r="AH10" i="8"/>
  <c r="AH31" i="8"/>
  <c r="AC79" i="8"/>
  <c r="AC89" i="8" s="1"/>
  <c r="BR91" i="8"/>
  <c r="AL94" i="8"/>
  <c r="AX26" i="8"/>
  <c r="BB25" i="8"/>
  <c r="BJ43" i="8"/>
  <c r="AJ79" i="8"/>
  <c r="BM26" i="8"/>
  <c r="BF26" i="8"/>
  <c r="R60" i="8"/>
  <c r="R21" i="8" s="1"/>
  <c r="R84" i="8"/>
  <c r="R31" i="8" s="1"/>
  <c r="BS14" i="8"/>
  <c r="T84" i="8"/>
  <c r="T31" i="8" s="1"/>
  <c r="BF16" i="8"/>
  <c r="BF30" i="8" s="1"/>
  <c r="BC10" i="1"/>
  <c r="X84" i="8"/>
  <c r="X31" i="8" s="1"/>
  <c r="S10" i="1"/>
  <c r="BL34" i="8"/>
  <c r="BL35" i="8" s="1"/>
  <c r="AV91" i="8"/>
  <c r="BS34" i="8"/>
  <c r="BS35" i="8" s="1"/>
  <c r="BG94" i="8"/>
  <c r="BL84" i="8"/>
  <c r="BL31" i="8" s="1"/>
  <c r="AQ94" i="8"/>
  <c r="AQ79" i="8"/>
  <c r="AQ89" i="8" s="1"/>
  <c r="R94" i="8"/>
  <c r="BV100" i="8"/>
  <c r="BQ91" i="8"/>
  <c r="AW91" i="8"/>
  <c r="BM60" i="8"/>
  <c r="BH92" i="8"/>
  <c r="BM99" i="8" s="1"/>
  <c r="AN34" i="8"/>
  <c r="AN35" i="8" s="1"/>
  <c r="AJ94" i="8"/>
  <c r="BF94" i="8"/>
  <c r="BM93" i="8"/>
  <c r="X91" i="8"/>
  <c r="X92" i="8"/>
  <c r="T91" i="8"/>
  <c r="BR79" i="8"/>
  <c r="BB26" i="8"/>
  <c r="AO94" i="8"/>
  <c r="Y79" i="8"/>
  <c r="I39" i="8"/>
  <c r="I91" i="8" s="1"/>
  <c r="AD14" i="8"/>
  <c r="AC60" i="8"/>
  <c r="BS26" i="8"/>
  <c r="BL100" i="8"/>
  <c r="AQ91" i="8"/>
  <c r="R91" i="8"/>
  <c r="BQ92" i="8"/>
  <c r="BV99" i="8" s="1"/>
  <c r="BV84" i="8"/>
  <c r="BV31" i="8" s="1"/>
  <c r="BH94" i="8"/>
  <c r="AP26" i="8"/>
  <c r="BM92" i="8"/>
  <c r="T92" i="8"/>
  <c r="AO79" i="8"/>
  <c r="Y94" i="8"/>
  <c r="AV79" i="8"/>
  <c r="Q43" i="8"/>
  <c r="BK79" i="8"/>
  <c r="AH64" i="8"/>
  <c r="P26" i="8"/>
  <c r="AQ26" i="8"/>
  <c r="AP22" i="4" s="1"/>
  <c r="I54" i="8"/>
  <c r="N77" i="8"/>
  <c r="BB10" i="1"/>
  <c r="BB16" i="8"/>
  <c r="BB14" i="8" s="1"/>
  <c r="AL10" i="1"/>
  <c r="BA10" i="1"/>
  <c r="BF25" i="8"/>
  <c r="AD77" i="8"/>
  <c r="AI77" i="8"/>
  <c r="AQ25" i="8"/>
  <c r="AQ10" i="1"/>
  <c r="AD60" i="8"/>
  <c r="AD21" i="8" s="1"/>
  <c r="Y16" i="8" s="1"/>
  <c r="AD84" i="8"/>
  <c r="AD31" i="8" s="1"/>
  <c r="C91" i="8"/>
  <c r="C52" i="8"/>
  <c r="C9" i="1"/>
  <c r="CB84" i="8"/>
  <c r="CB31" i="8" s="1"/>
  <c r="BI94" i="8"/>
  <c r="BA100" i="8"/>
  <c r="AX93" i="8"/>
  <c r="BC99" i="8" s="1"/>
  <c r="BC60" i="8"/>
  <c r="BC21" i="8" s="1"/>
  <c r="AW92" i="8"/>
  <c r="BB84" i="8"/>
  <c r="BS94" i="8"/>
  <c r="BR10" i="8"/>
  <c r="BK100" i="8"/>
  <c r="BK60" i="8"/>
  <c r="BK21" i="8" s="1"/>
  <c r="AL26" i="8"/>
  <c r="AH91" i="8"/>
  <c r="AD94" i="8"/>
  <c r="AD79" i="8"/>
  <c r="N79" i="8"/>
  <c r="BR60" i="8"/>
  <c r="BM91" i="8"/>
  <c r="BM79" i="8"/>
  <c r="BB34" i="8"/>
  <c r="BB35" i="8" s="1"/>
  <c r="AS91" i="8"/>
  <c r="AO93" i="8"/>
  <c r="AT99" i="8" s="1"/>
  <c r="Y92" i="8"/>
  <c r="Y55" i="8"/>
  <c r="M92" i="8"/>
  <c r="CB100" i="8"/>
  <c r="BG26" i="8"/>
  <c r="AY94" i="8"/>
  <c r="AY92" i="8"/>
  <c r="AR84" i="8"/>
  <c r="AR31" i="8" s="1"/>
  <c r="AM91" i="8"/>
  <c r="W93" i="8"/>
  <c r="CB60" i="8"/>
  <c r="CB21" i="8" s="1"/>
  <c r="BS10" i="1"/>
  <c r="BX100" i="8"/>
  <c r="AS94" i="8"/>
  <c r="BW10" i="1"/>
  <c r="BW79" i="8"/>
  <c r="BD100" i="8"/>
  <c r="AM94" i="8"/>
  <c r="AM79" i="8"/>
  <c r="W79" i="8"/>
  <c r="W92" i="8"/>
  <c r="AZ43" i="8"/>
  <c r="AX94" i="8"/>
  <c r="R79" i="8"/>
  <c r="R89" i="8" s="1"/>
  <c r="AW93" i="8"/>
  <c r="BS91" i="8"/>
  <c r="BF93" i="8"/>
  <c r="BK84" i="8"/>
  <c r="BK31" i="8" s="1"/>
  <c r="AL34" i="8"/>
  <c r="AL35" i="8" s="1"/>
  <c r="AH93" i="8"/>
  <c r="AM99" i="8" s="1"/>
  <c r="BM94" i="8"/>
  <c r="AT100" i="8"/>
  <c r="Y91" i="8"/>
  <c r="BW94" i="8"/>
  <c r="AR60" i="8"/>
  <c r="AR21" i="8" s="1"/>
  <c r="BR26" i="8"/>
  <c r="D14" i="447"/>
  <c r="AB199" i="310"/>
  <c r="AC185" i="310"/>
  <c r="AC68" i="310" s="1"/>
  <c r="AC77" i="310" s="1"/>
  <c r="AD165" i="310"/>
  <c r="S270" i="310"/>
  <c r="AA234" i="310"/>
  <c r="BX64" i="310"/>
  <c r="BS64" i="310"/>
  <c r="BG62" i="310"/>
  <c r="BG58" i="310"/>
  <c r="X103" i="3"/>
  <c r="D103" i="3"/>
  <c r="W94" i="3"/>
  <c r="R94" i="3"/>
  <c r="BE79" i="3"/>
  <c r="L78" i="3"/>
  <c r="BM86" i="3"/>
  <c r="I220" i="4"/>
  <c r="BY79" i="3"/>
  <c r="CL17" i="3"/>
  <c r="CL71" i="3"/>
  <c r="AW85" i="3"/>
  <c r="AU81" i="3"/>
  <c r="Z43" i="2"/>
  <c r="AA34" i="2"/>
  <c r="BK200" i="4"/>
  <c r="BL51" i="2"/>
  <c r="BL52" i="2" s="1"/>
  <c r="BP51" i="2"/>
  <c r="BP52" i="2" s="1"/>
  <c r="BO200" i="4"/>
  <c r="AT202" i="4"/>
  <c r="BT30" i="2"/>
  <c r="AN43" i="2"/>
  <c r="D51" i="2"/>
  <c r="BP89" i="2"/>
  <c r="V266" i="310"/>
  <c r="AA263" i="310"/>
  <c r="CI24" i="310"/>
  <c r="CH25" i="310"/>
  <c r="U267" i="310"/>
  <c r="L257" i="310"/>
  <c r="K258" i="310"/>
  <c r="K275" i="310"/>
  <c r="K276" i="310" s="1"/>
  <c r="W252" i="310"/>
  <c r="X251" i="310"/>
  <c r="O251" i="310"/>
  <c r="O250" i="310"/>
  <c r="W247" i="310"/>
  <c r="U284" i="310"/>
  <c r="U247" i="310"/>
  <c r="V245" i="310"/>
  <c r="Z246" i="310"/>
  <c r="L241" i="310"/>
  <c r="M243" i="310"/>
  <c r="K243" i="310"/>
  <c r="P242" i="310"/>
  <c r="X276" i="310"/>
  <c r="J276" i="310"/>
  <c r="AO214" i="310"/>
  <c r="AF24" i="1"/>
  <c r="AE55" i="4" s="1"/>
  <c r="CD31" i="3"/>
  <c r="BS89" i="3"/>
  <c r="BI76" i="2"/>
  <c r="AJ11" i="3"/>
  <c r="BN91" i="3"/>
  <c r="BO140" i="2"/>
  <c r="BO138" i="2"/>
  <c r="Z218" i="4"/>
  <c r="G89" i="3"/>
  <c r="BY97" i="3"/>
  <c r="L92" i="3"/>
  <c r="BV103" i="3"/>
  <c r="BY100" i="3"/>
  <c r="H94" i="3"/>
  <c r="AP98" i="3"/>
  <c r="CD97" i="3"/>
  <c r="CD100" i="3"/>
  <c r="AZ97" i="3"/>
  <c r="AF195" i="1"/>
  <c r="AZ35" i="3"/>
  <c r="AC195" i="1"/>
  <c r="BW103" i="3"/>
  <c r="N94" i="3"/>
  <c r="X94" i="3"/>
  <c r="AF97" i="3"/>
  <c r="AK89" i="3"/>
  <c r="BP103" i="3"/>
  <c r="BZ103" i="3"/>
  <c r="AU89" i="3"/>
  <c r="V90" i="3"/>
  <c r="AR195" i="1"/>
  <c r="AW83" i="2"/>
  <c r="AH82" i="2"/>
  <c r="CD81" i="3"/>
  <c r="BR94" i="3"/>
  <c r="CD91" i="3"/>
  <c r="Q89" i="3"/>
  <c r="BY99" i="3"/>
  <c r="AL103" i="3"/>
  <c r="BA195" i="1"/>
  <c r="AR126" i="2"/>
  <c r="AU126" i="2"/>
  <c r="R200" i="4"/>
  <c r="G200" i="4"/>
  <c r="H51" i="2"/>
  <c r="BD89" i="2"/>
  <c r="CT93" i="3"/>
  <c r="BQ138" i="2"/>
  <c r="BL138" i="2"/>
  <c r="BG138" i="2"/>
  <c r="BB89" i="2"/>
  <c r="U144" i="1"/>
  <c r="Z144" i="1"/>
  <c r="W160" i="1"/>
  <c r="W159" i="1"/>
  <c r="U159" i="1"/>
  <c r="BZ33" i="1"/>
  <c r="BZ38" i="1"/>
  <c r="BS157" i="1"/>
  <c r="BR157" i="1"/>
  <c r="BD33" i="1"/>
  <c r="BD38" i="1"/>
  <c r="AN33" i="1"/>
  <c r="AO157" i="1"/>
  <c r="S141" i="1"/>
  <c r="O157" i="1"/>
  <c r="AT180" i="1"/>
  <c r="AT155" i="1"/>
  <c r="AV155" i="1"/>
  <c r="AT169" i="1"/>
  <c r="AO45" i="1"/>
  <c r="AO155" i="1"/>
  <c r="AO171" i="1"/>
  <c r="AQ155" i="1"/>
  <c r="AO169" i="1"/>
  <c r="C171" i="1"/>
  <c r="C45" i="1"/>
  <c r="C170" i="1"/>
  <c r="C172" i="1"/>
  <c r="U160" i="1"/>
  <c r="Z145" i="1"/>
  <c r="AE145" i="1"/>
  <c r="AB161" i="1"/>
  <c r="K145" i="1"/>
  <c r="H161" i="1"/>
  <c r="BM139" i="1"/>
  <c r="BM170" i="1"/>
  <c r="BN155" i="1"/>
  <c r="BM169" i="1"/>
  <c r="BH139" i="1"/>
  <c r="BH170" i="1"/>
  <c r="BI155" i="1"/>
  <c r="BH169" i="1"/>
  <c r="BC139" i="1"/>
  <c r="BC170" i="1"/>
  <c r="BD155" i="1"/>
  <c r="BC169" i="1"/>
  <c r="BC172" i="1"/>
  <c r="AX170" i="1"/>
  <c r="AY155" i="1"/>
  <c r="AX169" i="1"/>
  <c r="AX45" i="1"/>
  <c r="X171" i="1"/>
  <c r="X38" i="1"/>
  <c r="X67" i="1" s="1"/>
  <c r="Y155" i="1"/>
  <c r="X170" i="1"/>
  <c r="X25" i="1"/>
  <c r="X49" i="1"/>
  <c r="X53" i="1"/>
  <c r="X139" i="1"/>
  <c r="S139" i="1"/>
  <c r="S171" i="1"/>
  <c r="S170" i="1"/>
  <c r="S45" i="1"/>
  <c r="T155" i="1"/>
  <c r="M45" i="1"/>
  <c r="M139" i="1"/>
  <c r="M171" i="1"/>
  <c r="M53" i="1"/>
  <c r="M170" i="1"/>
  <c r="N180" i="1"/>
  <c r="R139" i="1"/>
  <c r="H49" i="1"/>
  <c r="H139" i="1"/>
  <c r="H171" i="1"/>
  <c r="K180" i="1"/>
  <c r="H170" i="1"/>
  <c r="BZ137" i="1"/>
  <c r="BU153" i="1"/>
  <c r="BU24" i="1"/>
  <c r="BU209" i="1" s="1"/>
  <c r="BP153" i="1"/>
  <c r="BP137" i="1"/>
  <c r="BP19" i="1"/>
  <c r="BP24" i="1"/>
  <c r="BP209" i="1" s="1"/>
  <c r="BW162" i="1"/>
  <c r="BW172" i="1"/>
  <c r="BR172" i="1"/>
  <c r="BM66" i="1"/>
  <c r="BM162" i="1"/>
  <c r="BM172" i="1"/>
  <c r="BH172" i="1"/>
  <c r="BH146" i="1"/>
  <c r="AX172" i="1"/>
  <c r="BC146" i="1"/>
  <c r="AX162" i="1"/>
  <c r="AO172" i="1"/>
  <c r="AQ162" i="1"/>
  <c r="AI172" i="1"/>
  <c r="AI162" i="1"/>
  <c r="AN146" i="1"/>
  <c r="AJ162" i="1"/>
  <c r="AD172" i="1"/>
  <c r="AE162" i="1"/>
  <c r="W172" i="1"/>
  <c r="W146" i="1"/>
  <c r="AB146" i="1"/>
  <c r="O67" i="1"/>
  <c r="O146" i="1"/>
  <c r="O162" i="1"/>
  <c r="J162" i="1"/>
  <c r="J146" i="1"/>
  <c r="BR49" i="1"/>
  <c r="BR139" i="1"/>
  <c r="BR170" i="1"/>
  <c r="BS155" i="1"/>
  <c r="BR169" i="1"/>
  <c r="AC25" i="1"/>
  <c r="AC171" i="1"/>
  <c r="AE180" i="1"/>
  <c r="AD26" i="1"/>
  <c r="AC49" i="1"/>
  <c r="AC170" i="1"/>
  <c r="AC45" i="1"/>
  <c r="AC139" i="1"/>
  <c r="AH139" i="1"/>
  <c r="AU24" i="1"/>
  <c r="AU138" i="1"/>
  <c r="Z23" i="1"/>
  <c r="AE138" i="1"/>
  <c r="AB154" i="1"/>
  <c r="AE22" i="1"/>
  <c r="Z24" i="1"/>
  <c r="Z180" i="1" s="1"/>
  <c r="Z154" i="1"/>
  <c r="BT19" i="1"/>
  <c r="U184" i="1"/>
  <c r="BV181" i="1"/>
  <c r="BV113" i="2" s="1"/>
  <c r="BL181" i="1"/>
  <c r="BL113" i="2" s="1"/>
  <c r="AH181" i="1"/>
  <c r="AH113" i="2" s="1"/>
  <c r="K181" i="1"/>
  <c r="K113" i="2" s="1"/>
  <c r="AS180" i="1"/>
  <c r="AS130" i="2" s="1"/>
  <c r="BX162" i="1"/>
  <c r="X162" i="1"/>
  <c r="T146" i="1"/>
  <c r="Z138" i="1"/>
  <c r="BW95" i="2"/>
  <c r="BV197" i="4" s="1"/>
  <c r="BW139" i="1"/>
  <c r="BW170" i="1"/>
  <c r="BW25" i="1"/>
  <c r="BW169" i="1"/>
  <c r="BW53" i="1"/>
  <c r="AL53" i="1"/>
  <c r="AQ139" i="1"/>
  <c r="AM155" i="1"/>
  <c r="AL169" i="1"/>
  <c r="AO180" i="1"/>
  <c r="AL25" i="1"/>
  <c r="AL45" i="1"/>
  <c r="AL170" i="1"/>
  <c r="AL172" i="1"/>
  <c r="AM26" i="1"/>
  <c r="AL155" i="1"/>
  <c r="AG45" i="1"/>
  <c r="AH155" i="1"/>
  <c r="AG169" i="1"/>
  <c r="AJ180" i="1"/>
  <c r="AG139" i="1"/>
  <c r="AG170" i="1"/>
  <c r="AG172" i="1"/>
  <c r="AG155" i="1"/>
  <c r="AL49" i="1"/>
  <c r="AU37" i="1"/>
  <c r="AU40" i="1" s="1"/>
  <c r="X33" i="1"/>
  <c r="AG53" i="1"/>
  <c r="BW49" i="1"/>
  <c r="BP35" i="1"/>
  <c r="BP39" i="1" s="1"/>
  <c r="AH26" i="1"/>
  <c r="O77" i="310"/>
  <c r="K137" i="1"/>
  <c r="BW45" i="1"/>
  <c r="S33" i="1"/>
  <c r="F24" i="1"/>
  <c r="M77" i="310"/>
  <c r="AU159" i="310"/>
  <c r="CC62" i="310"/>
  <c r="CC58" i="310"/>
  <c r="K227" i="310"/>
  <c r="AN164" i="310"/>
  <c r="BE110" i="310"/>
  <c r="BA105" i="310"/>
  <c r="BG40" i="310"/>
  <c r="BH32" i="310"/>
  <c r="BO84" i="310"/>
  <c r="D53" i="3"/>
  <c r="AJ103" i="3"/>
  <c r="L79" i="3"/>
  <c r="BJ76" i="3"/>
  <c r="BT69" i="3"/>
  <c r="BE69" i="3"/>
  <c r="CS65" i="3"/>
  <c r="AU69" i="3"/>
  <c r="BO84" i="3"/>
  <c r="BJ84" i="3"/>
  <c r="AP84" i="3"/>
  <c r="Q84" i="3"/>
  <c r="BY83" i="3"/>
  <c r="BT83" i="3"/>
  <c r="BO83" i="3"/>
  <c r="BE83" i="3"/>
  <c r="AA83" i="3"/>
  <c r="V83" i="3"/>
  <c r="AF71" i="3"/>
  <c r="AA66" i="3"/>
  <c r="V92" i="3"/>
  <c r="Q92" i="3"/>
  <c r="BY91" i="3"/>
  <c r="AA90" i="3"/>
  <c r="AF79" i="3"/>
  <c r="Q78" i="3"/>
  <c r="L77" i="3"/>
  <c r="BY75" i="3"/>
  <c r="AP75" i="3"/>
  <c r="V75" i="3"/>
  <c r="L75" i="3"/>
  <c r="G75" i="3"/>
  <c r="BY74" i="3"/>
  <c r="BT74" i="3"/>
  <c r="BO74" i="3"/>
  <c r="BJ74" i="3"/>
  <c r="BE74" i="3"/>
  <c r="AP74" i="3"/>
  <c r="Q69" i="3"/>
  <c r="BT68" i="3"/>
  <c r="AP68" i="3"/>
  <c r="AI71" i="3"/>
  <c r="V104" i="3"/>
  <c r="L104" i="3"/>
  <c r="AP102" i="3"/>
  <c r="E103" i="3"/>
  <c r="CB94" i="3"/>
  <c r="BT92" i="3"/>
  <c r="AP81" i="3"/>
  <c r="AA81" i="3"/>
  <c r="V81" i="3"/>
  <c r="AA80" i="3"/>
  <c r="G80" i="3"/>
  <c r="BI86" i="3"/>
  <c r="BV86" i="3"/>
  <c r="BL86" i="3"/>
  <c r="CD220" i="4"/>
  <c r="CE220" i="4"/>
  <c r="CD102" i="3"/>
  <c r="AA71" i="3"/>
  <c r="V71" i="3"/>
  <c r="L71" i="3"/>
  <c r="G66" i="3"/>
  <c r="BJ65" i="3"/>
  <c r="Q65" i="3"/>
  <c r="G64" i="3"/>
  <c r="BO62" i="3"/>
  <c r="AE49" i="3"/>
  <c r="AF49" i="3" s="1"/>
  <c r="V200" i="1"/>
  <c r="L100" i="3"/>
  <c r="L97" i="3"/>
  <c r="BY96" i="3"/>
  <c r="V78" i="3"/>
  <c r="V74" i="3"/>
  <c r="Q79" i="3"/>
  <c r="BY73" i="3"/>
  <c r="BO73" i="3"/>
  <c r="AU73" i="3"/>
  <c r="G73" i="3"/>
  <c r="BJ72" i="3"/>
  <c r="AU72" i="3"/>
  <c r="AP72" i="3"/>
  <c r="AA72" i="3"/>
  <c r="V72" i="3"/>
  <c r="Q72" i="3"/>
  <c r="L72" i="3"/>
  <c r="G72" i="3"/>
  <c r="BT71" i="3"/>
  <c r="BO71" i="3"/>
  <c r="BE71" i="3"/>
  <c r="AU71" i="3"/>
  <c r="AA67" i="3"/>
  <c r="Q67" i="3"/>
  <c r="CD80" i="3"/>
  <c r="CD77" i="3"/>
  <c r="CD83" i="3"/>
  <c r="AE82" i="3"/>
  <c r="AD76" i="3"/>
  <c r="BY31" i="3"/>
  <c r="AA76" i="3"/>
  <c r="AI86" i="3"/>
  <c r="CD79" i="3"/>
  <c r="BU86" i="3"/>
  <c r="BU87" i="3" s="1"/>
  <c r="G77" i="3"/>
  <c r="BY76" i="3"/>
  <c r="BE76" i="3"/>
  <c r="G76" i="3"/>
  <c r="BT75" i="3"/>
  <c r="BJ75" i="3"/>
  <c r="BE75" i="3"/>
  <c r="AM86" i="3"/>
  <c r="CD75" i="3"/>
  <c r="CD76" i="3"/>
  <c r="CD82" i="3"/>
  <c r="AJ74" i="3"/>
  <c r="CD84" i="3"/>
  <c r="BY84" i="3"/>
  <c r="BT84" i="3"/>
  <c r="AK84" i="3"/>
  <c r="AF84" i="3"/>
  <c r="AA84" i="3"/>
  <c r="G84" i="3"/>
  <c r="AP83" i="3"/>
  <c r="AF83" i="3"/>
  <c r="L83" i="3"/>
  <c r="BO82" i="3"/>
  <c r="BJ82" i="3"/>
  <c r="AA82" i="3"/>
  <c r="V82" i="3"/>
  <c r="Q82" i="3"/>
  <c r="AR85" i="3"/>
  <c r="G78" i="3"/>
  <c r="AJ31" i="3"/>
  <c r="BT70" i="3"/>
  <c r="BS219" i="4" s="1"/>
  <c r="BO219" i="4"/>
  <c r="BZ218" i="4"/>
  <c r="CA197" i="1"/>
  <c r="BU218" i="4"/>
  <c r="BV197" i="1"/>
  <c r="BY64" i="3"/>
  <c r="BP218" i="4"/>
  <c r="BQ197" i="1"/>
  <c r="BT64" i="3"/>
  <c r="BK218" i="4"/>
  <c r="BL197" i="1"/>
  <c r="BF218" i="4"/>
  <c r="BJ64" i="3"/>
  <c r="BJ140" i="2" s="1"/>
  <c r="BJ138" i="2" s="1"/>
  <c r="BG197" i="1"/>
  <c r="BA218" i="4"/>
  <c r="BB197" i="1"/>
  <c r="BE64" i="3"/>
  <c r="Y218" i="4"/>
  <c r="Z197" i="1"/>
  <c r="T218" i="4"/>
  <c r="U197" i="1"/>
  <c r="BV88" i="2"/>
  <c r="BV89" i="2"/>
  <c r="BY62" i="3"/>
  <c r="AN50" i="3"/>
  <c r="AN104" i="3"/>
  <c r="AM104" i="3"/>
  <c r="BC46" i="3"/>
  <c r="BB49" i="3"/>
  <c r="AN46" i="3"/>
  <c r="AN100" i="3"/>
  <c r="AN70" i="2" s="1"/>
  <c r="AM100" i="3"/>
  <c r="BN45" i="3"/>
  <c r="BN99" i="3"/>
  <c r="BN76" i="2" s="1"/>
  <c r="BM99" i="3"/>
  <c r="AT45" i="3"/>
  <c r="AU45" i="3" s="1"/>
  <c r="AS99" i="3"/>
  <c r="AS76" i="2" s="1"/>
  <c r="AS78" i="2" s="1"/>
  <c r="BO43" i="3"/>
  <c r="BN97" i="3"/>
  <c r="BN82" i="2" s="1"/>
  <c r="BH43" i="3"/>
  <c r="BH97" i="3" s="1"/>
  <c r="BG97" i="3"/>
  <c r="BG82" i="2" s="1"/>
  <c r="AX42" i="3"/>
  <c r="AX96" i="3" s="1"/>
  <c r="AW96" i="3"/>
  <c r="AW103" i="3" s="1"/>
  <c r="AN42" i="3"/>
  <c r="AM96" i="3"/>
  <c r="BA82" i="2"/>
  <c r="BA103" i="3"/>
  <c r="W82" i="2"/>
  <c r="W103" i="3"/>
  <c r="M82" i="2"/>
  <c r="Q97" i="3"/>
  <c r="Q82" i="2" s="1"/>
  <c r="V79" i="3"/>
  <c r="BH86" i="3"/>
  <c r="AA77" i="3"/>
  <c r="AA74" i="3"/>
  <c r="CK70" i="3"/>
  <c r="CJ219" i="4"/>
  <c r="CL16" i="3"/>
  <c r="CL70" i="3" s="1"/>
  <c r="CK219" i="4" s="1"/>
  <c r="T94" i="3"/>
  <c r="E94" i="3"/>
  <c r="BK126" i="2"/>
  <c r="BK130" i="2" s="1"/>
  <c r="BK94" i="3"/>
  <c r="BJ221" i="4"/>
  <c r="BK195" i="1"/>
  <c r="AV126" i="2"/>
  <c r="AV130" i="2" s="1"/>
  <c r="AV195" i="1"/>
  <c r="AL221" i="4"/>
  <c r="AM195" i="1"/>
  <c r="AM126" i="2"/>
  <c r="AM130" i="2" s="1"/>
  <c r="AG221" i="4"/>
  <c r="Z195" i="1"/>
  <c r="U195" i="1"/>
  <c r="T221" i="4"/>
  <c r="P94" i="3"/>
  <c r="AL86" i="3"/>
  <c r="T220" i="4"/>
  <c r="V76" i="3"/>
  <c r="BX86" i="3"/>
  <c r="AF220" i="4"/>
  <c r="BP77" i="2"/>
  <c r="BT67" i="3"/>
  <c r="BK77" i="2"/>
  <c r="BO67" i="3"/>
  <c r="BF77" i="2"/>
  <c r="BJ67" i="3"/>
  <c r="BE67" i="3"/>
  <c r="BA77" i="2"/>
  <c r="BE77" i="2" s="1"/>
  <c r="AR77" i="2"/>
  <c r="AU67" i="3"/>
  <c r="AM77" i="2"/>
  <c r="AP77" i="2"/>
  <c r="AP67" i="3"/>
  <c r="AK13" i="3"/>
  <c r="AJ67" i="3"/>
  <c r="AK67" i="3" s="1"/>
  <c r="AD66" i="3"/>
  <c r="AC66" i="3"/>
  <c r="AV86" i="3"/>
  <c r="AW86" i="3"/>
  <c r="BQ82" i="2"/>
  <c r="BT97" i="3"/>
  <c r="U103" i="3"/>
  <c r="Q96" i="3"/>
  <c r="P103" i="3"/>
  <c r="F103" i="3"/>
  <c r="AM219" i="4"/>
  <c r="AP70" i="3"/>
  <c r="AO219" i="4" s="1"/>
  <c r="AH76" i="2"/>
  <c r="AK70" i="3"/>
  <c r="AJ219" i="4" s="1"/>
  <c r="AG219" i="4"/>
  <c r="AN35" i="3"/>
  <c r="AM40" i="3"/>
  <c r="AU26" i="3"/>
  <c r="AT80" i="3"/>
  <c r="AU80" i="3" s="1"/>
  <c r="AC78" i="3"/>
  <c r="AD78" i="3"/>
  <c r="AF78" i="3" s="1"/>
  <c r="AF22" i="3"/>
  <c r="AE75" i="3"/>
  <c r="AF21" i="3"/>
  <c r="AE77" i="3"/>
  <c r="Q200" i="1"/>
  <c r="AY16" i="3"/>
  <c r="AX70" i="3"/>
  <c r="AC70" i="3"/>
  <c r="AD70" i="3"/>
  <c r="CD101" i="3"/>
  <c r="CD66" i="3"/>
  <c r="AK72" i="3"/>
  <c r="AK76" i="3"/>
  <c r="AP32" i="3"/>
  <c r="AA79" i="3"/>
  <c r="BO76" i="3"/>
  <c r="BT66" i="3"/>
  <c r="BO66" i="3"/>
  <c r="BJ66" i="3"/>
  <c r="BE66" i="3"/>
  <c r="AZ66" i="3"/>
  <c r="AU66" i="3"/>
  <c r="AL33" i="3"/>
  <c r="AL51" i="3" s="1"/>
  <c r="AR40" i="3"/>
  <c r="AF100" i="3"/>
  <c r="BT91" i="3"/>
  <c r="AK91" i="3"/>
  <c r="AY38" i="3"/>
  <c r="AX92" i="3"/>
  <c r="BE44" i="3"/>
  <c r="BD98" i="3"/>
  <c r="BO91" i="3"/>
  <c r="BN89" i="2"/>
  <c r="AV94" i="3"/>
  <c r="AI94" i="3"/>
  <c r="AK90" i="3"/>
  <c r="Q90" i="3"/>
  <c r="AU75" i="3"/>
  <c r="V77" i="3"/>
  <c r="BT220" i="4"/>
  <c r="AQ220" i="4"/>
  <c r="CN90" i="3"/>
  <c r="AP76" i="3"/>
  <c r="AP66" i="3"/>
  <c r="AK66" i="3"/>
  <c r="V66" i="3"/>
  <c r="Q66" i="3"/>
  <c r="L66" i="3"/>
  <c r="CD65" i="3"/>
  <c r="BY65" i="3"/>
  <c r="BT65" i="3"/>
  <c r="BO65" i="3"/>
  <c r="BE65" i="3"/>
  <c r="AK92" i="3"/>
  <c r="AA104" i="3"/>
  <c r="K103" i="3"/>
  <c r="V101" i="3"/>
  <c r="G100" i="3"/>
  <c r="V99" i="3"/>
  <c r="G99" i="3"/>
  <c r="BY98" i="3"/>
  <c r="G97" i="3"/>
  <c r="BJ96" i="3"/>
  <c r="BE84" i="3"/>
  <c r="L84" i="3"/>
  <c r="BJ83" i="3"/>
  <c r="Q83" i="3"/>
  <c r="BY82" i="3"/>
  <c r="AP82" i="3"/>
  <c r="AK82" i="3"/>
  <c r="BZ85" i="3"/>
  <c r="AG85" i="3"/>
  <c r="CR18" i="3"/>
  <c r="AY126" i="2"/>
  <c r="AY130" i="2" s="1"/>
  <c r="AZ14" i="3"/>
  <c r="AY68" i="3"/>
  <c r="AZ68" i="3"/>
  <c r="BI46" i="3"/>
  <c r="BH100" i="3"/>
  <c r="BS126" i="2"/>
  <c r="BS128" i="2" s="1"/>
  <c r="BO48" i="3"/>
  <c r="AK195" i="1"/>
  <c r="AN99" i="3"/>
  <c r="BF103" i="3"/>
  <c r="Y103" i="3"/>
  <c r="AU77" i="3"/>
  <c r="BX195" i="1"/>
  <c r="R221" i="4"/>
  <c r="BC218" i="4"/>
  <c r="O218" i="4"/>
  <c r="J218" i="4"/>
  <c r="AH84" i="2"/>
  <c r="AL70" i="2"/>
  <c r="BQ104" i="3"/>
  <c r="AE92" i="3"/>
  <c r="AF92" i="3" s="1"/>
  <c r="AF94" i="3" s="1"/>
  <c r="AW91" i="3"/>
  <c r="AZ91" i="3"/>
  <c r="AE76" i="3"/>
  <c r="AX72" i="3"/>
  <c r="AA65" i="3"/>
  <c r="V65" i="3"/>
  <c r="L65" i="3"/>
  <c r="G65" i="3"/>
  <c r="AW40" i="3"/>
  <c r="AY19" i="3"/>
  <c r="AN86" i="3"/>
  <c r="CK92" i="3"/>
  <c r="CK72" i="3"/>
  <c r="CD64" i="3"/>
  <c r="CC86" i="3"/>
  <c r="BS94" i="3"/>
  <c r="BC89" i="3"/>
  <c r="BG100" i="3"/>
  <c r="AT83" i="3"/>
  <c r="AE83" i="2"/>
  <c r="V97" i="3"/>
  <c r="AA100" i="3"/>
  <c r="BA221" i="4"/>
  <c r="AQ221" i="4"/>
  <c r="W221" i="4"/>
  <c r="AZ218" i="4"/>
  <c r="X218" i="4"/>
  <c r="BX126" i="2"/>
  <c r="AW104" i="3"/>
  <c r="Q104" i="3"/>
  <c r="BX103" i="3"/>
  <c r="BJ102" i="3"/>
  <c r="AD103" i="3"/>
  <c r="AA102" i="3"/>
  <c r="J103" i="3"/>
  <c r="G102" i="3"/>
  <c r="BY101" i="3"/>
  <c r="BC98" i="3"/>
  <c r="AM97" i="3"/>
  <c r="AM82" i="2" s="1"/>
  <c r="BM92" i="3"/>
  <c r="AD82" i="3"/>
  <c r="BJ62" i="3"/>
  <c r="AF31" i="3"/>
  <c r="CB220" i="4"/>
  <c r="BS195" i="1"/>
  <c r="AE70" i="2"/>
  <c r="AE57" i="2" s="1"/>
  <c r="AD83" i="2"/>
  <c r="BA126" i="2"/>
  <c r="BA130" i="2" s="1"/>
  <c r="AN76" i="2"/>
  <c r="X195" i="1"/>
  <c r="AL219" i="4"/>
  <c r="AJ126" i="2"/>
  <c r="BQ98" i="3"/>
  <c r="BQ103" i="3" s="1"/>
  <c r="AH71" i="3"/>
  <c r="CF97" i="3"/>
  <c r="CF82" i="2"/>
  <c r="CG189" i="4"/>
  <c r="BJ189" i="4"/>
  <c r="AK59" i="4"/>
  <c r="AW59" i="4"/>
  <c r="CE76" i="4"/>
  <c r="AT83" i="8"/>
  <c r="AT88" i="8" s="1"/>
  <c r="BT71" i="8"/>
  <c r="AZ71" i="8"/>
  <c r="AZ72" i="8" s="1"/>
  <c r="AM58" i="8"/>
  <c r="AM19" i="8" s="1"/>
  <c r="AM55" i="8"/>
  <c r="AZ52" i="8"/>
  <c r="AZ81" i="8"/>
  <c r="AZ86" i="8" s="1"/>
  <c r="AW55" i="8"/>
  <c r="AN55" i="8"/>
  <c r="BN49" i="8"/>
  <c r="BN54" i="8"/>
  <c r="BO48" i="8"/>
  <c r="V53" i="8"/>
  <c r="AA58" i="8"/>
  <c r="AA19" i="8" s="1"/>
  <c r="CE29" i="8"/>
  <c r="CE24" i="8"/>
  <c r="BZ15" i="8"/>
  <c r="BZ29" i="8" s="1"/>
  <c r="BT9" i="8"/>
  <c r="BK24" i="8"/>
  <c r="BO9" i="8"/>
  <c r="BO34" i="8" s="1"/>
  <c r="BO35" i="8" s="1"/>
  <c r="BP24" i="8"/>
  <c r="CE55" i="8"/>
  <c r="CE81" i="8"/>
  <c r="CE86" i="8" s="1"/>
  <c r="BT70" i="8"/>
  <c r="BY70" i="8"/>
  <c r="BY72" i="8" s="1"/>
  <c r="AU54" i="8"/>
  <c r="BH55" i="8"/>
  <c r="BH84" i="8"/>
  <c r="BH89" i="8" s="1"/>
  <c r="BH58" i="8"/>
  <c r="BH19" i="8" s="1"/>
  <c r="AI55" i="8"/>
  <c r="AI58" i="8"/>
  <c r="AI19" i="8" s="1"/>
  <c r="AI16" i="8"/>
  <c r="AI14" i="8" s="1"/>
  <c r="BE52" i="8"/>
  <c r="BA55" i="8"/>
  <c r="AA52" i="8"/>
  <c r="W55" i="8"/>
  <c r="AC15" i="8"/>
  <c r="AC29" i="8" s="1"/>
  <c r="AC24" i="8"/>
  <c r="AW63" i="8"/>
  <c r="BH82" i="8"/>
  <c r="BH87" i="8" s="1"/>
  <c r="AB81" i="8"/>
  <c r="AB86" i="8" s="1"/>
  <c r="AT63" i="8"/>
  <c r="BJ73" i="8"/>
  <c r="AT58" i="8"/>
  <c r="AT19" i="8" s="1"/>
  <c r="AU53" i="8"/>
  <c r="BD55" i="8"/>
  <c r="AT55" i="8"/>
  <c r="BY48" i="8"/>
  <c r="BX54" i="8"/>
  <c r="CB24" i="8"/>
  <c r="CB15" i="8"/>
  <c r="CB29" i="8" s="1"/>
  <c r="BJ9" i="8"/>
  <c r="BH24" i="8"/>
  <c r="BM29" i="8"/>
  <c r="BH15" i="8"/>
  <c r="BM24" i="8"/>
  <c r="AA9" i="8"/>
  <c r="AB24" i="8"/>
  <c r="AB29" i="8"/>
  <c r="W15" i="8"/>
  <c r="W29" i="8" s="1"/>
  <c r="W81" i="8"/>
  <c r="W86" i="8" s="1"/>
  <c r="BJ71" i="8"/>
  <c r="BJ72" i="8" s="1"/>
  <c r="BE71" i="8"/>
  <c r="BE72" i="8" s="1"/>
  <c r="BW55" i="8"/>
  <c r="BW58" i="8"/>
  <c r="BW19" i="8" s="1"/>
  <c r="BJ53" i="8"/>
  <c r="BE53" i="8"/>
  <c r="BA58" i="8"/>
  <c r="BA19" i="8" s="1"/>
  <c r="AN16" i="8"/>
  <c r="BT52" i="8"/>
  <c r="BT81" i="8" s="1"/>
  <c r="AL53" i="8"/>
  <c r="AO47" i="8"/>
  <c r="AP47" i="8" s="1"/>
  <c r="CC72" i="8"/>
  <c r="CC62" i="8" s="1"/>
  <c r="AP52" i="8"/>
  <c r="AP81" i="8"/>
  <c r="AP86" i="8" s="1"/>
  <c r="Q39" i="8"/>
  <c r="CF86" i="8"/>
  <c r="CC82" i="8"/>
  <c r="CC87" i="8"/>
  <c r="CO227" i="1"/>
  <c r="BJ91" i="8"/>
  <c r="R26" i="8"/>
  <c r="F104" i="1"/>
  <c r="G104" i="1" s="1"/>
  <c r="V72" i="310"/>
  <c r="V37" i="1"/>
  <c r="V40" i="1" s="1"/>
  <c r="V138" i="1"/>
  <c r="V22" i="1"/>
  <c r="AF79" i="310"/>
  <c r="AF37" i="1"/>
  <c r="AF40" i="1" s="1"/>
  <c r="BY169" i="1"/>
  <c r="BY143" i="1"/>
  <c r="BY45" i="1"/>
  <c r="BY46" i="1"/>
  <c r="CD46" i="1"/>
  <c r="CD143" i="1"/>
  <c r="I31" i="447"/>
  <c r="BJ34" i="8"/>
  <c r="BJ35" i="8" s="1"/>
  <c r="BO26" i="8"/>
  <c r="H77" i="8"/>
  <c r="K41" i="8"/>
  <c r="H93" i="8"/>
  <c r="H54" i="8"/>
  <c r="M77" i="8"/>
  <c r="BC67" i="1"/>
  <c r="BC41" i="1"/>
  <c r="BB194" i="4" s="1"/>
  <c r="CC110" i="2"/>
  <c r="CC11" i="8"/>
  <c r="CC139" i="1"/>
  <c r="CC170" i="1"/>
  <c r="G31" i="447"/>
  <c r="W175" i="1"/>
  <c r="W89" i="1"/>
  <c r="AW14" i="8"/>
  <c r="BX71" i="1"/>
  <c r="BT34" i="8"/>
  <c r="BT35" i="8" s="1"/>
  <c r="BT26" i="8"/>
  <c r="H39" i="8"/>
  <c r="H79" i="8"/>
  <c r="H40" i="8"/>
  <c r="H76" i="8" s="1"/>
  <c r="M84" i="8"/>
  <c r="M79" i="8"/>
  <c r="X34" i="8"/>
  <c r="X35" i="8" s="1"/>
  <c r="X26" i="8"/>
  <c r="AG26" i="8"/>
  <c r="AF22" i="4" s="1"/>
  <c r="AB10" i="8"/>
  <c r="AB34" i="8"/>
  <c r="AB35" i="8" s="1"/>
  <c r="AN91" i="8"/>
  <c r="AN94" i="8"/>
  <c r="AP43" i="8"/>
  <c r="AS100" i="8"/>
  <c r="AS79" i="8"/>
  <c r="AN92" i="8"/>
  <c r="AS99" i="8" s="1"/>
  <c r="AR10" i="8"/>
  <c r="AR34" i="8"/>
  <c r="AR35" i="8" s="1"/>
  <c r="AW26" i="8"/>
  <c r="AV34" i="8"/>
  <c r="AV35" i="8" s="1"/>
  <c r="BA26" i="8"/>
  <c r="AV26" i="8"/>
  <c r="AV10" i="8"/>
  <c r="BA25" i="8" s="1"/>
  <c r="BD10" i="8"/>
  <c r="BD34" i="8"/>
  <c r="BD35" i="8" s="1"/>
  <c r="BD26" i="8"/>
  <c r="BG197" i="4"/>
  <c r="BX10" i="8"/>
  <c r="BX34" i="8"/>
  <c r="BX35" i="8" s="1"/>
  <c r="BX26" i="8"/>
  <c r="AF22" i="1"/>
  <c r="AA72" i="310"/>
  <c r="AA138" i="1"/>
  <c r="AA37" i="1"/>
  <c r="AA40" i="1" s="1"/>
  <c r="AA22" i="1"/>
  <c r="AF138" i="1"/>
  <c r="AG79" i="8"/>
  <c r="AL100" i="8"/>
  <c r="AL79" i="8"/>
  <c r="BI34" i="8"/>
  <c r="BI35" i="8" s="1"/>
  <c r="BN26" i="8"/>
  <c r="O77" i="8"/>
  <c r="J54" i="8"/>
  <c r="J93" i="8"/>
  <c r="AC197" i="4"/>
  <c r="AD198" i="1"/>
  <c r="AG197" i="4"/>
  <c r="AO197" i="4"/>
  <c r="AP198" i="1"/>
  <c r="AT91" i="8"/>
  <c r="AT92" i="8"/>
  <c r="AT94" i="8"/>
  <c r="AT79" i="8"/>
  <c r="AU43" i="8"/>
  <c r="AT93" i="8"/>
  <c r="AX34" i="8"/>
  <c r="AX35" i="8" s="1"/>
  <c r="AX10" i="8"/>
  <c r="BB91" i="8"/>
  <c r="BE91" i="8" s="1"/>
  <c r="BE39" i="8" s="1"/>
  <c r="BE75" i="8" s="1"/>
  <c r="BE86" i="8" s="1"/>
  <c r="BB79" i="8"/>
  <c r="BB94" i="8"/>
  <c r="BB93" i="8"/>
  <c r="BB92" i="8"/>
  <c r="BN94" i="8"/>
  <c r="BN10" i="1"/>
  <c r="BS84" i="8"/>
  <c r="BS31" i="8" s="1"/>
  <c r="BZ34" i="8"/>
  <c r="BZ35" i="8" s="1"/>
  <c r="BX80" i="1"/>
  <c r="BX82" i="1" s="1"/>
  <c r="BX188" i="1" s="1"/>
  <c r="BX189" i="1" s="1"/>
  <c r="BB84" i="1"/>
  <c r="BB82" i="1"/>
  <c r="G33" i="1"/>
  <c r="G170" i="1"/>
  <c r="G171" i="1"/>
  <c r="G49" i="1"/>
  <c r="G53" i="1"/>
  <c r="BJ33" i="1"/>
  <c r="T80" i="1"/>
  <c r="T82" i="1" s="1"/>
  <c r="T188" i="1" s="1"/>
  <c r="T189" i="1" s="1"/>
  <c r="T102" i="1"/>
  <c r="T103" i="1" s="1"/>
  <c r="Y148" i="1"/>
  <c r="Y69" i="1"/>
  <c r="T68" i="1"/>
  <c r="S195" i="4" s="1"/>
  <c r="T174" i="1"/>
  <c r="AH41" i="1"/>
  <c r="AG194" i="4" s="1"/>
  <c r="AH67" i="1"/>
  <c r="AL41" i="1"/>
  <c r="AK194" i="4" s="1"/>
  <c r="AL67" i="1"/>
  <c r="AE67" i="1"/>
  <c r="AG182" i="1" s="1"/>
  <c r="AF38" i="1"/>
  <c r="BW99" i="2"/>
  <c r="BW38" i="1"/>
  <c r="BX157" i="1"/>
  <c r="BW141" i="1"/>
  <c r="BW98" i="2"/>
  <c r="BV215" i="4" s="1"/>
  <c r="CB141" i="1"/>
  <c r="AM38" i="1"/>
  <c r="AM41" i="1" s="1"/>
  <c r="AL194" i="4" s="1"/>
  <c r="AP32" i="1"/>
  <c r="AM33" i="1"/>
  <c r="AM141" i="1"/>
  <c r="AM157" i="1"/>
  <c r="D31" i="447"/>
  <c r="N164" i="1"/>
  <c r="N102" i="1"/>
  <c r="N103" i="1"/>
  <c r="Q95" i="2"/>
  <c r="Q198" i="1" s="1"/>
  <c r="Q49" i="1"/>
  <c r="AA32" i="1"/>
  <c r="Z98" i="2"/>
  <c r="Y215" i="4" s="1"/>
  <c r="Z141" i="1"/>
  <c r="Z99" i="2"/>
  <c r="AE141" i="1"/>
  <c r="Z157" i="1"/>
  <c r="L32" i="1"/>
  <c r="K157" i="1"/>
  <c r="K33" i="1"/>
  <c r="M157" i="1"/>
  <c r="K38" i="1"/>
  <c r="AU34" i="1"/>
  <c r="AU35" i="1" s="1"/>
  <c r="AU39" i="1" s="1"/>
  <c r="AR32" i="1"/>
  <c r="AY68" i="310"/>
  <c r="AY73" i="310"/>
  <c r="BH16" i="1"/>
  <c r="BI17" i="1"/>
  <c r="BH17" i="1"/>
  <c r="H181" i="1"/>
  <c r="H113" i="2" s="1"/>
  <c r="F162" i="1"/>
  <c r="H162" i="1"/>
  <c r="K146" i="1"/>
  <c r="V145" i="1"/>
  <c r="AA145" i="1"/>
  <c r="AA65" i="1"/>
  <c r="AC181" i="1"/>
  <c r="AC113" i="2" s="1"/>
  <c r="Z146" i="1"/>
  <c r="AE146" i="1"/>
  <c r="AB162" i="1"/>
  <c r="AD181" i="1"/>
  <c r="AD113" i="2" s="1"/>
  <c r="Z162" i="1"/>
  <c r="AA50" i="1"/>
  <c r="AA144" i="1"/>
  <c r="V144" i="1"/>
  <c r="BY26" i="8"/>
  <c r="N93" i="8"/>
  <c r="CF40" i="1"/>
  <c r="BY56" i="1"/>
  <c r="BX102" i="1"/>
  <c r="AK104" i="1"/>
  <c r="BS68" i="1"/>
  <c r="BS174" i="1"/>
  <c r="BR102" i="1"/>
  <c r="BT56" i="1"/>
  <c r="BW66" i="1"/>
  <c r="N25" i="1"/>
  <c r="AY214" i="4"/>
  <c r="BS142" i="4"/>
  <c r="AZ56" i="1"/>
  <c r="AX55" i="1"/>
  <c r="BN142" i="4"/>
  <c r="AJ55" i="4"/>
  <c r="BX214" i="4"/>
  <c r="BS214" i="4"/>
  <c r="AE214" i="4"/>
  <c r="BU66" i="1"/>
  <c r="BC66" i="1"/>
  <c r="CQ227" i="1"/>
  <c r="CR227" i="1"/>
  <c r="BJ56" i="1"/>
  <c r="AR26" i="1"/>
  <c r="O26" i="1"/>
  <c r="BU20" i="1"/>
  <c r="BP20" i="1"/>
  <c r="BI214" i="4"/>
  <c r="F55" i="4"/>
  <c r="AT130" i="2"/>
  <c r="AT214" i="4"/>
  <c r="BG43" i="310"/>
  <c r="CI66" i="4"/>
  <c r="BU66" i="4"/>
  <c r="BY76" i="4"/>
  <c r="AJ57" i="2"/>
  <c r="AL78" i="2"/>
  <c r="AD11" i="3"/>
  <c r="AD65" i="3" s="1"/>
  <c r="AB10" i="3"/>
  <c r="AB64" i="3" s="1"/>
  <c r="AU96" i="3"/>
  <c r="AH57" i="2"/>
  <c r="AH10" i="3"/>
  <c r="AY21" i="3"/>
  <c r="AY77" i="3" s="1"/>
  <c r="AJ80" i="3"/>
  <c r="AK80" i="3" s="1"/>
  <c r="AH65" i="3"/>
  <c r="AJ40" i="3"/>
  <c r="AK40" i="3" s="1"/>
  <c r="AO93" i="3"/>
  <c r="AP93" i="3" s="1"/>
  <c r="AX81" i="3"/>
  <c r="BF93" i="3"/>
  <c r="BF94" i="3" s="1"/>
  <c r="BY88" i="2"/>
  <c r="BG93" i="3"/>
  <c r="BG94" i="3" s="1"/>
  <c r="BG40" i="3"/>
  <c r="AY75" i="3"/>
  <c r="AZ22" i="3"/>
  <c r="BK197" i="4"/>
  <c r="AN17" i="3"/>
  <c r="AO71" i="3"/>
  <c r="AJ79" i="3"/>
  <c r="AK79" i="3" s="1"/>
  <c r="AT74" i="3"/>
  <c r="AU74" i="3" s="1"/>
  <c r="AX75" i="3"/>
  <c r="BL59" i="2"/>
  <c r="BL62" i="2" s="1"/>
  <c r="BY140" i="2"/>
  <c r="AD57" i="2"/>
  <c r="BP62" i="2"/>
  <c r="BK62" i="2"/>
  <c r="BF40" i="3"/>
  <c r="AT82" i="3"/>
  <c r="AU82" i="3" s="1"/>
  <c r="AO49" i="3"/>
  <c r="AP49" i="3" s="1"/>
  <c r="CC78" i="2"/>
  <c r="AX80" i="3"/>
  <c r="AY74" i="3"/>
  <c r="AZ74" i="3" s="1"/>
  <c r="AZ20" i="3"/>
  <c r="AU197" i="4"/>
  <c r="AQ197" i="4"/>
  <c r="BU89" i="2"/>
  <c r="AK21" i="3"/>
  <c r="AX30" i="3"/>
  <c r="AX84" i="3" s="1"/>
  <c r="CA89" i="2"/>
  <c r="AK39" i="3"/>
  <c r="CA62" i="2"/>
  <c r="Z93" i="3"/>
  <c r="AU70" i="2"/>
  <c r="AQ98" i="3"/>
  <c r="Y93" i="3"/>
  <c r="Y94" i="3" s="1"/>
  <c r="AJ75" i="3"/>
  <c r="AK75" i="3" s="1"/>
  <c r="CE84" i="2"/>
  <c r="AR98" i="3"/>
  <c r="AS44" i="3"/>
  <c r="P84" i="2"/>
  <c r="BB78" i="2"/>
  <c r="CQ38" i="3"/>
  <c r="AH59" i="4"/>
  <c r="AB68" i="310"/>
  <c r="AB77" i="310" s="1"/>
  <c r="AF76" i="310"/>
  <c r="AL73" i="310"/>
  <c r="I16" i="447"/>
  <c r="BF68" i="310"/>
  <c r="AV68" i="310"/>
  <c r="AQ68" i="310"/>
  <c r="S77" i="310"/>
  <c r="C11" i="447"/>
  <c r="BC73" i="310"/>
  <c r="S69" i="310"/>
  <c r="AN76" i="310"/>
  <c r="R69" i="310"/>
  <c r="BX62" i="2"/>
  <c r="T70" i="310"/>
  <c r="AY79" i="8"/>
  <c r="BC26" i="8"/>
  <c r="BG79" i="8"/>
  <c r="O70" i="310"/>
  <c r="BT62" i="2"/>
  <c r="R77" i="310"/>
  <c r="AY14" i="8"/>
  <c r="BY34" i="8"/>
  <c r="BY35" i="8" s="1"/>
  <c r="P34" i="8"/>
  <c r="P35" i="8" s="1"/>
  <c r="P10" i="8"/>
  <c r="W197" i="4"/>
  <c r="X198" i="1"/>
  <c r="AB91" i="8"/>
  <c r="AB55" i="8"/>
  <c r="AB84" i="8" s="1"/>
  <c r="AB92" i="8"/>
  <c r="AB79" i="8"/>
  <c r="AF43" i="8"/>
  <c r="AF94" i="8" s="1"/>
  <c r="AW60" i="8"/>
  <c r="AW21" i="8" s="1"/>
  <c r="AW79" i="8"/>
  <c r="BI79" i="8"/>
  <c r="BI64" i="8" s="1"/>
  <c r="BD94" i="8"/>
  <c r="BL91" i="8"/>
  <c r="BQ79" i="8"/>
  <c r="BH68" i="310"/>
  <c r="AI73" i="310"/>
  <c r="C15" i="8"/>
  <c r="AY10" i="1"/>
  <c r="O26" i="8"/>
  <c r="O34" i="8"/>
  <c r="O35" i="8" s="1"/>
  <c r="T26" i="8"/>
  <c r="O10" i="8"/>
  <c r="AB26" i="8"/>
  <c r="W34" i="8"/>
  <c r="W35" i="8" s="1"/>
  <c r="W10" i="8"/>
  <c r="AI198" i="1"/>
  <c r="AR26" i="8"/>
  <c r="AM34" i="8"/>
  <c r="AM35" i="8" s="1"/>
  <c r="AM10" i="8"/>
  <c r="AP10" i="8" s="1"/>
  <c r="AQ198" i="1"/>
  <c r="AY26" i="8"/>
  <c r="AY34" i="8"/>
  <c r="AY35" i="8" s="1"/>
  <c r="BK10" i="1"/>
  <c r="BK91" i="8"/>
  <c r="BP100" i="8"/>
  <c r="BK94" i="8"/>
  <c r="BK92" i="8"/>
  <c r="BP99" i="8" s="1"/>
  <c r="BW34" i="8"/>
  <c r="BW35" i="8" s="1"/>
  <c r="BW26" i="8"/>
  <c r="CA10" i="8"/>
  <c r="O84" i="8"/>
  <c r="O31" i="8" s="1"/>
  <c r="N22" i="4" s="1"/>
  <c r="J40" i="8"/>
  <c r="O79" i="8"/>
  <c r="J39" i="8"/>
  <c r="J91" i="8" s="1"/>
  <c r="R34" i="8"/>
  <c r="R35" i="8" s="1"/>
  <c r="R10" i="8"/>
  <c r="AD10" i="8"/>
  <c r="AI26" i="8"/>
  <c r="AD26" i="8"/>
  <c r="BN92" i="8"/>
  <c r="BN93" i="8"/>
  <c r="BO93" i="8" s="1"/>
  <c r="BN91" i="8"/>
  <c r="BN79" i="8"/>
  <c r="BS100" i="8"/>
  <c r="BQ197" i="4"/>
  <c r="I74" i="447"/>
  <c r="I37" i="447"/>
  <c r="I76" i="447"/>
  <c r="AV80" i="310"/>
  <c r="AZ79" i="310"/>
  <c r="AZ80" i="310" s="1"/>
  <c r="D40" i="8"/>
  <c r="I79" i="8"/>
  <c r="D41" i="8"/>
  <c r="D54" i="8" s="1"/>
  <c r="BD73" i="310"/>
  <c r="CC189" i="4"/>
  <c r="BY189" i="4"/>
  <c r="BU189" i="4"/>
  <c r="BQ189" i="4"/>
  <c r="BM189" i="4"/>
  <c r="BA189" i="4"/>
  <c r="BA59" i="4"/>
  <c r="AS59" i="4"/>
  <c r="AS189" i="4"/>
  <c r="AG189" i="4"/>
  <c r="AG59" i="4"/>
  <c r="AC59" i="4"/>
  <c r="AC189" i="4"/>
  <c r="BS64" i="2"/>
  <c r="BS59" i="2"/>
  <c r="BN59" i="2"/>
  <c r="BN62" i="2" s="1"/>
  <c r="BN64" i="2"/>
  <c r="AR65" i="3"/>
  <c r="AX10" i="3"/>
  <c r="AY10" i="3" s="1"/>
  <c r="AW64" i="3"/>
  <c r="AH26" i="8"/>
  <c r="AG22" i="4" s="1"/>
  <c r="AC26" i="8"/>
  <c r="AB22" i="4" s="1"/>
  <c r="AC10" i="8"/>
  <c r="AH25" i="8" s="1"/>
  <c r="AC34" i="8"/>
  <c r="AC35" i="8" s="1"/>
  <c r="AG91" i="8"/>
  <c r="AG93" i="8"/>
  <c r="AG92" i="8"/>
  <c r="AK43" i="8"/>
  <c r="AG94" i="8"/>
  <c r="AR197" i="4"/>
  <c r="AS198" i="1"/>
  <c r="BI26" i="8"/>
  <c r="BI10" i="8"/>
  <c r="D15" i="8"/>
  <c r="D9" i="1"/>
  <c r="AI8" i="4"/>
  <c r="BW62" i="2"/>
  <c r="S70" i="310"/>
  <c r="L43" i="8"/>
  <c r="W26" i="8"/>
  <c r="BS79" i="8"/>
  <c r="CD72" i="310"/>
  <c r="CI65" i="3"/>
  <c r="C10" i="1"/>
  <c r="C92" i="8"/>
  <c r="C53" i="8"/>
  <c r="C55" i="8" s="1"/>
  <c r="AM10" i="3"/>
  <c r="AM64" i="3" s="1"/>
  <c r="AM65" i="3"/>
  <c r="AN11" i="3"/>
  <c r="BV66" i="3"/>
  <c r="BW66" i="3"/>
  <c r="BV33" i="3"/>
  <c r="BV51" i="3" s="1"/>
  <c r="BV53" i="3" s="1"/>
  <c r="BV55" i="3" s="1"/>
  <c r="BY197" i="4"/>
  <c r="AS25" i="8"/>
  <c r="AS16" i="8"/>
  <c r="AS10" i="1"/>
  <c r="H74" i="447"/>
  <c r="H37" i="447"/>
  <c r="H76" i="447"/>
  <c r="BG30" i="8"/>
  <c r="T21" i="8"/>
  <c r="J52" i="8"/>
  <c r="J9" i="1"/>
  <c r="BQ16" i="8"/>
  <c r="BS25" i="8"/>
  <c r="AC67" i="3"/>
  <c r="AD67" i="3"/>
  <c r="AD77" i="2" s="1"/>
  <c r="F26" i="447"/>
  <c r="BN16" i="8"/>
  <c r="AM25" i="8"/>
  <c r="M10" i="8"/>
  <c r="M34" i="8"/>
  <c r="M35" i="8" s="1"/>
  <c r="M26" i="8"/>
  <c r="AC198" i="1"/>
  <c r="AB197" i="4"/>
  <c r="AN197" i="4"/>
  <c r="BA198" i="1"/>
  <c r="AZ197" i="4"/>
  <c r="BF60" i="8"/>
  <c r="BF21" i="8" s="1"/>
  <c r="BA93" i="8"/>
  <c r="BF79" i="8"/>
  <c r="BE43" i="8"/>
  <c r="BA92" i="8"/>
  <c r="BF84" i="8"/>
  <c r="BF31" i="8" s="1"/>
  <c r="BA91" i="8"/>
  <c r="AW80" i="310"/>
  <c r="AR80" i="310"/>
  <c r="AN198" i="1"/>
  <c r="AR79" i="8"/>
  <c r="AR91" i="8"/>
  <c r="AW84" i="8"/>
  <c r="AW31" i="8" s="1"/>
  <c r="AW100" i="8"/>
  <c r="AR94" i="8"/>
  <c r="AR92" i="8"/>
  <c r="BD92" i="8"/>
  <c r="BD93" i="8"/>
  <c r="BI100" i="8"/>
  <c r="BD91" i="8"/>
  <c r="BD79" i="8"/>
  <c r="BQ84" i="8"/>
  <c r="BL92" i="8"/>
  <c r="BO43" i="8"/>
  <c r="BQ60" i="8"/>
  <c r="BQ21" i="8" s="1"/>
  <c r="BL94" i="8"/>
  <c r="BL10" i="1"/>
  <c r="BL79" i="8"/>
  <c r="BQ100" i="8"/>
  <c r="AL197" i="1"/>
  <c r="AK218" i="4"/>
  <c r="O198" i="1"/>
  <c r="S91" i="8"/>
  <c r="X79" i="8"/>
  <c r="X89" i="8" s="1"/>
  <c r="S93" i="8"/>
  <c r="S92" i="8"/>
  <c r="S94" i="8"/>
  <c r="AE198" i="1"/>
  <c r="AN60" i="8"/>
  <c r="AN21" i="8" s="1"/>
  <c r="AN84" i="8"/>
  <c r="AN31" i="8" s="1"/>
  <c r="AM22" i="4" s="1"/>
  <c r="AI93" i="8"/>
  <c r="AI94" i="8"/>
  <c r="AN79" i="8"/>
  <c r="AI92" i="8"/>
  <c r="AN99" i="8" s="1"/>
  <c r="AI79" i="8"/>
  <c r="AL197" i="4"/>
  <c r="AM198" i="1"/>
  <c r="BH60" i="8"/>
  <c r="BC91" i="8"/>
  <c r="BC92" i="8"/>
  <c r="BC93" i="8"/>
  <c r="BC79" i="8"/>
  <c r="BC94" i="8"/>
  <c r="BG198" i="1"/>
  <c r="BF197" i="4"/>
  <c r="BK34" i="8"/>
  <c r="BK35" i="8" s="1"/>
  <c r="BK26" i="8"/>
  <c r="AM68" i="310"/>
  <c r="AM73" i="310"/>
  <c r="N70" i="310"/>
  <c r="H77" i="310"/>
  <c r="BH189" i="4"/>
  <c r="AB189" i="4"/>
  <c r="AB59" i="4"/>
  <c r="CB59" i="2"/>
  <c r="CB62" i="2" s="1"/>
  <c r="CB64" i="2"/>
  <c r="CA64" i="2"/>
  <c r="BW64" i="2"/>
  <c r="BV64" i="2"/>
  <c r="BR59" i="2"/>
  <c r="BR64" i="2"/>
  <c r="BQ64" i="2"/>
  <c r="BQ62" i="2"/>
  <c r="BM59" i="2"/>
  <c r="BM62" i="2" s="1"/>
  <c r="BL64" i="2"/>
  <c r="BM64" i="2"/>
  <c r="AR189" i="4"/>
  <c r="AN59" i="4"/>
  <c r="BK113" i="4"/>
  <c r="BP189" i="4"/>
  <c r="AF59" i="4"/>
  <c r="AZ189" i="4"/>
  <c r="S34" i="4"/>
  <c r="X43" i="4" s="1"/>
  <c r="BA21" i="4"/>
  <c r="BR113" i="4"/>
  <c r="BT115" i="4" s="1"/>
  <c r="BF189" i="4"/>
  <c r="BK101" i="4"/>
  <c r="BS118" i="4"/>
  <c r="CH104" i="4"/>
  <c r="CH106" i="4" s="1"/>
  <c r="BJ113" i="4"/>
  <c r="AP63" i="4"/>
  <c r="BV114" i="4"/>
  <c r="O34" i="4"/>
  <c r="BQ114" i="4"/>
  <c r="BR112" i="4"/>
  <c r="BT66" i="4"/>
  <c r="BO75" i="4"/>
  <c r="AL8" i="4"/>
  <c r="BZ115" i="4"/>
  <c r="BI101" i="4"/>
  <c r="AG11" i="4"/>
  <c r="BO76" i="4"/>
  <c r="BP37" i="310"/>
  <c r="BP76" i="4"/>
  <c r="BP109" i="4"/>
  <c r="BO66" i="4"/>
  <c r="BJ66" i="4"/>
  <c r="X8" i="4"/>
  <c r="AQ189" i="4"/>
  <c r="AI189" i="4"/>
  <c r="Q34" i="4"/>
  <c r="BO189" i="4"/>
  <c r="BZ189" i="4"/>
  <c r="AF8" i="4"/>
  <c r="AX59" i="4"/>
  <c r="AL189" i="4"/>
  <c r="G34" i="4"/>
  <c r="AD11" i="4"/>
  <c r="AD21" i="4" s="1"/>
  <c r="R33" i="4"/>
  <c r="AQ8" i="4"/>
  <c r="BW189" i="4"/>
  <c r="BK189" i="4"/>
  <c r="V34" i="4"/>
  <c r="S44" i="4"/>
  <c r="AG8" i="4"/>
  <c r="AW8" i="4"/>
  <c r="CE112" i="4"/>
  <c r="CC106" i="4"/>
  <c r="AA8" i="4"/>
  <c r="N34" i="4"/>
  <c r="AU63" i="4"/>
  <c r="AU64" i="4"/>
  <c r="BJ101" i="4"/>
  <c r="BU115" i="4"/>
  <c r="O44" i="4"/>
  <c r="J34" i="4"/>
  <c r="AM8" i="4"/>
  <c r="BN88" i="4"/>
  <c r="AC8" i="4"/>
  <c r="H34" i="4"/>
  <c r="AH8" i="4"/>
  <c r="O8" i="4"/>
  <c r="CD115" i="4"/>
  <c r="M8" i="4"/>
  <c r="M44" i="4"/>
  <c r="S11" i="4"/>
  <c r="BK66" i="4"/>
  <c r="BX118" i="4"/>
  <c r="BX119" i="4" s="1"/>
  <c r="BQ76" i="4"/>
  <c r="AP189" i="4"/>
  <c r="AR8" i="4"/>
  <c r="AH11" i="4"/>
  <c r="AH21" i="4" s="1"/>
  <c r="N33" i="4"/>
  <c r="BW8" i="4"/>
  <c r="AM11" i="4"/>
  <c r="AM21" i="4" s="1"/>
  <c r="W33" i="4"/>
  <c r="L8" i="4"/>
  <c r="BB59" i="4"/>
  <c r="BK76" i="4"/>
  <c r="BF40" i="310"/>
  <c r="BF41" i="310" s="1"/>
  <c r="BQ113" i="4"/>
  <c r="BR189" i="4"/>
  <c r="BN106" i="4"/>
  <c r="BP66" i="4"/>
  <c r="BU76" i="4"/>
  <c r="BN105" i="4"/>
  <c r="BP113" i="4"/>
  <c r="BX114" i="4"/>
  <c r="AD189" i="4"/>
  <c r="CD189" i="4"/>
  <c r="BJ8" i="4"/>
  <c r="BL8" i="4"/>
  <c r="BE8" i="4"/>
  <c r="AU189" i="4"/>
  <c r="AA59" i="4"/>
  <c r="CA189" i="4"/>
  <c r="CI189" i="4"/>
  <c r="BG189" i="4"/>
  <c r="AM189" i="4"/>
  <c r="CE189" i="4"/>
  <c r="AE9" i="4"/>
  <c r="AE11" i="4" s="1"/>
  <c r="AE21" i="4" s="1"/>
  <c r="N44" i="4"/>
  <c r="Q8" i="4"/>
  <c r="BN9" i="4"/>
  <c r="BQ8" i="4"/>
  <c r="BQ11" i="4"/>
  <c r="BM11" i="4"/>
  <c r="BM21" i="4" s="1"/>
  <c r="BP8" i="4"/>
  <c r="AB11" i="4"/>
  <c r="AB21" i="4" s="1"/>
  <c r="BV8" i="4"/>
  <c r="AI61" i="4"/>
  <c r="AS64" i="4" s="1"/>
  <c r="AJ9" i="4"/>
  <c r="BR8" i="4"/>
  <c r="G11" i="4"/>
  <c r="G21" i="4" s="1"/>
  <c r="AK8" i="4"/>
  <c r="Q11" i="4"/>
  <c r="I34" i="4"/>
  <c r="N43" i="4" s="1"/>
  <c r="BD9" i="4"/>
  <c r="BD11" i="4" s="1"/>
  <c r="W44" i="4"/>
  <c r="S8" i="4"/>
  <c r="AP8" i="4"/>
  <c r="R44" i="4"/>
  <c r="BH40" i="310"/>
  <c r="BH41" i="310" s="1"/>
  <c r="BN43" i="310"/>
  <c r="BM8" i="4"/>
  <c r="BB8" i="4"/>
  <c r="BP11" i="4"/>
  <c r="AV8" i="4"/>
  <c r="P9" i="4"/>
  <c r="P11" i="4" s="1"/>
  <c r="P21" i="4" s="1"/>
  <c r="M34" i="4"/>
  <c r="M43" i="4" s="1"/>
  <c r="I33" i="4"/>
  <c r="AU8" i="4"/>
  <c r="V44" i="4"/>
  <c r="BT189" i="4"/>
  <c r="CB189" i="4"/>
  <c r="AS63" i="4"/>
  <c r="V8" i="4"/>
  <c r="AX63" i="4"/>
  <c r="BF8" i="4"/>
  <c r="AY9" i="4"/>
  <c r="AY11" i="4" s="1"/>
  <c r="AY21" i="4" s="1"/>
  <c r="AB8" i="4"/>
  <c r="AN63" i="4"/>
  <c r="AR63" i="4"/>
  <c r="AR11" i="4"/>
  <c r="AR21" i="4" s="1"/>
  <c r="X33" i="4"/>
  <c r="AV11" i="4"/>
  <c r="AV21" i="4" s="1"/>
  <c r="BI9" i="4"/>
  <c r="BN8" i="4" s="1"/>
  <c r="W11" i="4"/>
  <c r="W21" i="4" s="1"/>
  <c r="BC8" i="4"/>
  <c r="K9" i="4"/>
  <c r="K11" i="4" s="1"/>
  <c r="BJ11" i="4"/>
  <c r="BJ21" i="4" s="1"/>
  <c r="BJ23" i="4" s="1"/>
  <c r="BJ24" i="4" s="1"/>
  <c r="AX8" i="4"/>
  <c r="BF11" i="4"/>
  <c r="BA8" i="4"/>
  <c r="BH8" i="4"/>
  <c r="AZ8" i="4"/>
  <c r="BK8" i="4"/>
  <c r="AT9" i="4"/>
  <c r="AF63" i="4"/>
  <c r="X44" i="4"/>
  <c r="BG8" i="4"/>
  <c r="W8" i="4"/>
  <c r="R8" i="4"/>
  <c r="AZ11" i="4"/>
  <c r="N8" i="4"/>
  <c r="AN8" i="4"/>
  <c r="AM63" i="4"/>
  <c r="AS8" i="4"/>
  <c r="BG11" i="4"/>
  <c r="R11" i="4"/>
  <c r="R21" i="4" s="1"/>
  <c r="R23" i="4" s="1"/>
  <c r="AO9" i="4"/>
  <c r="BK43" i="310"/>
  <c r="AX23" i="4"/>
  <c r="AX24" i="4" s="1"/>
  <c r="AL63" i="4"/>
  <c r="AL130" i="2"/>
  <c r="AU35" i="3"/>
  <c r="AN101" i="3"/>
  <c r="AO101" i="3"/>
  <c r="AU25" i="3"/>
  <c r="CB140" i="2"/>
  <c r="CB138" i="2" s="1"/>
  <c r="P195" i="1"/>
  <c r="CA221" i="4"/>
  <c r="AI221" i="4"/>
  <c r="O221" i="4"/>
  <c r="BT77" i="2"/>
  <c r="BO77" i="2"/>
  <c r="AC70" i="2"/>
  <c r="W220" i="4"/>
  <c r="BQ78" i="2"/>
  <c r="BW220" i="4"/>
  <c r="AJ17" i="3"/>
  <c r="CP99" i="3"/>
  <c r="CP76" i="2" s="1"/>
  <c r="CE85" i="3"/>
  <c r="CF99" i="3"/>
  <c r="CF76" i="2"/>
  <c r="CC140" i="2"/>
  <c r="AZ76" i="3"/>
  <c r="CB195" i="1"/>
  <c r="AE195" i="1"/>
  <c r="K195" i="1"/>
  <c r="AP221" i="4"/>
  <c r="AD221" i="4"/>
  <c r="J221" i="4"/>
  <c r="AI70" i="2"/>
  <c r="AI69" i="2"/>
  <c r="CL19" i="3"/>
  <c r="CL73" i="3" s="1"/>
  <c r="CL30" i="3"/>
  <c r="CL84" i="3" s="1"/>
  <c r="CK45" i="3"/>
  <c r="CK99" i="3" s="1"/>
  <c r="CK76" i="2" s="1"/>
  <c r="CC126" i="2"/>
  <c r="CB218" i="4"/>
  <c r="N103" i="3"/>
  <c r="CB197" i="1"/>
  <c r="AJ195" i="1"/>
  <c r="AH103" i="3"/>
  <c r="S103" i="3"/>
  <c r="I103" i="3"/>
  <c r="AU68" i="3"/>
  <c r="G68" i="3"/>
  <c r="CL50" i="3"/>
  <c r="AY47" i="3"/>
  <c r="AX101" i="3"/>
  <c r="AO100" i="3"/>
  <c r="BI44" i="3"/>
  <c r="BI98" i="3" s="1"/>
  <c r="BJ98" i="3" s="1"/>
  <c r="BH98" i="3"/>
  <c r="AY46" i="3"/>
  <c r="AX100" i="3"/>
  <c r="BH92" i="3"/>
  <c r="BI92" i="3"/>
  <c r="BD37" i="3"/>
  <c r="BE37" i="3" s="1"/>
  <c r="BC91" i="3"/>
  <c r="BC40" i="3"/>
  <c r="BN50" i="3"/>
  <c r="BM104" i="3"/>
  <c r="BE45" i="3"/>
  <c r="BD99" i="3"/>
  <c r="BN44" i="3"/>
  <c r="BN49" i="3"/>
  <c r="BO49" i="3" s="1"/>
  <c r="BM98" i="3"/>
  <c r="CC103" i="3"/>
  <c r="CB221" i="4"/>
  <c r="BY69" i="3"/>
  <c r="CD104" i="3"/>
  <c r="BY104" i="3"/>
  <c r="AM94" i="3"/>
  <c r="AG94" i="3"/>
  <c r="AB94" i="3"/>
  <c r="BU94" i="3"/>
  <c r="CP71" i="3"/>
  <c r="CL12" i="3"/>
  <c r="CL66" i="3" s="1"/>
  <c r="BJ77" i="2"/>
  <c r="AA101" i="3"/>
  <c r="Q101" i="3"/>
  <c r="G81" i="3"/>
  <c r="BZ86" i="3"/>
  <c r="BZ87" i="3" s="1"/>
  <c r="BZ196" i="1" s="1"/>
  <c r="BZ201" i="1" s="1"/>
  <c r="BP86" i="3"/>
  <c r="BO80" i="3"/>
  <c r="BF86" i="3"/>
  <c r="L80" i="3"/>
  <c r="BW86" i="3"/>
  <c r="BQ86" i="3"/>
  <c r="BG86" i="3"/>
  <c r="AU78" i="3"/>
  <c r="AU85" i="3" s="1"/>
  <c r="BY32" i="3"/>
  <c r="CE86" i="3"/>
  <c r="BA94" i="3"/>
  <c r="AR76" i="2"/>
  <c r="CD67" i="3"/>
  <c r="AF90" i="3"/>
  <c r="CC82" i="2"/>
  <c r="AU104" i="3"/>
  <c r="AA91" i="3"/>
  <c r="Q91" i="3"/>
  <c r="L91" i="3"/>
  <c r="BY90" i="3"/>
  <c r="AV220" i="4"/>
  <c r="AP79" i="3"/>
  <c r="BT76" i="3"/>
  <c r="L74" i="3"/>
  <c r="G74" i="3"/>
  <c r="BT73" i="3"/>
  <c r="BJ73" i="3"/>
  <c r="BE73" i="3"/>
  <c r="AP73" i="3"/>
  <c r="AF73" i="3"/>
  <c r="AA73" i="3"/>
  <c r="L73" i="3"/>
  <c r="CD72" i="3"/>
  <c r="BT72" i="3"/>
  <c r="BO72" i="3"/>
  <c r="BE72" i="3"/>
  <c r="CR17" i="3"/>
  <c r="CQ16" i="3"/>
  <c r="CL15" i="3"/>
  <c r="CL69" i="3" s="1"/>
  <c r="BM89" i="1"/>
  <c r="BM82" i="1"/>
  <c r="AU104" i="1"/>
  <c r="BO104" i="1"/>
  <c r="CC218" i="4"/>
  <c r="CC85" i="3"/>
  <c r="CC87" i="3" s="1"/>
  <c r="AC103" i="3"/>
  <c r="AF101" i="3"/>
  <c r="AV70" i="2"/>
  <c r="AV57" i="2" s="1"/>
  <c r="AV103" i="3"/>
  <c r="CA76" i="2"/>
  <c r="CA78" i="2" s="1"/>
  <c r="CD99" i="3"/>
  <c r="BM82" i="2"/>
  <c r="AR82" i="2"/>
  <c r="AR84" i="2" s="1"/>
  <c r="M94" i="3"/>
  <c r="Q93" i="3"/>
  <c r="G93" i="3"/>
  <c r="C94" i="3"/>
  <c r="AF50" i="3"/>
  <c r="AE104" i="3"/>
  <c r="AF104" i="3" s="1"/>
  <c r="AF45" i="3"/>
  <c r="AE99" i="3"/>
  <c r="CD89" i="3"/>
  <c r="CD197" i="1"/>
  <c r="CD62" i="3"/>
  <c r="CD32" i="3"/>
  <c r="CD33" i="3" s="1"/>
  <c r="BB94" i="3"/>
  <c r="AF13" i="3"/>
  <c r="AE67" i="3"/>
  <c r="AE77" i="2" s="1"/>
  <c r="AJ32" i="3"/>
  <c r="AK29" i="3"/>
  <c r="AJ83" i="3"/>
  <c r="AK83" i="3" s="1"/>
  <c r="AI103" i="3"/>
  <c r="AK102" i="3"/>
  <c r="V102" i="3"/>
  <c r="T103" i="3"/>
  <c r="O103" i="3"/>
  <c r="Q102" i="3"/>
  <c r="BT101" i="3"/>
  <c r="BL103" i="3"/>
  <c r="BO101" i="3"/>
  <c r="AH86" i="3"/>
  <c r="AG220" i="4"/>
  <c r="BV220" i="4"/>
  <c r="BW85" i="3"/>
  <c r="BH50" i="3"/>
  <c r="BG104" i="3"/>
  <c r="AU83" i="2"/>
  <c r="CD77" i="2"/>
  <c r="BT90" i="3"/>
  <c r="BQ94" i="3"/>
  <c r="BL133" i="2"/>
  <c r="BY89" i="3"/>
  <c r="BW94" i="3"/>
  <c r="BO221" i="4"/>
  <c r="BP195" i="1"/>
  <c r="V89" i="3"/>
  <c r="N221" i="4"/>
  <c r="O195" i="1"/>
  <c r="O94" i="3"/>
  <c r="BH219" i="4"/>
  <c r="BJ70" i="3"/>
  <c r="BI219" i="4" s="1"/>
  <c r="BC219" i="4"/>
  <c r="BE70" i="3"/>
  <c r="BD219" i="4" s="1"/>
  <c r="AQ219" i="4"/>
  <c r="AU70" i="3"/>
  <c r="AT219" i="4"/>
  <c r="Q218" i="4"/>
  <c r="R197" i="1"/>
  <c r="BN93" i="3"/>
  <c r="BM93" i="3"/>
  <c r="AX93" i="3"/>
  <c r="AW93" i="3"/>
  <c r="AX36" i="3"/>
  <c r="AW90" i="3"/>
  <c r="BI35" i="3"/>
  <c r="BH89" i="3"/>
  <c r="AD91" i="3"/>
  <c r="AD94" i="3" s="1"/>
  <c r="AC91" i="3"/>
  <c r="AC94" i="3" s="1"/>
  <c r="AC77" i="3"/>
  <c r="AD77" i="3"/>
  <c r="AD74" i="3"/>
  <c r="AC74" i="3"/>
  <c r="L200" i="1"/>
  <c r="AN85" i="3"/>
  <c r="AO85" i="3"/>
  <c r="AR86" i="3"/>
  <c r="AS86" i="3"/>
  <c r="AJ77" i="2"/>
  <c r="AK77" i="2" s="1"/>
  <c r="AI76" i="2"/>
  <c r="AL57" i="2"/>
  <c r="AL69" i="2"/>
  <c r="M220" i="4"/>
  <c r="BY72" i="3"/>
  <c r="AT43" i="3"/>
  <c r="AU43" i="3"/>
  <c r="AS97" i="3"/>
  <c r="AS82" i="2" s="1"/>
  <c r="BK86" i="3"/>
  <c r="BC43" i="3"/>
  <c r="BB97" i="3"/>
  <c r="AN97" i="3"/>
  <c r="AO97" i="3"/>
  <c r="AO82" i="2" s="1"/>
  <c r="AY42" i="3"/>
  <c r="AK27" i="3"/>
  <c r="AJ81" i="3"/>
  <c r="AK24" i="3"/>
  <c r="AJ78" i="3"/>
  <c r="AK78" i="3" s="1"/>
  <c r="AZ18" i="3"/>
  <c r="AY72" i="3"/>
  <c r="AZ72" i="3" s="1"/>
  <c r="AC68" i="3"/>
  <c r="AD68" i="3"/>
  <c r="CD73" i="3"/>
  <c r="AO86" i="3"/>
  <c r="AK93" i="3"/>
  <c r="BG128" i="2"/>
  <c r="AM78" i="2"/>
  <c r="AI126" i="2"/>
  <c r="AI130" i="2" s="1"/>
  <c r="BM35" i="3"/>
  <c r="BL89" i="3"/>
  <c r="BK221" i="4" s="1"/>
  <c r="AY28" i="3"/>
  <c r="AY82" i="3" s="1"/>
  <c r="AX82" i="3"/>
  <c r="BZ89" i="2"/>
  <c r="S94" i="3"/>
  <c r="D94" i="3"/>
  <c r="AW126" i="2"/>
  <c r="AW130" i="2" s="1"/>
  <c r="AR220" i="4"/>
  <c r="G220" i="4"/>
  <c r="AN220" i="4"/>
  <c r="BO46" i="3"/>
  <c r="BN100" i="3"/>
  <c r="AM17" i="3"/>
  <c r="AM99" i="3"/>
  <c r="BD38" i="3"/>
  <c r="BC92" i="3"/>
  <c r="AU23" i="3"/>
  <c r="AT76" i="3"/>
  <c r="AF18" i="3"/>
  <c r="AE72" i="3"/>
  <c r="CC40" i="3"/>
  <c r="CD40" i="3" s="1"/>
  <c r="AA96" i="3"/>
  <c r="R103" i="3"/>
  <c r="M103" i="3"/>
  <c r="C103" i="3"/>
  <c r="BZ94" i="3"/>
  <c r="BY93" i="3"/>
  <c r="BP94" i="3"/>
  <c r="BE93" i="3"/>
  <c r="AF93" i="3"/>
  <c r="CD92" i="3"/>
  <c r="N195" i="1"/>
  <c r="Y220" i="4"/>
  <c r="E53" i="3"/>
  <c r="AC40" i="3"/>
  <c r="BU51" i="3"/>
  <c r="CQ30" i="3"/>
  <c r="CM30" i="3"/>
  <c r="CF85" i="3"/>
  <c r="CF98" i="3"/>
  <c r="Q100" i="3"/>
  <c r="Q83" i="2"/>
  <c r="BU103" i="3"/>
  <c r="AS85" i="3"/>
  <c r="AP80" i="3"/>
  <c r="AF80" i="3"/>
  <c r="V80" i="3"/>
  <c r="Q80" i="3"/>
  <c r="BJ79" i="3"/>
  <c r="G79" i="3"/>
  <c r="CB85" i="3"/>
  <c r="BY220" i="4"/>
  <c r="BO77" i="3"/>
  <c r="BJ77" i="3"/>
  <c r="BE77" i="3"/>
  <c r="CA85" i="3"/>
  <c r="AG86" i="3"/>
  <c r="Q77" i="3"/>
  <c r="AA78" i="3"/>
  <c r="BY70" i="3"/>
  <c r="BX219" i="4"/>
  <c r="G70" i="3"/>
  <c r="BO69" i="3"/>
  <c r="AP69" i="3"/>
  <c r="AK69" i="3"/>
  <c r="AA69" i="3"/>
  <c r="V69" i="3"/>
  <c r="L69" i="3"/>
  <c r="G69" i="3"/>
  <c r="BO68" i="3"/>
  <c r="BJ68" i="3"/>
  <c r="BE68" i="3"/>
  <c r="AK68" i="3"/>
  <c r="AA68" i="3"/>
  <c r="V68" i="3"/>
  <c r="Q68" i="3"/>
  <c r="L68" i="3"/>
  <c r="BY45" i="3"/>
  <c r="AU31" i="3"/>
  <c r="CR19" i="3"/>
  <c r="CQ15" i="3"/>
  <c r="CM16" i="3"/>
  <c r="CE94" i="3"/>
  <c r="BY81" i="3"/>
  <c r="AF81" i="3"/>
  <c r="Q81" i="3"/>
  <c r="L81" i="3"/>
  <c r="CA86" i="3"/>
  <c r="BY80" i="3"/>
  <c r="BT80" i="3"/>
  <c r="BJ80" i="3"/>
  <c r="BE80" i="3"/>
  <c r="AQ85" i="3"/>
  <c r="AI85" i="3"/>
  <c r="V73" i="3"/>
  <c r="CQ50" i="3"/>
  <c r="BX33" i="3"/>
  <c r="BX51" i="3" s="1"/>
  <c r="CC49" i="3"/>
  <c r="AR200" i="4"/>
  <c r="AD200" i="4"/>
  <c r="AF43" i="2"/>
  <c r="AE200" i="4" s="1"/>
  <c r="AE51" i="2"/>
  <c r="AF51" i="2" s="1"/>
  <c r="CD200" i="4"/>
  <c r="CE51" i="2"/>
  <c r="CE52" i="2" s="1"/>
  <c r="CC24" i="2"/>
  <c r="CB199" i="4" s="1"/>
  <c r="L51" i="2"/>
  <c r="R198" i="1"/>
  <c r="AH197" i="4"/>
  <c r="BM197" i="4"/>
  <c r="CK12" i="2"/>
  <c r="CL12" i="2" s="1"/>
  <c r="CM12" i="2" s="1"/>
  <c r="BN43" i="2"/>
  <c r="F43" i="2"/>
  <c r="BI197" i="4"/>
  <c r="Q197" i="4"/>
  <c r="AP197" i="4"/>
  <c r="BM198" i="1"/>
  <c r="AR93" i="3"/>
  <c r="AQ93" i="3"/>
  <c r="AQ94" i="3" s="1"/>
  <c r="AQ40" i="3"/>
  <c r="BC51" i="2"/>
  <c r="BB200" i="4"/>
  <c r="AZ26" i="3"/>
  <c r="AY80" i="3"/>
  <c r="BO69" i="2"/>
  <c r="CE47" i="3"/>
  <c r="CE49" i="3" s="1"/>
  <c r="AJ82" i="2"/>
  <c r="CI79" i="1"/>
  <c r="BZ135" i="2"/>
  <c r="CB128" i="2"/>
  <c r="BP128" i="2"/>
  <c r="BW78" i="2"/>
  <c r="AH78" i="2"/>
  <c r="CA57" i="2"/>
  <c r="CB51" i="2"/>
  <c r="CB52" i="2" s="1"/>
  <c r="CK46" i="2"/>
  <c r="AT34" i="2"/>
  <c r="E51" i="2"/>
  <c r="AJ94" i="3"/>
  <c r="BT105" i="4"/>
  <c r="AQ63" i="4"/>
  <c r="BF102" i="4"/>
  <c r="BO114" i="4"/>
  <c r="CA115" i="4"/>
  <c r="CF112" i="4"/>
  <c r="CF76" i="4"/>
  <c r="BT114" i="4"/>
  <c r="BI91" i="1"/>
  <c r="V146" i="1"/>
  <c r="CP227" i="1"/>
  <c r="CS59" i="1"/>
  <c r="CS227" i="1" s="1"/>
  <c r="E39" i="8"/>
  <c r="F39" i="8" s="1"/>
  <c r="E41" i="8"/>
  <c r="O174" i="1"/>
  <c r="AA46" i="1"/>
  <c r="AF46" i="1"/>
  <c r="AA143" i="1"/>
  <c r="AF143" i="1"/>
  <c r="BN209" i="1"/>
  <c r="CA210" i="1"/>
  <c r="BS210" i="1"/>
  <c r="BQ25" i="1"/>
  <c r="AN25" i="1"/>
  <c r="BB130" i="2"/>
  <c r="D91" i="8"/>
  <c r="D52" i="8"/>
  <c r="BF104" i="1"/>
  <c r="BS25" i="1"/>
  <c r="C10" i="8"/>
  <c r="AF117" i="1"/>
  <c r="BX142" i="4"/>
  <c r="BF130" i="2"/>
  <c r="BZ43" i="8"/>
  <c r="BZ93" i="8" s="1"/>
  <c r="CG162" i="1"/>
  <c r="BB201" i="310"/>
  <c r="AR185" i="310"/>
  <c r="AR184" i="310"/>
  <c r="AS183" i="310"/>
  <c r="CC68" i="310"/>
  <c r="CC70" i="310" s="1"/>
  <c r="AL76" i="310"/>
  <c r="AG76" i="310"/>
  <c r="AV25" i="310"/>
  <c r="AP198" i="310"/>
  <c r="AP176" i="310"/>
  <c r="AQ139" i="310"/>
  <c r="BW63" i="310"/>
  <c r="BP63" i="310"/>
  <c r="CB58" i="310"/>
  <c r="BP58" i="310"/>
  <c r="BG32" i="310"/>
  <c r="BH28" i="310"/>
  <c r="AC165" i="310"/>
  <c r="BB105" i="310"/>
  <c r="CF63" i="310"/>
  <c r="AJ190" i="310"/>
  <c r="AN165" i="310"/>
  <c r="AH164" i="310"/>
  <c r="BG28" i="310"/>
  <c r="AI267" i="310"/>
  <c r="AN267" i="310" s="1"/>
  <c r="AS267" i="310" s="1"/>
  <c r="AX267" i="310" s="1"/>
  <c r="BC267" i="310" s="1"/>
  <c r="BH267" i="310" s="1"/>
  <c r="BM267" i="310" s="1"/>
  <c r="BR267" i="310" s="1"/>
  <c r="BW267" i="310" s="1"/>
  <c r="CB267" i="310" s="1"/>
  <c r="CG267" i="310" s="1"/>
  <c r="CL267" i="310" s="1"/>
  <c r="CQ267" i="310" s="1"/>
  <c r="CV267" i="310" s="1"/>
  <c r="AG267" i="310"/>
  <c r="AL267" i="310" s="1"/>
  <c r="AD260" i="310"/>
  <c r="AD278" i="310" s="1"/>
  <c r="AD279" i="310" s="1"/>
  <c r="AI261" i="310"/>
  <c r="BH101" i="310"/>
  <c r="BI101" i="310" s="1"/>
  <c r="BG103" i="310"/>
  <c r="BG135" i="310"/>
  <c r="I54" i="447"/>
  <c r="I10" i="447"/>
  <c r="I56" i="447"/>
  <c r="H56" i="447"/>
  <c r="H54" i="447"/>
  <c r="H10" i="447"/>
  <c r="BH98" i="310"/>
  <c r="BH100" i="310" s="1"/>
  <c r="BG104" i="310"/>
  <c r="BG129" i="310" s="1"/>
  <c r="BG80" i="310" s="1"/>
  <c r="BG126" i="310"/>
  <c r="BG100" i="310"/>
  <c r="BX44" i="310"/>
  <c r="CG41" i="310"/>
  <c r="CG32" i="310"/>
  <c r="BP28" i="310"/>
  <c r="BF29" i="310"/>
  <c r="BB28" i="310"/>
  <c r="CF44" i="310"/>
  <c r="CG45" i="310"/>
  <c r="AK169" i="310"/>
  <c r="AC164" i="310"/>
  <c r="CD7" i="310"/>
  <c r="CF58" i="310"/>
  <c r="AW165" i="310"/>
  <c r="CI11" i="310"/>
  <c r="J55" i="447" s="1"/>
  <c r="CL52" i="310"/>
  <c r="CQ52" i="310" s="1"/>
  <c r="CV52" i="310" s="1"/>
  <c r="BI43" i="310"/>
  <c r="BV115" i="4"/>
  <c r="BO37" i="310"/>
  <c r="BM43" i="310"/>
  <c r="BM44" i="310" s="1"/>
  <c r="M30" i="4"/>
  <c r="BO113" i="4"/>
  <c r="BO115" i="4"/>
  <c r="BN111" i="4"/>
  <c r="BO112" i="4" s="1"/>
  <c r="BM113" i="4"/>
  <c r="BR114" i="4"/>
  <c r="BK109" i="4"/>
  <c r="BX53" i="4"/>
  <c r="CC53" i="4"/>
  <c r="BQ37" i="310"/>
  <c r="BQ43" i="310" s="1"/>
  <c r="BQ16" i="4"/>
  <c r="BR37" i="310" s="1"/>
  <c r="BH80" i="4"/>
  <c r="BJ76" i="4"/>
  <c r="CI66" i="3"/>
  <c r="CF135" i="2"/>
  <c r="CF94" i="3"/>
  <c r="CF86" i="3"/>
  <c r="AY77" i="2"/>
  <c r="BM103" i="3"/>
  <c r="AZ13" i="3"/>
  <c r="L195" i="1"/>
  <c r="P218" i="4"/>
  <c r="BM49" i="3"/>
  <c r="AS57" i="2"/>
  <c r="AK77" i="3"/>
  <c r="BQ135" i="2"/>
  <c r="BQ195" i="1"/>
  <c r="BQ126" i="2"/>
  <c r="BP221" i="4"/>
  <c r="V221" i="4"/>
  <c r="W195" i="1"/>
  <c r="H221" i="4"/>
  <c r="I195" i="1"/>
  <c r="I94" i="3"/>
  <c r="AH85" i="3"/>
  <c r="BS86" i="3"/>
  <c r="BT79" i="3"/>
  <c r="BO79" i="3"/>
  <c r="BN86" i="3"/>
  <c r="AL220" i="4"/>
  <c r="AM85" i="3"/>
  <c r="BR86" i="3"/>
  <c r="BT77" i="3"/>
  <c r="AU220" i="4"/>
  <c r="AP77" i="3"/>
  <c r="AM220" i="4"/>
  <c r="AP78" i="3"/>
  <c r="AL85" i="3"/>
  <c r="H220" i="4"/>
  <c r="L76" i="3"/>
  <c r="V220" i="4"/>
  <c r="AA75" i="3"/>
  <c r="BZ219" i="4"/>
  <c r="CD70" i="3"/>
  <c r="CC219" i="4" s="1"/>
  <c r="T219" i="4"/>
  <c r="V70" i="3"/>
  <c r="U219" i="4" s="1"/>
  <c r="O219" i="4"/>
  <c r="Q70" i="3"/>
  <c r="P219" i="4"/>
  <c r="G219" i="4"/>
  <c r="L70" i="3"/>
  <c r="K219" i="4" s="1"/>
  <c r="BY68" i="3"/>
  <c r="BY67" i="3"/>
  <c r="BV77" i="2"/>
  <c r="BI47" i="3"/>
  <c r="BH101" i="3"/>
  <c r="AY45" i="3"/>
  <c r="AX99" i="3"/>
  <c r="AN92" i="3"/>
  <c r="AO92" i="3"/>
  <c r="BI37" i="3"/>
  <c r="BH91" i="3"/>
  <c r="BJ36" i="3"/>
  <c r="BI90" i="3"/>
  <c r="BI133" i="2" s="1"/>
  <c r="BI135" i="2" s="1"/>
  <c r="CG92" i="3"/>
  <c r="CG84" i="3"/>
  <c r="CD78" i="3"/>
  <c r="CD85" i="3" s="1"/>
  <c r="L197" i="1"/>
  <c r="BX221" i="4"/>
  <c r="BR76" i="2"/>
  <c r="BT76" i="2" s="1"/>
  <c r="X82" i="2"/>
  <c r="AA97" i="3"/>
  <c r="AG103" i="3"/>
  <c r="AK96" i="3"/>
  <c r="AF96" i="3"/>
  <c r="AB103" i="3"/>
  <c r="H103" i="3"/>
  <c r="L96" i="3"/>
  <c r="L103" i="3" s="1"/>
  <c r="V93" i="3"/>
  <c r="U94" i="3"/>
  <c r="L93" i="3"/>
  <c r="L94" i="3" s="1"/>
  <c r="K94" i="3"/>
  <c r="BY92" i="3"/>
  <c r="BX94" i="3"/>
  <c r="AL94" i="3"/>
  <c r="CA133" i="2"/>
  <c r="CA94" i="3"/>
  <c r="BR83" i="2"/>
  <c r="BT100" i="3"/>
  <c r="S83" i="2"/>
  <c r="V100" i="3"/>
  <c r="AG195" i="1"/>
  <c r="AF221" i="4"/>
  <c r="S221" i="4"/>
  <c r="N220" i="4"/>
  <c r="BZ220" i="4"/>
  <c r="BU220" i="4"/>
  <c r="AA220" i="4"/>
  <c r="S220" i="4"/>
  <c r="CB86" i="3"/>
  <c r="CA220" i="4"/>
  <c r="CA195" i="1"/>
  <c r="CA126" i="2"/>
  <c r="BW126" i="2"/>
  <c r="BV221" i="4"/>
  <c r="BW195" i="1"/>
  <c r="X221" i="4"/>
  <c r="Y195" i="1"/>
  <c r="O220" i="4"/>
  <c r="X220" i="4"/>
  <c r="R220" i="4"/>
  <c r="J220" i="4"/>
  <c r="G71" i="3"/>
  <c r="AZ29" i="3"/>
  <c r="AY83" i="3"/>
  <c r="AA221" i="4"/>
  <c r="BV85" i="3"/>
  <c r="BY78" i="3"/>
  <c r="AP220" i="4"/>
  <c r="AK220" i="4"/>
  <c r="L220" i="4"/>
  <c r="AH220" i="4"/>
  <c r="Q220" i="4"/>
  <c r="BU84" i="2"/>
  <c r="AE84" i="2"/>
  <c r="BR102" i="3"/>
  <c r="AY69" i="3"/>
  <c r="AZ69" i="3" s="1"/>
  <c r="AZ15" i="3"/>
  <c r="CG73" i="3"/>
  <c r="CG69" i="3"/>
  <c r="BU221" i="4"/>
  <c r="AI84" i="2"/>
  <c r="BN78" i="2"/>
  <c r="BG78" i="2"/>
  <c r="BS102" i="3"/>
  <c r="BC90" i="3"/>
  <c r="CG104" i="3"/>
  <c r="CG71" i="3"/>
  <c r="CG99" i="3"/>
  <c r="CM17" i="3"/>
  <c r="CL45" i="3"/>
  <c r="CJ117" i="2"/>
  <c r="CJ119" i="2" s="1"/>
  <c r="CI56" i="2"/>
  <c r="CI96" i="3"/>
  <c r="CI29" i="2"/>
  <c r="CH212" i="4" s="1"/>
  <c r="CJ96" i="3"/>
  <c r="CK44" i="2"/>
  <c r="CL44" i="2" s="1"/>
  <c r="CO33" i="2"/>
  <c r="CP33" i="2" s="1"/>
  <c r="CQ33" i="2" s="1"/>
  <c r="CR33" i="2" s="1"/>
  <c r="CN33" i="2"/>
  <c r="CI33" i="2"/>
  <c r="CN11" i="2"/>
  <c r="CO11" i="2"/>
  <c r="CP11" i="2" s="1"/>
  <c r="CQ11" i="2" s="1"/>
  <c r="CR11" i="2" s="1"/>
  <c r="CF52" i="2"/>
  <c r="CD199" i="4"/>
  <c r="CE200" i="4"/>
  <c r="BO87" i="2"/>
  <c r="BK89" i="2"/>
  <c r="BQ51" i="2"/>
  <c r="BQ52" i="2" s="1"/>
  <c r="BP200" i="4"/>
  <c r="AP200" i="4"/>
  <c r="AQ51" i="2"/>
  <c r="AQ52" i="2" s="1"/>
  <c r="AH51" i="2"/>
  <c r="AH52" i="2"/>
  <c r="AG200" i="4"/>
  <c r="CA200" i="4"/>
  <c r="CK18" i="2"/>
  <c r="CL18" i="2" s="1"/>
  <c r="CM18" i="2" s="1"/>
  <c r="CN18" i="2" s="1"/>
  <c r="CI18" i="2"/>
  <c r="CO38" i="2"/>
  <c r="CP38" i="2" s="1"/>
  <c r="CQ38" i="2" s="1"/>
  <c r="CR38" i="2" s="1"/>
  <c r="CN38" i="2"/>
  <c r="AP81" i="2"/>
  <c r="BI57" i="2"/>
  <c r="BJ57" i="2" s="1"/>
  <c r="BJ70" i="2"/>
  <c r="BJ69" i="2" s="1"/>
  <c r="AK68" i="2"/>
  <c r="BU200" i="4"/>
  <c r="BV51" i="2"/>
  <c r="BV52" i="2" s="1"/>
  <c r="AT68" i="2"/>
  <c r="AU68" i="2" s="1"/>
  <c r="BA51" i="2"/>
  <c r="BA52" i="2" s="1"/>
  <c r="AZ200" i="4"/>
  <c r="W51" i="2"/>
  <c r="W52" i="2" s="1"/>
  <c r="V200" i="4"/>
  <c r="BY200" i="4"/>
  <c r="BZ51" i="2"/>
  <c r="BZ52" i="2" s="1"/>
  <c r="BS43" i="2"/>
  <c r="BS51" i="2" s="1"/>
  <c r="AU73" i="2"/>
  <c r="BV200" i="4"/>
  <c r="BW51" i="2"/>
  <c r="BW52" i="2" s="1"/>
  <c r="BF200" i="4"/>
  <c r="BQ200" i="4"/>
  <c r="BR51" i="2"/>
  <c r="BR52" i="2"/>
  <c r="BR1" i="2" s="1"/>
  <c r="BO199" i="1"/>
  <c r="BO200" i="1"/>
  <c r="BT200" i="1"/>
  <c r="AU83" i="3"/>
  <c r="CD87" i="2"/>
  <c r="BH39" i="3"/>
  <c r="BI93" i="3" s="1"/>
  <c r="AW103" i="2"/>
  <c r="CD73" i="2"/>
  <c r="BM34" i="2"/>
  <c r="BM43" i="2" s="1"/>
  <c r="BM51" i="2" s="1"/>
  <c r="BM52" i="2" s="1"/>
  <c r="X34" i="2"/>
  <c r="X43" i="2" s="1"/>
  <c r="X51" i="2" s="1"/>
  <c r="X52" i="2" s="1"/>
  <c r="CJ101" i="3"/>
  <c r="CG68" i="3"/>
  <c r="CI20" i="2"/>
  <c r="CG91" i="3"/>
  <c r="CG79" i="3"/>
  <c r="CI30" i="2"/>
  <c r="CK13" i="2"/>
  <c r="CL13" i="2" s="1"/>
  <c r="CM13" i="2" s="1"/>
  <c r="CI13" i="2"/>
  <c r="CG98" i="3"/>
  <c r="CK40" i="2"/>
  <c r="CL40" i="2" s="1"/>
  <c r="CM40" i="2" s="1"/>
  <c r="CG102" i="3"/>
  <c r="CI40" i="2"/>
  <c r="CJ82" i="3" s="1"/>
  <c r="BL41" i="1"/>
  <c r="BK194" i="4" s="1"/>
  <c r="BL67" i="1"/>
  <c r="AY172" i="1"/>
  <c r="AY162" i="1"/>
  <c r="AZ104" i="1"/>
  <c r="AX105" i="1"/>
  <c r="BG172" i="1"/>
  <c r="BK181" i="1"/>
  <c r="BK113" i="2" s="1"/>
  <c r="BG66" i="1"/>
  <c r="BG146" i="1"/>
  <c r="BL146" i="1"/>
  <c r="BG162" i="1"/>
  <c r="BH162" i="1"/>
  <c r="BI181" i="1"/>
  <c r="BI113" i="2" s="1"/>
  <c r="BT145" i="1"/>
  <c r="AG181" i="1"/>
  <c r="AG113" i="2" s="1"/>
  <c r="AD162" i="1"/>
  <c r="BQ209" i="1"/>
  <c r="BN33" i="1"/>
  <c r="BN38" i="1"/>
  <c r="K104" i="1"/>
  <c r="R104" i="1"/>
  <c r="BH66" i="1"/>
  <c r="BP55" i="1"/>
  <c r="BF55" i="1"/>
  <c r="BA55" i="1"/>
  <c r="AL55" i="1"/>
  <c r="AG55" i="1"/>
  <c r="BU54" i="1"/>
  <c r="BP54" i="1"/>
  <c r="BF54" i="1"/>
  <c r="AO54" i="1"/>
  <c r="AJ54" i="1"/>
  <c r="AC53" i="1"/>
  <c r="CG50" i="1"/>
  <c r="BG119" i="1"/>
  <c r="BA119" i="1"/>
  <c r="Y119" i="1"/>
  <c r="H117" i="1"/>
  <c r="U104" i="1"/>
  <c r="BK66" i="1"/>
  <c r="BA65" i="1"/>
  <c r="BJ59" i="1"/>
  <c r="AE56" i="1"/>
  <c r="BS55" i="1"/>
  <c r="BN55" i="1"/>
  <c r="BI55" i="1"/>
  <c r="BD55" i="1"/>
  <c r="AY55" i="1"/>
  <c r="AE55" i="1"/>
  <c r="BS54" i="1"/>
  <c r="BI54" i="1"/>
  <c r="AN54" i="1"/>
  <c r="AI54" i="1"/>
  <c r="AC54" i="1"/>
  <c r="BC53" i="1"/>
  <c r="BJ52" i="1"/>
  <c r="BO54" i="1" s="1"/>
  <c r="BE52" i="1"/>
  <c r="AB55" i="1"/>
  <c r="CE54" i="1"/>
  <c r="P53" i="1"/>
  <c r="BO62" i="2"/>
  <c r="AY119" i="1"/>
  <c r="X104" i="1"/>
  <c r="BD65" i="1"/>
  <c r="AR65" i="1"/>
  <c r="AM65" i="1"/>
  <c r="BE58" i="1"/>
  <c r="CB55" i="1"/>
  <c r="BR55" i="1"/>
  <c r="BM55" i="1"/>
  <c r="BH55" i="1"/>
  <c r="BC55" i="1"/>
  <c r="AN55" i="1"/>
  <c r="U55" i="1"/>
  <c r="P55" i="1"/>
  <c r="CB54" i="1"/>
  <c r="BW54" i="1"/>
  <c r="AM54" i="1"/>
  <c r="AB54" i="1"/>
  <c r="BK53" i="1"/>
  <c r="AK52" i="1"/>
  <c r="BY48" i="1"/>
  <c r="BE48" i="1"/>
  <c r="BA50" i="1"/>
  <c r="BQ45" i="1"/>
  <c r="BJ44" i="1"/>
  <c r="BU79" i="310"/>
  <c r="AH79" i="310"/>
  <c r="AD79" i="310"/>
  <c r="AD80" i="310" s="1"/>
  <c r="BT34" i="1"/>
  <c r="BT35" i="1" s="1"/>
  <c r="BT39" i="1" s="1"/>
  <c r="BH35" i="1"/>
  <c r="BH39" i="1" s="1"/>
  <c r="AI32" i="1"/>
  <c r="BL25" i="1"/>
  <c r="BE21" i="1"/>
  <c r="BE22" i="1" s="1"/>
  <c r="BA72" i="310"/>
  <c r="AX72" i="310"/>
  <c r="AX68" i="310" s="1"/>
  <c r="AX70" i="310" s="1"/>
  <c r="CE47" i="1"/>
  <c r="CE55" i="1"/>
  <c r="CE144" i="1"/>
  <c r="CE160" i="1"/>
  <c r="CG55" i="1"/>
  <c r="BK32" i="1"/>
  <c r="CE50" i="1"/>
  <c r="CE145" i="1"/>
  <c r="CE161" i="1"/>
  <c r="AZ48" i="1"/>
  <c r="AP48" i="1"/>
  <c r="AK36" i="1"/>
  <c r="BU32" i="1"/>
  <c r="BV32" i="1"/>
  <c r="CA19" i="1"/>
  <c r="CC98" i="2"/>
  <c r="CB215" i="4" s="1"/>
  <c r="CE51" i="1"/>
  <c r="CE184" i="1"/>
  <c r="CG47" i="1"/>
  <c r="CB24" i="1"/>
  <c r="BK37" i="1"/>
  <c r="BK40" i="1"/>
  <c r="BO36" i="1"/>
  <c r="BO37" i="1" s="1"/>
  <c r="BO40" i="1" s="1"/>
  <c r="Y26" i="1"/>
  <c r="BN25" i="1"/>
  <c r="L24" i="1"/>
  <c r="L25" i="1" s="1"/>
  <c r="CE46" i="1"/>
  <c r="CE143" i="1"/>
  <c r="CG51" i="1"/>
  <c r="CD18" i="1"/>
  <c r="CD19" i="1" s="1"/>
  <c r="CF138" i="2"/>
  <c r="AS65" i="3"/>
  <c r="AS10" i="3"/>
  <c r="AT11" i="3"/>
  <c r="AU11" i="3" s="1"/>
  <c r="CF77" i="2"/>
  <c r="BH25" i="8"/>
  <c r="AO99" i="8"/>
  <c r="CA68" i="310"/>
  <c r="CB70" i="310" s="1"/>
  <c r="CQ12" i="3"/>
  <c r="BJ62" i="2"/>
  <c r="CI57" i="1"/>
  <c r="BF92" i="1"/>
  <c r="BF93" i="1" s="1"/>
  <c r="BX99" i="8"/>
  <c r="BW21" i="4"/>
  <c r="BW23" i="4" s="1"/>
  <c r="BW24" i="4" s="1"/>
  <c r="BA141" i="1"/>
  <c r="AV38" i="1"/>
  <c r="AV157" i="1"/>
  <c r="AV33" i="1"/>
  <c r="BR72" i="1"/>
  <c r="M84" i="1"/>
  <c r="M82" i="1"/>
  <c r="BB31" i="8"/>
  <c r="BB89" i="8"/>
  <c r="O42" i="4"/>
  <c r="P67" i="1"/>
  <c r="Q38" i="1"/>
  <c r="AK10" i="8"/>
  <c r="AJ10" i="1"/>
  <c r="AJ25" i="8"/>
  <c r="AB60" i="8"/>
  <c r="BL89" i="8"/>
  <c r="F157" i="1"/>
  <c r="H157" i="1"/>
  <c r="AF137" i="1"/>
  <c r="BX95" i="2"/>
  <c r="BW197" i="4" s="1"/>
  <c r="BX25" i="1"/>
  <c r="BX49" i="1"/>
  <c r="BX53" i="1"/>
  <c r="BZ155" i="1"/>
  <c r="BX172" i="1"/>
  <c r="CA180" i="1"/>
  <c r="BX209" i="1"/>
  <c r="BX43" i="8"/>
  <c r="BX169" i="1"/>
  <c r="BX170" i="1"/>
  <c r="BX210" i="1"/>
  <c r="BX171" i="1"/>
  <c r="BX45" i="1"/>
  <c r="BX139" i="1"/>
  <c r="BX155" i="1"/>
  <c r="BZ180" i="1"/>
  <c r="BZ130" i="2" s="1"/>
  <c r="BX211" i="1"/>
  <c r="BW209" i="1"/>
  <c r="BR209" i="1"/>
  <c r="BM209" i="1"/>
  <c r="BZ210" i="1"/>
  <c r="BK210" i="1"/>
  <c r="CB105" i="2"/>
  <c r="CB45" i="1"/>
  <c r="CB109" i="2"/>
  <c r="CB110" i="2"/>
  <c r="CG67" i="3"/>
  <c r="CG77" i="2" s="1"/>
  <c r="CA53" i="1"/>
  <c r="CA49" i="1"/>
  <c r="CA38" i="1"/>
  <c r="CA95" i="2"/>
  <c r="CA198" i="1" s="1"/>
  <c r="CA45" i="1"/>
  <c r="CF59" i="2"/>
  <c r="CC109" i="2"/>
  <c r="CC33" i="310"/>
  <c r="CC40" i="310"/>
  <c r="CC41" i="310" s="1"/>
  <c r="CC64" i="310"/>
  <c r="CC63" i="310"/>
  <c r="CI54" i="310"/>
  <c r="BK28" i="310"/>
  <c r="BF28" i="310"/>
  <c r="AN185" i="310"/>
  <c r="AD185" i="310"/>
  <c r="AD217" i="310" s="1"/>
  <c r="AI184" i="310"/>
  <c r="AD183" i="310"/>
  <c r="AG165" i="310"/>
  <c r="BA28" i="310"/>
  <c r="BA29" i="310"/>
  <c r="CE68" i="310"/>
  <c r="CE40" i="310"/>
  <c r="BD15" i="310"/>
  <c r="CF68" i="310"/>
  <c r="CF70" i="310" s="1"/>
  <c r="CF64" i="310"/>
  <c r="CF62" i="310"/>
  <c r="CF72" i="8"/>
  <c r="CF62" i="8" s="1"/>
  <c r="CF58" i="8"/>
  <c r="CF19" i="8" s="1"/>
  <c r="CF87" i="8"/>
  <c r="CF59" i="8"/>
  <c r="CF20" i="8"/>
  <c r="CF55" i="8"/>
  <c r="AR130" i="2"/>
  <c r="AI199" i="4"/>
  <c r="M162" i="1"/>
  <c r="L65" i="1"/>
  <c r="L146" i="1" s="1"/>
  <c r="BF16" i="1"/>
  <c r="BB17" i="1"/>
  <c r="BS71" i="1"/>
  <c r="BS102" i="1"/>
  <c r="BS103" i="1" s="1"/>
  <c r="BG25" i="8"/>
  <c r="M181" i="1"/>
  <c r="M113" i="2"/>
  <c r="BV53" i="1"/>
  <c r="BV169" i="1"/>
  <c r="BV171" i="1"/>
  <c r="CA25" i="1"/>
  <c r="BV43" i="8"/>
  <c r="BV106" i="2"/>
  <c r="BV49" i="1"/>
  <c r="BV170" i="1"/>
  <c r="BV211" i="1"/>
  <c r="BW26" i="1"/>
  <c r="BV25" i="1"/>
  <c r="BV95" i="2"/>
  <c r="BV109" i="2"/>
  <c r="BU9" i="4"/>
  <c r="BV139" i="1"/>
  <c r="BV96" i="2"/>
  <c r="BV110" i="2"/>
  <c r="BV45" i="1"/>
  <c r="CA139" i="1"/>
  <c r="BV172" i="1"/>
  <c r="BV11" i="8"/>
  <c r="BV105" i="2"/>
  <c r="CB53" i="1"/>
  <c r="CB95" i="2"/>
  <c r="O102" i="1"/>
  <c r="O103" i="1" s="1"/>
  <c r="BX69" i="1"/>
  <c r="BS164" i="1"/>
  <c r="BS229" i="1"/>
  <c r="K99" i="2"/>
  <c r="D174" i="1"/>
  <c r="P146" i="1"/>
  <c r="N181" i="1"/>
  <c r="N113" i="2" s="1"/>
  <c r="CB106" i="2"/>
  <c r="CB49" i="1"/>
  <c r="CB209" i="1"/>
  <c r="CB180" i="1"/>
  <c r="CB130" i="2" s="1"/>
  <c r="BN25" i="8"/>
  <c r="BX148" i="1"/>
  <c r="BJ141" i="1"/>
  <c r="BB64" i="8"/>
  <c r="K162" i="1"/>
  <c r="BV210" i="1"/>
  <c r="AQ30" i="8"/>
  <c r="D80" i="1"/>
  <c r="O93" i="8"/>
  <c r="O181" i="1"/>
  <c r="O113" i="2" s="1"/>
  <c r="BW155" i="1"/>
  <c r="BU210" i="1"/>
  <c r="V98" i="2"/>
  <c r="U215" i="4" s="1"/>
  <c r="BU35" i="1"/>
  <c r="BU39" i="1" s="1"/>
  <c r="P55" i="4"/>
  <c r="AA146" i="1"/>
  <c r="AO16" i="8"/>
  <c r="P197" i="4"/>
  <c r="Q169" i="1"/>
  <c r="CC171" i="1"/>
  <c r="CC169" i="1"/>
  <c r="CC25" i="1"/>
  <c r="CC96" i="2"/>
  <c r="BP53" i="1"/>
  <c r="Q11" i="8"/>
  <c r="Q34" i="8" s="1"/>
  <c r="Q35" i="8" s="1"/>
  <c r="AS172" i="1"/>
  <c r="AS146" i="1"/>
  <c r="AX146" i="1"/>
  <c r="BR174" i="1"/>
  <c r="BR80" i="1"/>
  <c r="C110" i="1"/>
  <c r="C107" i="1"/>
  <c r="AG41" i="1"/>
  <c r="AF194" i="4"/>
  <c r="AG67" i="1"/>
  <c r="P141" i="1"/>
  <c r="K98" i="2"/>
  <c r="J215" i="4" s="1"/>
  <c r="K141" i="1"/>
  <c r="BT33" i="1"/>
  <c r="AA79" i="310"/>
  <c r="T10" i="1"/>
  <c r="R80" i="1"/>
  <c r="W69" i="1"/>
  <c r="R68" i="1"/>
  <c r="Q195" i="4"/>
  <c r="R102" i="1"/>
  <c r="R174" i="1"/>
  <c r="R69" i="1"/>
  <c r="R148" i="1"/>
  <c r="E102" i="1"/>
  <c r="E174" i="1"/>
  <c r="E68" i="1"/>
  <c r="E80" i="1"/>
  <c r="CC95" i="2"/>
  <c r="CB197" i="4" s="1"/>
  <c r="BX180" i="1"/>
  <c r="BX130" i="2" s="1"/>
  <c r="V99" i="2"/>
  <c r="AM30" i="8"/>
  <c r="O16" i="8"/>
  <c r="O14" i="8" s="1"/>
  <c r="AO10" i="1"/>
  <c r="Z172" i="1"/>
  <c r="Q96" i="2"/>
  <c r="P35" i="4"/>
  <c r="CC38" i="1"/>
  <c r="CC209" i="1"/>
  <c r="CC211" i="1"/>
  <c r="N76" i="8"/>
  <c r="S41" i="1"/>
  <c r="R194" i="4" s="1"/>
  <c r="S67" i="1"/>
  <c r="AF144" i="1"/>
  <c r="AF50" i="1"/>
  <c r="J41" i="1"/>
  <c r="I194" i="4" s="1"/>
  <c r="J67" i="1"/>
  <c r="AB41" i="1"/>
  <c r="AA194" i="4" s="1"/>
  <c r="AB67" i="1"/>
  <c r="AJ41" i="1"/>
  <c r="AI194" i="4" s="1"/>
  <c r="AJ67" i="1"/>
  <c r="AO41" i="1"/>
  <c r="AN194" i="4" s="1"/>
  <c r="AO67" i="1"/>
  <c r="AN107" i="1"/>
  <c r="AN110" i="1"/>
  <c r="BD35" i="1"/>
  <c r="BD39" i="1" s="1"/>
  <c r="AY39" i="1"/>
  <c r="AT16" i="8"/>
  <c r="M105" i="1"/>
  <c r="M103" i="1"/>
  <c r="CC105" i="2"/>
  <c r="CC106" i="2"/>
  <c r="BP210" i="1"/>
  <c r="BX84" i="1"/>
  <c r="AH10" i="1"/>
  <c r="AT25" i="8"/>
  <c r="AY25" i="8"/>
  <c r="BX72" i="1"/>
  <c r="Z33" i="1"/>
  <c r="CC172" i="1"/>
  <c r="CC43" i="8"/>
  <c r="CC94" i="8" s="1"/>
  <c r="CB9" i="4"/>
  <c r="CB11" i="4" s="1"/>
  <c r="CB21" i="4" s="1"/>
  <c r="CB23" i="4" s="1"/>
  <c r="CB24" i="4" s="1"/>
  <c r="AJ130" i="2"/>
  <c r="AO25" i="8"/>
  <c r="BW99" i="8"/>
  <c r="AT10" i="1"/>
  <c r="AY30" i="8"/>
  <c r="Q170" i="1"/>
  <c r="E164" i="1"/>
  <c r="AT141" i="1"/>
  <c r="AT33" i="1"/>
  <c r="AT38" i="1"/>
  <c r="AQ41" i="1"/>
  <c r="AP194" i="4" s="1"/>
  <c r="AQ67" i="1"/>
  <c r="AZ24" i="2"/>
  <c r="AY199" i="4" s="1"/>
  <c r="BT24" i="2"/>
  <c r="BS199" i="4" s="1"/>
  <c r="BR199" i="4"/>
  <c r="AP24" i="2"/>
  <c r="AO199" i="4" s="1"/>
  <c r="BD43" i="2"/>
  <c r="BE43" i="2" s="1"/>
  <c r="BD200" i="4" s="1"/>
  <c r="BE34" i="2"/>
  <c r="AK52" i="2"/>
  <c r="AU24" i="2"/>
  <c r="AT199" i="4"/>
  <c r="AS199" i="4"/>
  <c r="BQ221" i="4"/>
  <c r="BR195" i="1"/>
  <c r="BR126" i="2"/>
  <c r="BR128" i="2" s="1"/>
  <c r="BT35" i="3"/>
  <c r="BS40" i="3"/>
  <c r="BT40" i="3" s="1"/>
  <c r="AI88" i="8"/>
  <c r="I52" i="8"/>
  <c r="N81" i="8" s="1"/>
  <c r="AY67" i="1"/>
  <c r="AY41" i="1"/>
  <c r="AX194" i="4" s="1"/>
  <c r="CF210" i="1"/>
  <c r="CE140" i="4"/>
  <c r="CH69" i="310"/>
  <c r="CB140" i="4"/>
  <c r="CC33" i="1"/>
  <c r="AF24" i="2"/>
  <c r="AE199" i="4" s="1"/>
  <c r="AD199" i="4"/>
  <c r="AZ34" i="2"/>
  <c r="AY43" i="2"/>
  <c r="U43" i="2"/>
  <c r="U51" i="2" s="1"/>
  <c r="V51" i="2" s="1"/>
  <c r="P43" i="2"/>
  <c r="Q34" i="2"/>
  <c r="BI43" i="2"/>
  <c r="AP34" i="2"/>
  <c r="AO43" i="2"/>
  <c r="AO51" i="2" s="1"/>
  <c r="BY15" i="2"/>
  <c r="AG60" i="8"/>
  <c r="AD64" i="8"/>
  <c r="AX62" i="8"/>
  <c r="AN25" i="8"/>
  <c r="AG10" i="1"/>
  <c r="BO81" i="8"/>
  <c r="AQ64" i="8"/>
  <c r="BR89" i="8"/>
  <c r="AL25" i="8"/>
  <c r="BI60" i="8"/>
  <c r="BG14" i="8"/>
  <c r="AK81" i="8"/>
  <c r="AK86" i="8"/>
  <c r="BB144" i="310"/>
  <c r="BB148" i="310"/>
  <c r="BB145" i="310"/>
  <c r="BB143" i="310"/>
  <c r="BB146" i="310"/>
  <c r="BB147" i="310"/>
  <c r="BF106" i="310"/>
  <c r="CQ71" i="3"/>
  <c r="CQ45" i="3"/>
  <c r="CQ99" i="3" s="1"/>
  <c r="CQ76" i="2" s="1"/>
  <c r="AU99" i="3"/>
  <c r="CK29" i="2"/>
  <c r="CI212" i="4"/>
  <c r="AC180" i="1"/>
  <c r="H87" i="1"/>
  <c r="H175" i="1"/>
  <c r="H89" i="1"/>
  <c r="H149" i="1"/>
  <c r="BO198" i="1"/>
  <c r="BN197" i="4"/>
  <c r="W103" i="1"/>
  <c r="BH82" i="1"/>
  <c r="BH84" i="1"/>
  <c r="BX197" i="4"/>
  <c r="BY198" i="1"/>
  <c r="BM103" i="1"/>
  <c r="BM105" i="1"/>
  <c r="AD73" i="1"/>
  <c r="AD74" i="1" s="1"/>
  <c r="AD69" i="1"/>
  <c r="AD174" i="1"/>
  <c r="AD68" i="1"/>
  <c r="AC195" i="4" s="1"/>
  <c r="AD148" i="1"/>
  <c r="AD80" i="1"/>
  <c r="D103" i="1"/>
  <c r="D105" i="1"/>
  <c r="BK89" i="8"/>
  <c r="BJ48" i="8"/>
  <c r="BG49" i="8"/>
  <c r="BG54" i="8"/>
  <c r="CJ72" i="8"/>
  <c r="V54" i="8"/>
  <c r="V77" i="8"/>
  <c r="AA59" i="8"/>
  <c r="AA20" i="8"/>
  <c r="AA77" i="8"/>
  <c r="AA83" i="8"/>
  <c r="BB99" i="8"/>
  <c r="AY58" i="8"/>
  <c r="AY19" i="8" s="1"/>
  <c r="AY82" i="8"/>
  <c r="AY87" i="8"/>
  <c r="CL68" i="8"/>
  <c r="CK73" i="8"/>
  <c r="AJ54" i="8"/>
  <c r="AR20" i="8"/>
  <c r="AR63" i="8"/>
  <c r="CJ63" i="8"/>
  <c r="CJ48" i="8"/>
  <c r="BT9" i="1"/>
  <c r="BY15" i="8"/>
  <c r="BY29" i="8" s="1"/>
  <c r="AF87" i="8"/>
  <c r="AX47" i="8"/>
  <c r="AX54" i="8"/>
  <c r="CL67" i="8"/>
  <c r="CK71" i="8"/>
  <c r="AV63" i="8"/>
  <c r="AV20" i="8"/>
  <c r="CK70" i="8"/>
  <c r="CL66" i="8"/>
  <c r="AF15" i="8"/>
  <c r="AF29" i="8" s="1"/>
  <c r="AF9" i="1"/>
  <c r="AK9" i="1"/>
  <c r="AK15" i="8"/>
  <c r="AK29" i="8" s="1"/>
  <c r="AK24" i="8"/>
  <c r="AP15" i="8"/>
  <c r="AP29" i="8" s="1"/>
  <c r="AP9" i="1"/>
  <c r="AP34" i="8"/>
  <c r="AP35" i="8" s="1"/>
  <c r="AP24" i="8"/>
  <c r="BA20" i="8"/>
  <c r="BA63" i="8"/>
  <c r="AX25" i="8"/>
  <c r="BB30" i="8"/>
  <c r="V81" i="8"/>
  <c r="AY54" i="8"/>
  <c r="AZ48" i="8"/>
  <c r="AY49" i="8"/>
  <c r="BJ92" i="8"/>
  <c r="BA62" i="8"/>
  <c r="AV60" i="8"/>
  <c r="AV21" i="8" s="1"/>
  <c r="AV84" i="8"/>
  <c r="AV31" i="8" s="1"/>
  <c r="AW99" i="8"/>
  <c r="BT72" i="8"/>
  <c r="BE59" i="8"/>
  <c r="BE20" i="8" s="1"/>
  <c r="BE83" i="8"/>
  <c r="I92" i="8"/>
  <c r="I53" i="8"/>
  <c r="I10" i="1"/>
  <c r="T89" i="8"/>
  <c r="N89" i="8"/>
  <c r="N75" i="8"/>
  <c r="I9" i="8"/>
  <c r="I75" i="8"/>
  <c r="I9" i="1"/>
  <c r="AC21" i="8"/>
  <c r="X16" i="8" s="1"/>
  <c r="AC64" i="8"/>
  <c r="Q93" i="8"/>
  <c r="Q92" i="8"/>
  <c r="Y60" i="8"/>
  <c r="Y84" i="8"/>
  <c r="BK64" i="8"/>
  <c r="BE98" i="3"/>
  <c r="CM19" i="3"/>
  <c r="BO45" i="3"/>
  <c r="AD220" i="4"/>
  <c r="CE87" i="3"/>
  <c r="CE196" i="1" s="1"/>
  <c r="CE201" i="1" s="1"/>
  <c r="BY200" i="1"/>
  <c r="AA43" i="2"/>
  <c r="Z51" i="2"/>
  <c r="Y200" i="4"/>
  <c r="CI83" i="310"/>
  <c r="Q195" i="1"/>
  <c r="P221" i="4"/>
  <c r="BI43" i="3"/>
  <c r="BJ43" i="3" s="1"/>
  <c r="AO50" i="3"/>
  <c r="AP50" i="3" s="1"/>
  <c r="BI78" i="2"/>
  <c r="AJ221" i="4"/>
  <c r="G195" i="1"/>
  <c r="AU195" i="1"/>
  <c r="AL87" i="3"/>
  <c r="BH49" i="3"/>
  <c r="BK128" i="2"/>
  <c r="BT89" i="3"/>
  <c r="BR221" i="4"/>
  <c r="AT221" i="4"/>
  <c r="F169" i="1"/>
  <c r="H26" i="1"/>
  <c r="F43" i="8"/>
  <c r="E55" i="4"/>
  <c r="X41" i="1"/>
  <c r="W194" i="4" s="1"/>
  <c r="AU95" i="2"/>
  <c r="AZ25" i="1"/>
  <c r="AU49" i="1"/>
  <c r="AU11" i="8"/>
  <c r="AU45" i="1"/>
  <c r="AU170" i="1"/>
  <c r="AU53" i="1"/>
  <c r="BW198" i="1"/>
  <c r="AB155" i="1"/>
  <c r="Z170" i="1"/>
  <c r="Z155" i="1"/>
  <c r="Z169" i="1"/>
  <c r="AB26" i="1"/>
  <c r="Z96" i="2"/>
  <c r="Y35" i="4"/>
  <c r="Z38" i="1"/>
  <c r="AA38" i="1" s="1"/>
  <c r="Z49" i="1"/>
  <c r="AE25" i="1"/>
  <c r="Z45" i="1"/>
  <c r="Z110" i="2"/>
  <c r="Y9" i="4"/>
  <c r="AB180" i="1"/>
  <c r="Z43" i="8"/>
  <c r="Z105" i="2"/>
  <c r="Y55" i="4"/>
  <c r="AE139" i="1"/>
  <c r="AD180" i="1"/>
  <c r="Z26" i="1"/>
  <c r="Z53" i="1"/>
  <c r="Z11" i="8"/>
  <c r="Z95" i="2"/>
  <c r="Z109" i="2"/>
  <c r="BQ155" i="1"/>
  <c r="BP169" i="1"/>
  <c r="BP139" i="1"/>
  <c r="BP170" i="1"/>
  <c r="BP172" i="1"/>
  <c r="BP49" i="1"/>
  <c r="BP155" i="1"/>
  <c r="BP38" i="1"/>
  <c r="BS180" i="1"/>
  <c r="BS130" i="2" s="1"/>
  <c r="BP33" i="1"/>
  <c r="BP96" i="2"/>
  <c r="BP110" i="2"/>
  <c r="BP171" i="1"/>
  <c r="BP180" i="1"/>
  <c r="BP130" i="2" s="1"/>
  <c r="BQ26" i="1"/>
  <c r="BP45" i="1"/>
  <c r="BP105" i="2"/>
  <c r="BP95" i="2"/>
  <c r="BP198" i="1" s="1"/>
  <c r="BQ180" i="1"/>
  <c r="BQ130" i="2" s="1"/>
  <c r="BP25" i="1"/>
  <c r="BP11" i="8"/>
  <c r="BP106" i="2"/>
  <c r="BR180" i="1"/>
  <c r="BP211" i="1"/>
  <c r="BP26" i="1"/>
  <c r="BP43" i="8"/>
  <c r="BP109" i="2"/>
  <c r="BO9" i="4"/>
  <c r="BV155" i="1"/>
  <c r="BU169" i="1"/>
  <c r="BU49" i="1"/>
  <c r="BU139" i="1"/>
  <c r="BU170" i="1"/>
  <c r="BU172" i="1"/>
  <c r="BZ25" i="1"/>
  <c r="BU45" i="1"/>
  <c r="BU155" i="1"/>
  <c r="BU25" i="1"/>
  <c r="BU105" i="2"/>
  <c r="BU95" i="2"/>
  <c r="BZ139" i="1"/>
  <c r="BU171" i="1"/>
  <c r="BU180" i="1"/>
  <c r="BU26" i="1"/>
  <c r="BU106" i="2"/>
  <c r="BU96" i="2"/>
  <c r="BV180" i="1"/>
  <c r="BV130" i="2" s="1"/>
  <c r="BV26" i="1"/>
  <c r="BU11" i="8"/>
  <c r="BU109" i="2"/>
  <c r="BU53" i="1"/>
  <c r="BW180" i="1"/>
  <c r="BU211" i="1"/>
  <c r="BU43" i="8"/>
  <c r="BZ79" i="8" s="1"/>
  <c r="BU110" i="2"/>
  <c r="BT9" i="4"/>
  <c r="Z171" i="1"/>
  <c r="F171" i="1"/>
  <c r="CI27" i="310"/>
  <c r="CI28" i="310" s="1"/>
  <c r="AF32" i="3"/>
  <c r="BY103" i="3"/>
  <c r="BD91" i="3"/>
  <c r="BE91" i="3" s="1"/>
  <c r="AK94" i="3"/>
  <c r="AE94" i="3"/>
  <c r="BY86" i="3"/>
  <c r="AK32" i="3"/>
  <c r="AF70" i="2"/>
  <c r="AF69" i="2" s="1"/>
  <c r="AA103" i="3"/>
  <c r="BT94" i="3"/>
  <c r="BO97" i="3"/>
  <c r="AC57" i="2"/>
  <c r="BJ44" i="3"/>
  <c r="AX64" i="3"/>
  <c r="CB87" i="3"/>
  <c r="AC69" i="2"/>
  <c r="G103" i="3"/>
  <c r="AZ16" i="3"/>
  <c r="AY70" i="3"/>
  <c r="AO89" i="3"/>
  <c r="AN89" i="3"/>
  <c r="BM76" i="2"/>
  <c r="BO99" i="3"/>
  <c r="BD218" i="4"/>
  <c r="BE197" i="1"/>
  <c r="BY197" i="1"/>
  <c r="BX218" i="4"/>
  <c r="AB219" i="4"/>
  <c r="AC76" i="2"/>
  <c r="BD46" i="3"/>
  <c r="BC100" i="3"/>
  <c r="BJ197" i="1"/>
  <c r="BI218" i="4"/>
  <c r="BS218" i="4"/>
  <c r="BT140" i="2"/>
  <c r="BT138" i="2" s="1"/>
  <c r="BT197" i="1"/>
  <c r="AW219" i="4"/>
  <c r="AM83" i="2"/>
  <c r="AM70" i="2"/>
  <c r="CR72" i="3"/>
  <c r="CS72" i="3" s="1"/>
  <c r="CS18" i="3"/>
  <c r="AZ38" i="3"/>
  <c r="AY92" i="3"/>
  <c r="BG83" i="2"/>
  <c r="BG103" i="3"/>
  <c r="BI100" i="3"/>
  <c r="BI83" i="2" s="1"/>
  <c r="BJ46" i="3"/>
  <c r="CF87" i="3"/>
  <c r="CF196" i="1" s="1"/>
  <c r="CF201" i="1" s="1"/>
  <c r="BJ92" i="3"/>
  <c r="AP100" i="3"/>
  <c r="BC195" i="1"/>
  <c r="BC126" i="2"/>
  <c r="BB221" i="4"/>
  <c r="AZ19" i="3"/>
  <c r="AY73" i="3"/>
  <c r="AZ73" i="3" s="1"/>
  <c r="BC30" i="8"/>
  <c r="V75" i="8"/>
  <c r="V86" i="8" s="1"/>
  <c r="Q91" i="8"/>
  <c r="Q9" i="1"/>
  <c r="Q10" i="1" s="1"/>
  <c r="AL16" i="8"/>
  <c r="AL82" i="8"/>
  <c r="AL87" i="8" s="1"/>
  <c r="AL55" i="8"/>
  <c r="AL58" i="8"/>
  <c r="BW84" i="8"/>
  <c r="BW60" i="8"/>
  <c r="AA9" i="1"/>
  <c r="AA15" i="8"/>
  <c r="AF24" i="8"/>
  <c r="BX59" i="8"/>
  <c r="BX20" i="8" s="1"/>
  <c r="BY54" i="8"/>
  <c r="BX55" i="8"/>
  <c r="BX83" i="8"/>
  <c r="BX88" i="8" s="1"/>
  <c r="AU58" i="8"/>
  <c r="AU82" i="8"/>
  <c r="AU87" i="8" s="1"/>
  <c r="AF81" i="8"/>
  <c r="AF86" i="8"/>
  <c r="AA55" i="8"/>
  <c r="AA81" i="8"/>
  <c r="BH31" i="8"/>
  <c r="BO15" i="8"/>
  <c r="BO29" i="8" s="1"/>
  <c r="BO24" i="8"/>
  <c r="AU81" i="8"/>
  <c r="AM60" i="8"/>
  <c r="AM84" i="8"/>
  <c r="BE82" i="8"/>
  <c r="BE58" i="8"/>
  <c r="BE19" i="8" s="1"/>
  <c r="BJ15" i="8"/>
  <c r="BJ29" i="8" s="1"/>
  <c r="BJ24" i="8"/>
  <c r="BJ9" i="1"/>
  <c r="BA84" i="8"/>
  <c r="BE55" i="8"/>
  <c r="BA60" i="8"/>
  <c r="AU83" i="8"/>
  <c r="AU88" i="8"/>
  <c r="AU59" i="8"/>
  <c r="BN59" i="8"/>
  <c r="BN20" i="8" s="1"/>
  <c r="BO54" i="8"/>
  <c r="BN83" i="8"/>
  <c r="BN88" i="8" s="1"/>
  <c r="AT62" i="8"/>
  <c r="BH29" i="8"/>
  <c r="AT84" i="8"/>
  <c r="AT31" i="8" s="1"/>
  <c r="AS22" i="4" s="1"/>
  <c r="AS24" i="4" s="1"/>
  <c r="AT60" i="8"/>
  <c r="BJ81" i="8"/>
  <c r="BE81" i="8"/>
  <c r="AI84" i="8"/>
  <c r="AI31" i="8" s="1"/>
  <c r="AH22" i="4" s="1"/>
  <c r="AI60" i="8"/>
  <c r="AI21" i="8" s="1"/>
  <c r="BT24" i="8"/>
  <c r="BY24" i="8"/>
  <c r="BO9" i="1"/>
  <c r="BT15" i="8"/>
  <c r="BT29" i="8" s="1"/>
  <c r="BO49" i="8"/>
  <c r="BN100" i="8"/>
  <c r="AO53" i="8"/>
  <c r="AO49" i="8"/>
  <c r="AN14" i="8"/>
  <c r="AN30" i="8"/>
  <c r="BD60" i="8"/>
  <c r="BD21" i="8" s="1"/>
  <c r="BD84" i="8"/>
  <c r="BD31" i="8" s="1"/>
  <c r="W84" i="8"/>
  <c r="W60" i="8"/>
  <c r="BY81" i="8"/>
  <c r="V58" i="8"/>
  <c r="V19" i="8" s="1"/>
  <c r="V55" i="8"/>
  <c r="V82" i="8"/>
  <c r="AM62" i="8"/>
  <c r="AA99" i="2"/>
  <c r="AW64" i="8"/>
  <c r="M75" i="8"/>
  <c r="H75" i="8"/>
  <c r="H91" i="8"/>
  <c r="H9" i="8"/>
  <c r="H9" i="1"/>
  <c r="H52" i="8"/>
  <c r="BC164" i="1"/>
  <c r="BH69" i="1"/>
  <c r="AW89" i="8"/>
  <c r="AK94" i="8"/>
  <c r="AA98" i="2"/>
  <c r="Z215" i="4" s="1"/>
  <c r="CB8" i="4"/>
  <c r="CF39" i="1"/>
  <c r="AF141" i="1"/>
  <c r="L141" i="1"/>
  <c r="Q141" i="1"/>
  <c r="BW41" i="1"/>
  <c r="BV194" i="4" s="1"/>
  <c r="BW67" i="1"/>
  <c r="AL102" i="1"/>
  <c r="AL174" i="1"/>
  <c r="AQ148" i="1"/>
  <c r="AG25" i="8"/>
  <c r="AB10" i="1"/>
  <c r="K93" i="8"/>
  <c r="P77" i="8"/>
  <c r="K67" i="1"/>
  <c r="K41" i="1"/>
  <c r="J194" i="4"/>
  <c r="L38" i="1"/>
  <c r="L41" i="1" s="1"/>
  <c r="K194" i="4" s="1"/>
  <c r="AA141" i="1"/>
  <c r="AK92" i="8"/>
  <c r="AR38" i="1"/>
  <c r="AR67" i="1" s="1"/>
  <c r="AR157" i="1"/>
  <c r="AR33" i="1"/>
  <c r="AR141" i="1"/>
  <c r="BB91" i="1"/>
  <c r="BB92" i="1" s="1"/>
  <c r="BB93" i="1" s="1"/>
  <c r="BB188" i="1"/>
  <c r="BB189" i="1" s="1"/>
  <c r="AU94" i="8"/>
  <c r="AU79" i="8"/>
  <c r="BD16" i="8"/>
  <c r="BE10" i="8"/>
  <c r="AP93" i="8"/>
  <c r="AP94" i="8"/>
  <c r="AP92" i="8"/>
  <c r="AP91" i="8"/>
  <c r="H53" i="8"/>
  <c r="H10" i="1"/>
  <c r="M76" i="8"/>
  <c r="H92" i="8"/>
  <c r="CC26" i="8"/>
  <c r="CC10" i="8"/>
  <c r="CC34" i="8"/>
  <c r="CC35" i="8" s="1"/>
  <c r="AP38" i="1"/>
  <c r="AP41" i="1" s="1"/>
  <c r="AO194" i="4" s="1"/>
  <c r="T84" i="1"/>
  <c r="T87" i="1" s="1"/>
  <c r="AU91" i="8"/>
  <c r="AJ148" i="1"/>
  <c r="AE80" i="1"/>
  <c r="AE174" i="1"/>
  <c r="AE73" i="1"/>
  <c r="AE74" i="1" s="1"/>
  <c r="AE164" i="1"/>
  <c r="AE68" i="1"/>
  <c r="AD195" i="4" s="1"/>
  <c r="AJ69" i="1"/>
  <c r="AF67" i="1"/>
  <c r="AH80" i="1"/>
  <c r="AH82" i="1" s="1"/>
  <c r="AH164" i="1"/>
  <c r="AH102" i="1"/>
  <c r="AH148" i="1"/>
  <c r="AH68" i="1"/>
  <c r="AG195" i="4" s="1"/>
  <c r="AH174" i="1"/>
  <c r="BB87" i="1"/>
  <c r="BB175" i="1"/>
  <c r="BB89" i="1"/>
  <c r="BG99" i="8"/>
  <c r="AV10" i="1"/>
  <c r="AV25" i="8"/>
  <c r="AV16" i="8"/>
  <c r="X25" i="8"/>
  <c r="X10" i="1"/>
  <c r="CC67" i="1"/>
  <c r="CC41" i="1"/>
  <c r="CB194" i="4" s="1"/>
  <c r="AH183" i="1"/>
  <c r="AG164" i="1"/>
  <c r="J9" i="8"/>
  <c r="J34" i="8" s="1"/>
  <c r="J35" i="8" s="1"/>
  <c r="BR195" i="4"/>
  <c r="BX103" i="1"/>
  <c r="BX105" i="1"/>
  <c r="O89" i="8"/>
  <c r="CV227" i="1"/>
  <c r="BR103" i="1"/>
  <c r="BS84" i="1"/>
  <c r="BX149" i="1" s="1"/>
  <c r="BS82" i="1"/>
  <c r="BS105" i="1"/>
  <c r="CN66" i="4"/>
  <c r="AB197" i="1"/>
  <c r="AD10" i="3"/>
  <c r="AD64" i="3" s="1"/>
  <c r="AE11" i="3"/>
  <c r="AA218" i="4"/>
  <c r="AC64" i="3"/>
  <c r="AI64" i="3"/>
  <c r="AZ21" i="3"/>
  <c r="CJ102" i="3"/>
  <c r="BR78" i="2"/>
  <c r="BR84" i="2"/>
  <c r="CA130" i="2"/>
  <c r="CD140" i="2"/>
  <c r="CQ92" i="3"/>
  <c r="CR38" i="3"/>
  <c r="CF209" i="1"/>
  <c r="CF96" i="2"/>
  <c r="CF211" i="1"/>
  <c r="BS99" i="8"/>
  <c r="CA16" i="8"/>
  <c r="AB25" i="8"/>
  <c r="W10" i="1"/>
  <c r="BF99" i="8"/>
  <c r="AF91" i="8"/>
  <c r="AH30" i="8"/>
  <c r="D53" i="8"/>
  <c r="D92" i="8"/>
  <c r="J92" i="8"/>
  <c r="J10" i="1"/>
  <c r="BO91" i="8"/>
  <c r="BO39" i="8" s="1"/>
  <c r="AB16" i="8"/>
  <c r="AB30" i="8" s="1"/>
  <c r="BI10" i="1"/>
  <c r="BI16" i="8"/>
  <c r="BI25" i="8"/>
  <c r="AW197" i="1"/>
  <c r="AV218" i="4"/>
  <c r="AP79" i="8"/>
  <c r="AK93" i="8"/>
  <c r="AF92" i="8"/>
  <c r="BE93" i="8"/>
  <c r="BE41" i="8" s="1"/>
  <c r="D93" i="8"/>
  <c r="I77" i="8"/>
  <c r="AD10" i="1"/>
  <c r="AD25" i="8"/>
  <c r="AI30" i="8"/>
  <c r="AI25" i="8"/>
  <c r="K39" i="8"/>
  <c r="K52" i="8" s="1"/>
  <c r="O75" i="8"/>
  <c r="AR25" i="8"/>
  <c r="AM10" i="1"/>
  <c r="T25" i="8"/>
  <c r="Q60" i="8"/>
  <c r="Q21" i="8" s="1"/>
  <c r="Q84" i="8"/>
  <c r="Q31" i="8" s="1"/>
  <c r="Q79" i="8"/>
  <c r="BS89" i="8"/>
  <c r="BS64" i="8"/>
  <c r="BF64" i="8"/>
  <c r="BF89" i="8"/>
  <c r="BN14" i="8"/>
  <c r="BN30" i="8"/>
  <c r="BH21" i="8"/>
  <c r="BH64" i="8"/>
  <c r="BO94" i="8"/>
  <c r="BO79" i="8"/>
  <c r="BI21" i="8"/>
  <c r="BQ14" i="8"/>
  <c r="BQ30" i="8"/>
  <c r="O81" i="8"/>
  <c r="AO14" i="8"/>
  <c r="AO30" i="8"/>
  <c r="AN65" i="3"/>
  <c r="AO11" i="3"/>
  <c r="AN10" i="3"/>
  <c r="AN64" i="8"/>
  <c r="AN89" i="8"/>
  <c r="BQ99" i="8"/>
  <c r="AS14" i="8"/>
  <c r="AS30" i="8"/>
  <c r="BV87" i="3"/>
  <c r="BH99" i="8"/>
  <c r="AR64" i="8"/>
  <c r="AR89" i="8"/>
  <c r="BE79" i="8"/>
  <c r="BJ79" i="8"/>
  <c r="BE94" i="8"/>
  <c r="BQ64" i="8"/>
  <c r="AM197" i="1"/>
  <c r="AL218" i="4"/>
  <c r="V43" i="4"/>
  <c r="BP43" i="310"/>
  <c r="L23" i="4"/>
  <c r="N42" i="4"/>
  <c r="S43" i="4"/>
  <c r="BP21" i="4"/>
  <c r="AM23" i="4"/>
  <c r="P8" i="4"/>
  <c r="S21" i="4"/>
  <c r="S23" i="4" s="1"/>
  <c r="X23" i="4"/>
  <c r="AI63" i="4"/>
  <c r="W23" i="4"/>
  <c r="AW23" i="4"/>
  <c r="AJ11" i="4"/>
  <c r="AJ21" i="4" s="1"/>
  <c r="AJ23" i="4" s="1"/>
  <c r="AJ8" i="4"/>
  <c r="AZ21" i="4"/>
  <c r="AZ23" i="4" s="1"/>
  <c r="AZ24" i="4" s="1"/>
  <c r="BE23" i="4"/>
  <c r="BE24" i="4" s="1"/>
  <c r="BA23" i="4"/>
  <c r="AB23" i="4"/>
  <c r="AB24" i="4" s="1"/>
  <c r="BG21" i="4"/>
  <c r="BL23" i="4"/>
  <c r="BL24" i="4" s="1"/>
  <c r="BF21" i="4"/>
  <c r="BF23" i="4" s="1"/>
  <c r="BF24" i="4" s="1"/>
  <c r="AN83" i="2"/>
  <c r="BY94" i="3"/>
  <c r="AR78" i="2"/>
  <c r="AI57" i="2"/>
  <c r="AF91" i="3"/>
  <c r="BY195" i="1"/>
  <c r="AK17" i="3"/>
  <c r="AJ71" i="3"/>
  <c r="AK71" i="3" s="1"/>
  <c r="CM12" i="3"/>
  <c r="CN12" i="3" s="1"/>
  <c r="CM15" i="3"/>
  <c r="Z220" i="4"/>
  <c r="AK126" i="2"/>
  <c r="Q94" i="3"/>
  <c r="BN98" i="3"/>
  <c r="BN103" i="3" s="1"/>
  <c r="BO44" i="3"/>
  <c r="BZ112" i="3"/>
  <c r="BD76" i="2"/>
  <c r="BE99" i="3"/>
  <c r="AX70" i="2"/>
  <c r="AX83" i="2"/>
  <c r="AX84" i="2" s="1"/>
  <c r="AO104" i="3"/>
  <c r="AP104" i="3" s="1"/>
  <c r="CQ70" i="3"/>
  <c r="CR16" i="3"/>
  <c r="AZ46" i="3"/>
  <c r="AY100" i="3"/>
  <c r="AO83" i="2"/>
  <c r="AO70" i="2"/>
  <c r="AO57" i="2" s="1"/>
  <c r="AZ47" i="3"/>
  <c r="AY101" i="3"/>
  <c r="AZ101" i="3" s="1"/>
  <c r="CR71" i="3"/>
  <c r="CS71" i="3" s="1"/>
  <c r="BO50" i="3"/>
  <c r="BN104" i="3"/>
  <c r="BO104" i="3" s="1"/>
  <c r="BM91" i="1"/>
  <c r="BM188" i="1"/>
  <c r="BM189" i="1" s="1"/>
  <c r="BX87" i="1"/>
  <c r="BX89" i="1"/>
  <c r="CE112" i="3"/>
  <c r="AM71" i="3"/>
  <c r="AN71" i="3"/>
  <c r="AP71" i="3" s="1"/>
  <c r="BB82" i="2"/>
  <c r="BB84" i="2" s="1"/>
  <c r="BB103" i="3"/>
  <c r="AF74" i="3"/>
  <c r="BO93" i="3"/>
  <c r="CD195" i="1"/>
  <c r="CD177" i="1"/>
  <c r="CC221" i="4"/>
  <c r="AU97" i="3"/>
  <c r="CQ104" i="3"/>
  <c r="CR50" i="3"/>
  <c r="CR104" i="3" s="1"/>
  <c r="CQ69" i="3"/>
  <c r="CR15" i="3"/>
  <c r="CR30" i="3"/>
  <c r="CQ84" i="3"/>
  <c r="AU76" i="3"/>
  <c r="AS220" i="4"/>
  <c r="BO100" i="3"/>
  <c r="BN83" i="2"/>
  <c r="AZ28" i="3"/>
  <c r="AZ42" i="3"/>
  <c r="AY96" i="3"/>
  <c r="AZ96" i="3" s="1"/>
  <c r="BD43" i="3"/>
  <c r="BC97" i="3"/>
  <c r="AY36" i="3"/>
  <c r="AX90" i="3"/>
  <c r="AX40" i="3"/>
  <c r="AM33" i="3"/>
  <c r="AM51" i="3" s="1"/>
  <c r="AU82" i="2"/>
  <c r="CS19" i="3"/>
  <c r="CR73" i="3"/>
  <c r="CS73" i="3" s="1"/>
  <c r="BE38" i="3"/>
  <c r="BD92" i="3"/>
  <c r="BD40" i="3"/>
  <c r="BE40" i="3" s="1"/>
  <c r="BL126" i="2"/>
  <c r="BL195" i="1"/>
  <c r="BL94" i="3"/>
  <c r="AF68" i="3"/>
  <c r="AK31" i="3"/>
  <c r="BH126" i="2"/>
  <c r="BH130" i="2" s="1"/>
  <c r="BG221" i="4"/>
  <c r="BH195" i="1"/>
  <c r="AM103" i="3"/>
  <c r="AP99" i="3"/>
  <c r="BN89" i="3"/>
  <c r="AN82" i="2"/>
  <c r="AP97" i="3"/>
  <c r="BI89" i="3"/>
  <c r="BJ35" i="3"/>
  <c r="U221" i="4"/>
  <c r="V195" i="1"/>
  <c r="AZ126" i="2"/>
  <c r="BH104" i="3"/>
  <c r="BI50" i="3"/>
  <c r="AE103" i="3"/>
  <c r="AF99" i="3"/>
  <c r="AF103" i="3" s="1"/>
  <c r="G43" i="2"/>
  <c r="F51" i="2"/>
  <c r="G51" i="2" s="1"/>
  <c r="G52" i="2" s="1"/>
  <c r="AE52" i="2"/>
  <c r="CD24" i="2"/>
  <c r="AJ84" i="2"/>
  <c r="BQ21" i="4"/>
  <c r="BQ23" i="4" s="1"/>
  <c r="BQ24" i="4" s="1"/>
  <c r="BS16" i="4"/>
  <c r="BU105" i="4"/>
  <c r="BT108" i="4"/>
  <c r="CB210" i="1"/>
  <c r="E54" i="8"/>
  <c r="J77" i="8"/>
  <c r="BJ104" i="1"/>
  <c r="BF105" i="1"/>
  <c r="CF43" i="8"/>
  <c r="CF11" i="8"/>
  <c r="CF172" i="1"/>
  <c r="CF25" i="1"/>
  <c r="CF170" i="1"/>
  <c r="CF139" i="1"/>
  <c r="CE9" i="4"/>
  <c r="CF171" i="1"/>
  <c r="CF169" i="1"/>
  <c r="CE84" i="8"/>
  <c r="CE31" i="8" s="1"/>
  <c r="BZ92" i="8"/>
  <c r="CE100" i="8"/>
  <c r="BZ91" i="8"/>
  <c r="CE60" i="8"/>
  <c r="CE21" i="8" s="1"/>
  <c r="BZ94" i="8"/>
  <c r="E9" i="1"/>
  <c r="E52" i="8"/>
  <c r="BC201" i="310"/>
  <c r="AR186" i="310"/>
  <c r="BH126" i="310"/>
  <c r="BG105" i="310"/>
  <c r="BL105" i="310" s="1"/>
  <c r="BQ105" i="310" s="1"/>
  <c r="BV105" i="310" s="1"/>
  <c r="CA105" i="310" s="1"/>
  <c r="CF105" i="310" s="1"/>
  <c r="CK105" i="310" s="1"/>
  <c r="CP105" i="310" s="1"/>
  <c r="CU105" i="310" s="1"/>
  <c r="CJ11" i="310"/>
  <c r="BO94" i="4"/>
  <c r="BN113" i="4"/>
  <c r="P27" i="4"/>
  <c r="P30" i="4"/>
  <c r="CH90" i="3"/>
  <c r="CI36" i="3"/>
  <c r="CH72" i="3"/>
  <c r="CI72" i="3" s="1"/>
  <c r="CI18" i="3"/>
  <c r="CA128" i="2"/>
  <c r="CD126" i="2"/>
  <c r="BH82" i="2"/>
  <c r="BV78" i="2"/>
  <c r="BY77" i="2"/>
  <c r="BQ128" i="2"/>
  <c r="CG76" i="2"/>
  <c r="CH104" i="3"/>
  <c r="CI104" i="3" s="1"/>
  <c r="CI50" i="3"/>
  <c r="CH69" i="3"/>
  <c r="CI69" i="3" s="1"/>
  <c r="CI15" i="3"/>
  <c r="BT102" i="3"/>
  <c r="CH92" i="3"/>
  <c r="CI92" i="3" s="1"/>
  <c r="CI38" i="3"/>
  <c r="AP92" i="3"/>
  <c r="BI97" i="3"/>
  <c r="BJ47" i="3"/>
  <c r="BI101" i="3"/>
  <c r="BJ101" i="3" s="1"/>
  <c r="AL112" i="3"/>
  <c r="AL120" i="3" s="1"/>
  <c r="AL105" i="3"/>
  <c r="AL196" i="1"/>
  <c r="AL201" i="1" s="1"/>
  <c r="CN17" i="3"/>
  <c r="CM71" i="3"/>
  <c r="CM45" i="3"/>
  <c r="CH71" i="3"/>
  <c r="CI71" i="3" s="1"/>
  <c r="CI17" i="3"/>
  <c r="CH73" i="3"/>
  <c r="CI73" i="3" s="1"/>
  <c r="CI19" i="3"/>
  <c r="BV112" i="3"/>
  <c r="AX76" i="2"/>
  <c r="CN19" i="3"/>
  <c r="CM73" i="3"/>
  <c r="CN73" i="3"/>
  <c r="BE90" i="3"/>
  <c r="BC94" i="3"/>
  <c r="AN57" i="2"/>
  <c r="AN69" i="2"/>
  <c r="BW130" i="2"/>
  <c r="CB112" i="3"/>
  <c r="S84" i="2"/>
  <c r="V83" i="2"/>
  <c r="CA135" i="2"/>
  <c r="CH84" i="3"/>
  <c r="CI84" i="3"/>
  <c r="CI30" i="3"/>
  <c r="BJ37" i="3"/>
  <c r="BI91" i="3"/>
  <c r="BJ91" i="3"/>
  <c r="BI40" i="3"/>
  <c r="BJ40" i="3" s="1"/>
  <c r="AY99" i="3"/>
  <c r="AZ99" i="3" s="1"/>
  <c r="AZ45" i="3"/>
  <c r="BJ90" i="3"/>
  <c r="CK117" i="2"/>
  <c r="CK37" i="2" s="1"/>
  <c r="CK42" i="3"/>
  <c r="CK96" i="3" s="1"/>
  <c r="CK56" i="2"/>
  <c r="CI127" i="2"/>
  <c r="CJ127" i="2" s="1"/>
  <c r="CG83" i="3"/>
  <c r="CH91" i="3"/>
  <c r="CI91" i="3" s="1"/>
  <c r="CI37" i="3"/>
  <c r="BH40" i="3"/>
  <c r="CG93" i="3"/>
  <c r="CI41" i="2"/>
  <c r="CH68" i="3"/>
  <c r="CI68" i="3" s="1"/>
  <c r="CI14" i="3"/>
  <c r="CK32" i="2"/>
  <c r="CK30" i="2" s="1"/>
  <c r="CK9" i="2"/>
  <c r="CL9" i="2" s="1"/>
  <c r="CM9" i="2" s="1"/>
  <c r="CI9" i="2"/>
  <c r="BT43" i="2"/>
  <c r="BS200" i="4" s="1"/>
  <c r="BR200" i="4"/>
  <c r="CH82" i="3"/>
  <c r="CI82" i="3" s="1"/>
  <c r="CI28" i="3"/>
  <c r="CH102" i="3"/>
  <c r="CI102" i="3" s="1"/>
  <c r="CI48" i="3"/>
  <c r="CF49" i="3"/>
  <c r="CF51" i="3" s="1"/>
  <c r="CF101" i="3"/>
  <c r="CF103" i="3" s="1"/>
  <c r="CO18" i="2"/>
  <c r="CP18" i="2" s="1"/>
  <c r="CQ18" i="2" s="1"/>
  <c r="CR18" i="2" s="1"/>
  <c r="CI132" i="2"/>
  <c r="BU38" i="1"/>
  <c r="BU157" i="1"/>
  <c r="BU141" i="1"/>
  <c r="BZ141" i="1"/>
  <c r="BU98" i="2"/>
  <c r="BT215" i="4" s="1"/>
  <c r="BU99" i="2"/>
  <c r="BU33" i="1"/>
  <c r="BY32" i="1"/>
  <c r="AZ144" i="1"/>
  <c r="AZ170" i="1"/>
  <c r="AZ50" i="1"/>
  <c r="AZ49" i="1"/>
  <c r="CE99" i="2"/>
  <c r="CE141" i="1"/>
  <c r="CE157" i="1"/>
  <c r="BF162" i="1"/>
  <c r="BD67" i="1"/>
  <c r="BD66" i="1"/>
  <c r="BD172" i="1"/>
  <c r="BF181" i="1"/>
  <c r="BF113" i="2" s="1"/>
  <c r="BD146" i="1"/>
  <c r="BI146" i="1"/>
  <c r="BD162" i="1"/>
  <c r="BD99" i="2"/>
  <c r="BD98" i="2"/>
  <c r="BC215" i="4" s="1"/>
  <c r="BN41" i="1"/>
  <c r="BM194" i="4" s="1"/>
  <c r="BN67" i="1"/>
  <c r="BI66" i="1"/>
  <c r="AX73" i="310"/>
  <c r="AI33" i="1"/>
  <c r="AN141" i="1"/>
  <c r="AJ157" i="1"/>
  <c r="AI98" i="2"/>
  <c r="AH215" i="4" s="1"/>
  <c r="AK32" i="1"/>
  <c r="AI99" i="2"/>
  <c r="AI157" i="1"/>
  <c r="AI141" i="1"/>
  <c r="AI38" i="1"/>
  <c r="BJ144" i="1"/>
  <c r="BE50" i="1"/>
  <c r="BE144" i="1"/>
  <c r="BJ50" i="1"/>
  <c r="R105" i="1"/>
  <c r="BH181" i="1"/>
  <c r="BH113" i="2"/>
  <c r="AX110" i="1"/>
  <c r="AX107" i="1"/>
  <c r="AK79" i="310"/>
  <c r="AK37" i="1"/>
  <c r="AK40" i="1" s="1"/>
  <c r="BK33" i="1"/>
  <c r="BK38" i="1"/>
  <c r="BP141" i="1"/>
  <c r="BK157" i="1"/>
  <c r="BK98" i="2"/>
  <c r="BJ215" i="4" s="1"/>
  <c r="BO32" i="1"/>
  <c r="BK99" i="2"/>
  <c r="BK141" i="1"/>
  <c r="BL157" i="1"/>
  <c r="BY49" i="1"/>
  <c r="BY170" i="1"/>
  <c r="CD144" i="1"/>
  <c r="CD50" i="1"/>
  <c r="AN181" i="1"/>
  <c r="AN113" i="2" s="1"/>
  <c r="AQ181" i="1"/>
  <c r="AQ113" i="2" s="1"/>
  <c r="AM162" i="1"/>
  <c r="AN162" i="1"/>
  <c r="AM172" i="1"/>
  <c r="AM181" i="1"/>
  <c r="AM113" i="2"/>
  <c r="AO181" i="1"/>
  <c r="AO113" i="2"/>
  <c r="AM146" i="1"/>
  <c r="AP65" i="1"/>
  <c r="AM98" i="2"/>
  <c r="AL215" i="4" s="1"/>
  <c r="AM99" i="2"/>
  <c r="AM67" i="1"/>
  <c r="BJ54" i="1"/>
  <c r="BJ145" i="1"/>
  <c r="BJ53" i="1"/>
  <c r="BJ171" i="1"/>
  <c r="BF146" i="1"/>
  <c r="BA162" i="1"/>
  <c r="BA181" i="1"/>
  <c r="BA113" i="2" s="1"/>
  <c r="BB162" i="1"/>
  <c r="BD181" i="1"/>
  <c r="BD113" i="2" s="1"/>
  <c r="BE65" i="1"/>
  <c r="BB181" i="1"/>
  <c r="BB113" i="2" s="1"/>
  <c r="BA172" i="1"/>
  <c r="BC181" i="1"/>
  <c r="BC113" i="2" s="1"/>
  <c r="BA99" i="2"/>
  <c r="BF66" i="1"/>
  <c r="BA98" i="2"/>
  <c r="AZ215" i="4" s="1"/>
  <c r="BA67" i="1"/>
  <c r="L104" i="1"/>
  <c r="CD24" i="1"/>
  <c r="CF20" i="1"/>
  <c r="CD137" i="1"/>
  <c r="CD35" i="1"/>
  <c r="CD39" i="1" s="1"/>
  <c r="L11" i="8"/>
  <c r="L96" i="2"/>
  <c r="L95" i="2"/>
  <c r="K197" i="4" s="1"/>
  <c r="K55" i="4"/>
  <c r="Q25" i="1"/>
  <c r="L139" i="1"/>
  <c r="L33" i="1"/>
  <c r="L45" i="1"/>
  <c r="Q139" i="1"/>
  <c r="L169" i="1"/>
  <c r="K35" i="4"/>
  <c r="P44" i="4" s="1"/>
  <c r="CB139" i="1"/>
  <c r="CB169" i="1"/>
  <c r="CB211" i="1"/>
  <c r="CB155" i="1"/>
  <c r="CB26" i="1"/>
  <c r="CB33" i="1"/>
  <c r="CB170" i="1"/>
  <c r="CB171" i="1"/>
  <c r="CB25" i="1"/>
  <c r="CB38" i="1"/>
  <c r="CD38" i="1" s="1"/>
  <c r="CB11" i="8"/>
  <c r="CA9" i="4"/>
  <c r="CB43" i="8"/>
  <c r="CG100" i="8" s="1"/>
  <c r="CC180" i="1"/>
  <c r="CC130" i="2" s="1"/>
  <c r="CB96" i="2"/>
  <c r="CC26" i="1"/>
  <c r="CC155" i="1"/>
  <c r="BV33" i="1"/>
  <c r="BV141" i="1"/>
  <c r="BV157" i="1"/>
  <c r="CA141" i="1"/>
  <c r="BV38" i="1"/>
  <c r="BV98" i="2"/>
  <c r="BU215" i="4" s="1"/>
  <c r="BV99" i="2"/>
  <c r="BW157" i="1"/>
  <c r="AU144" i="1"/>
  <c r="AU50" i="1"/>
  <c r="AP49" i="1"/>
  <c r="AP170" i="1"/>
  <c r="BJ138" i="1"/>
  <c r="BE24" i="1"/>
  <c r="BE53" i="1" s="1"/>
  <c r="BO143" i="1"/>
  <c r="BJ45" i="1"/>
  <c r="AK53" i="1"/>
  <c r="AK171" i="1"/>
  <c r="AR162" i="1"/>
  <c r="AR146" i="1"/>
  <c r="AR172" i="1"/>
  <c r="AR181" i="1"/>
  <c r="AR113" i="2"/>
  <c r="AW146" i="1"/>
  <c r="AS162" i="1"/>
  <c r="AS181" i="1"/>
  <c r="AS113" i="2" s="1"/>
  <c r="AR98" i="2"/>
  <c r="AQ215" i="4" s="1"/>
  <c r="AR99" i="2"/>
  <c r="AE102" i="1"/>
  <c r="AE103" i="1" s="1"/>
  <c r="BO145" i="1"/>
  <c r="BG181" i="1"/>
  <c r="BG113" i="2" s="1"/>
  <c r="BL102" i="1"/>
  <c r="BM164" i="1"/>
  <c r="BL80" i="1"/>
  <c r="BL84" i="1" s="1"/>
  <c r="BL68" i="1"/>
  <c r="BL71" i="1"/>
  <c r="BL174" i="1"/>
  <c r="CQ66" i="3"/>
  <c r="CR12" i="3"/>
  <c r="AS64" i="3"/>
  <c r="AT10" i="3"/>
  <c r="CH39" i="1"/>
  <c r="K21" i="4"/>
  <c r="CH67" i="3"/>
  <c r="CH77" i="2" s="1"/>
  <c r="CI13" i="3"/>
  <c r="M188" i="1"/>
  <c r="M189" i="1" s="1"/>
  <c r="CC198" i="1"/>
  <c r="CA41" i="1"/>
  <c r="BZ194" i="4"/>
  <c r="AB21" i="8"/>
  <c r="W16" i="8" s="1"/>
  <c r="AB64" i="8"/>
  <c r="Q41" i="1"/>
  <c r="P194" i="4" s="1"/>
  <c r="M149" i="1"/>
  <c r="N165" i="1"/>
  <c r="M89" i="1"/>
  <c r="M175" i="1"/>
  <c r="M87" i="1"/>
  <c r="AV41" i="1"/>
  <c r="AU194" i="4" s="1"/>
  <c r="BZ197" i="4"/>
  <c r="CB198" i="1"/>
  <c r="CA197" i="4"/>
  <c r="CC100" i="8"/>
  <c r="BX93" i="8"/>
  <c r="BX79" i="8"/>
  <c r="BX94" i="8"/>
  <c r="BX92" i="8"/>
  <c r="CC79" i="8"/>
  <c r="BX10" i="1"/>
  <c r="BX91" i="8"/>
  <c r="CC84" i="8"/>
  <c r="CC31" i="8" s="1"/>
  <c r="CC60" i="8"/>
  <c r="CC21" i="8" s="1"/>
  <c r="BX198" i="1"/>
  <c r="AK10" i="1"/>
  <c r="P174" i="1"/>
  <c r="R182" i="1"/>
  <c r="T182" i="1"/>
  <c r="P164" i="1"/>
  <c r="P182" i="1"/>
  <c r="S183" i="1"/>
  <c r="P183" i="1"/>
  <c r="P80" i="1"/>
  <c r="P102" i="1"/>
  <c r="R183" i="1"/>
  <c r="S182" i="1"/>
  <c r="Q67" i="1"/>
  <c r="P68" i="1"/>
  <c r="O195" i="4" s="1"/>
  <c r="R164" i="1"/>
  <c r="T183" i="1"/>
  <c r="CG49" i="8"/>
  <c r="BV198" i="1"/>
  <c r="BU197" i="4"/>
  <c r="X69" i="1"/>
  <c r="D84" i="1"/>
  <c r="D87" i="1" s="1"/>
  <c r="D82" i="1"/>
  <c r="D188" i="1"/>
  <c r="D189" i="1" s="1"/>
  <c r="BU11" i="4"/>
  <c r="BZ8" i="4"/>
  <c r="BU8" i="4"/>
  <c r="BV10" i="8"/>
  <c r="CA30" i="8" s="1"/>
  <c r="CA26" i="8"/>
  <c r="BV26" i="8"/>
  <c r="BV34" i="8"/>
  <c r="BV35" i="8" s="1"/>
  <c r="BV92" i="8"/>
  <c r="BV79" i="8"/>
  <c r="BV93" i="8"/>
  <c r="BV10" i="1"/>
  <c r="CA100" i="8"/>
  <c r="BV94" i="8"/>
  <c r="BV91" i="8"/>
  <c r="E105" i="1"/>
  <c r="E103" i="1"/>
  <c r="CC91" i="8"/>
  <c r="AQ164" i="1"/>
  <c r="AQ174" i="1"/>
  <c r="AQ102" i="1"/>
  <c r="AQ80" i="1"/>
  <c r="AQ68" i="1"/>
  <c r="AP195" i="4" s="1"/>
  <c r="M110" i="1"/>
  <c r="M107" i="1"/>
  <c r="AJ102" i="1"/>
  <c r="AJ80" i="1"/>
  <c r="AJ68" i="1"/>
  <c r="AI195" i="4"/>
  <c r="AJ174" i="1"/>
  <c r="J69" i="1"/>
  <c r="J68" i="1"/>
  <c r="I195" i="4" s="1"/>
  <c r="J174" i="1"/>
  <c r="J80" i="1"/>
  <c r="J102" i="1"/>
  <c r="J148" i="1"/>
  <c r="O148" i="1"/>
  <c r="O69" i="1"/>
  <c r="S102" i="1"/>
  <c r="S174" i="1"/>
  <c r="S68" i="1"/>
  <c r="R195" i="4" s="1"/>
  <c r="S164" i="1"/>
  <c r="S80" i="1"/>
  <c r="T164" i="1"/>
  <c r="S69" i="1"/>
  <c r="S148" i="1"/>
  <c r="R103" i="1"/>
  <c r="AT41" i="1"/>
  <c r="AS194" i="4" s="1"/>
  <c r="AT14" i="8"/>
  <c r="AT30" i="8"/>
  <c r="AO174" i="1"/>
  <c r="AO102" i="1"/>
  <c r="AO68" i="1"/>
  <c r="AN195" i="4" s="1"/>
  <c r="AO69" i="1"/>
  <c r="AO80" i="1"/>
  <c r="AO164" i="1"/>
  <c r="AO148" i="1"/>
  <c r="AB69" i="1"/>
  <c r="AB73" i="1"/>
  <c r="AB74" i="1" s="1"/>
  <c r="AB68" i="1"/>
  <c r="AA195" i="4" s="1"/>
  <c r="AB102" i="1"/>
  <c r="AB148" i="1"/>
  <c r="AB174" i="1"/>
  <c r="AB80" i="1"/>
  <c r="E84" i="1"/>
  <c r="E82" i="1"/>
  <c r="E188" i="1" s="1"/>
  <c r="E189" i="1" s="1"/>
  <c r="AG80" i="1"/>
  <c r="AG68" i="1"/>
  <c r="AF195" i="4" s="1"/>
  <c r="AG148" i="1"/>
  <c r="AG102" i="1"/>
  <c r="AG174" i="1"/>
  <c r="AG69" i="1"/>
  <c r="AG73" i="1"/>
  <c r="AG74" i="1" s="1"/>
  <c r="BR84" i="1"/>
  <c r="BR82" i="1"/>
  <c r="X148" i="1"/>
  <c r="C8" i="3"/>
  <c r="C62" i="3" s="1"/>
  <c r="C87" i="3" s="1"/>
  <c r="C115" i="1"/>
  <c r="C112" i="1" s="1"/>
  <c r="C97" i="1"/>
  <c r="C98" i="1" s="1"/>
  <c r="C111" i="1"/>
  <c r="P148" i="1"/>
  <c r="CC93" i="8"/>
  <c r="AN111" i="1"/>
  <c r="AN115" i="1"/>
  <c r="AN112" i="1" s="1"/>
  <c r="AN8" i="3"/>
  <c r="AN97" i="1"/>
  <c r="AN98" i="1" s="1"/>
  <c r="R84" i="1"/>
  <c r="R82" i="1"/>
  <c r="R188" i="1" s="1"/>
  <c r="R189" i="1" s="1"/>
  <c r="BC200" i="4"/>
  <c r="BD51" i="2"/>
  <c r="BY43" i="8"/>
  <c r="BY10" i="1" s="1"/>
  <c r="AB14" i="8"/>
  <c r="AW218" i="4"/>
  <c r="BI49" i="3"/>
  <c r="BJ49" i="3" s="1"/>
  <c r="CC196" i="1"/>
  <c r="CC201" i="1" s="1"/>
  <c r="AX197" i="1"/>
  <c r="CM66" i="3"/>
  <c r="CF186" i="1"/>
  <c r="BT126" i="2"/>
  <c r="BT128" i="2" s="1"/>
  <c r="CC112" i="3"/>
  <c r="BR130" i="2"/>
  <c r="AY80" i="1"/>
  <c r="AY174" i="1"/>
  <c r="AY102" i="1"/>
  <c r="AY68" i="1"/>
  <c r="AX195" i="4" s="1"/>
  <c r="AP43" i="2"/>
  <c r="AO200" i="4" s="1"/>
  <c r="AN200" i="4"/>
  <c r="AX200" i="4"/>
  <c r="AY51" i="2"/>
  <c r="AY52" i="2" s="1"/>
  <c r="AZ43" i="2"/>
  <c r="AY200" i="4" s="1"/>
  <c r="O200" i="4"/>
  <c r="P51" i="2"/>
  <c r="Q43" i="2"/>
  <c r="P200" i="4" s="1"/>
  <c r="BH200" i="4"/>
  <c r="BJ43" i="2"/>
  <c r="BI200" i="4" s="1"/>
  <c r="BI51" i="2"/>
  <c r="T200" i="4"/>
  <c r="V43" i="2"/>
  <c r="U200" i="4" s="1"/>
  <c r="AA88" i="8"/>
  <c r="CI90" i="3"/>
  <c r="CH133" i="2"/>
  <c r="AV89" i="8"/>
  <c r="CK72" i="8"/>
  <c r="CK62" i="8" s="1"/>
  <c r="BH188" i="1"/>
  <c r="BH189" i="1" s="1"/>
  <c r="BH91" i="1"/>
  <c r="BH92" i="1" s="1"/>
  <c r="BH93" i="1" s="1"/>
  <c r="D110" i="1"/>
  <c r="D107" i="1"/>
  <c r="AD82" i="1"/>
  <c r="AD84" i="1"/>
  <c r="BM107" i="1"/>
  <c r="BM110" i="1"/>
  <c r="BH89" i="1"/>
  <c r="BH87" i="1"/>
  <c r="BH175" i="1"/>
  <c r="BM149" i="1"/>
  <c r="BI165" i="1"/>
  <c r="CM66" i="8"/>
  <c r="CM70" i="8" s="1"/>
  <c r="CL70" i="8"/>
  <c r="AX59" i="8"/>
  <c r="AX20" i="8" s="1"/>
  <c r="AX83" i="8"/>
  <c r="AX88" i="8"/>
  <c r="CK63" i="8"/>
  <c r="CK48" i="8"/>
  <c r="CJ47" i="8"/>
  <c r="CJ49" i="8" s="1"/>
  <c r="CJ62" i="8"/>
  <c r="BD64" i="8"/>
  <c r="CK47" i="8"/>
  <c r="CK49" i="8" s="1"/>
  <c r="CK100" i="8" s="1"/>
  <c r="CL71" i="8"/>
  <c r="CM67" i="8"/>
  <c r="CM71" i="8" s="1"/>
  <c r="CM72" i="8" s="1"/>
  <c r="AZ47" i="8"/>
  <c r="AX53" i="8"/>
  <c r="AX49" i="8"/>
  <c r="AX100" i="8"/>
  <c r="CL73" i="8"/>
  <c r="CM68" i="8"/>
  <c r="CM73" i="8" s="1"/>
  <c r="CM63" i="8" s="1"/>
  <c r="BG59" i="8"/>
  <c r="BG20" i="8"/>
  <c r="BJ54" i="8"/>
  <c r="BG83" i="8"/>
  <c r="BG88" i="8" s="1"/>
  <c r="BG55" i="8"/>
  <c r="AK54" i="8"/>
  <c r="AJ83" i="8"/>
  <c r="V59" i="8"/>
  <c r="V20" i="8" s="1"/>
  <c r="V83" i="8"/>
  <c r="V88" i="8" s="1"/>
  <c r="BJ49" i="8"/>
  <c r="BG100" i="8"/>
  <c r="AZ49" i="8"/>
  <c r="AY100" i="8"/>
  <c r="AY55" i="8"/>
  <c r="AY59" i="8"/>
  <c r="AY20" i="8" s="1"/>
  <c r="AZ54" i="8"/>
  <c r="AY83" i="8"/>
  <c r="AY88" i="8" s="1"/>
  <c r="AV64" i="8"/>
  <c r="BD89" i="8"/>
  <c r="AT89" i="8"/>
  <c r="I15" i="8"/>
  <c r="I29" i="8" s="1"/>
  <c r="I10" i="8"/>
  <c r="I24" i="8"/>
  <c r="N24" i="8"/>
  <c r="I34" i="8"/>
  <c r="I35" i="8" s="1"/>
  <c r="N29" i="8"/>
  <c r="AI89" i="8"/>
  <c r="M60" i="8"/>
  <c r="M21" i="8" s="1"/>
  <c r="O60" i="8"/>
  <c r="O21" i="8" s="1"/>
  <c r="N60" i="8"/>
  <c r="N21" i="8" s="1"/>
  <c r="P60" i="8"/>
  <c r="P21" i="8" s="1"/>
  <c r="Y31" i="8"/>
  <c r="X22" i="4" s="1"/>
  <c r="X24" i="4" s="1"/>
  <c r="Y89" i="8"/>
  <c r="Y21" i="8"/>
  <c r="T16" i="8" s="1"/>
  <c r="Y64" i="8"/>
  <c r="AI64" i="8"/>
  <c r="BS221" i="4"/>
  <c r="BY177" i="1"/>
  <c r="BT195" i="1"/>
  <c r="BU79" i="8"/>
  <c r="BU94" i="8"/>
  <c r="BZ60" i="8"/>
  <c r="BZ21" i="8" s="1"/>
  <c r="BU92" i="8"/>
  <c r="BU91" i="8"/>
  <c r="BU93" i="8"/>
  <c r="BZ100" i="8"/>
  <c r="BU10" i="1"/>
  <c r="BZ84" i="8"/>
  <c r="BZ31" i="8" s="1"/>
  <c r="Z67" i="1"/>
  <c r="Z41" i="1"/>
  <c r="Y194" i="4"/>
  <c r="AU34" i="8"/>
  <c r="AU35" i="8" s="1"/>
  <c r="AU26" i="8"/>
  <c r="AZ26" i="8"/>
  <c r="BP94" i="8"/>
  <c r="BU84" i="8"/>
  <c r="BU31" i="8" s="1"/>
  <c r="BP93" i="8"/>
  <c r="BT93" i="8" s="1"/>
  <c r="BU60" i="8"/>
  <c r="BU21" i="8" s="1"/>
  <c r="BU100" i="8"/>
  <c r="BP79" i="8"/>
  <c r="BP91" i="8"/>
  <c r="BT91" i="8" s="1"/>
  <c r="BT43" i="8"/>
  <c r="BY79" i="8" s="1"/>
  <c r="BP10" i="1"/>
  <c r="BP92" i="8"/>
  <c r="BP41" i="1"/>
  <c r="BO194" i="4" s="1"/>
  <c r="BP67" i="1"/>
  <c r="BP183" i="1"/>
  <c r="BT11" i="4"/>
  <c r="BY23" i="4" s="1"/>
  <c r="BY24" i="4" s="1"/>
  <c r="BY8" i="4"/>
  <c r="BT8" i="4"/>
  <c r="BX9" i="4"/>
  <c r="BU26" i="8"/>
  <c r="BU34" i="8"/>
  <c r="BU35" i="8" s="1"/>
  <c r="BU10" i="8"/>
  <c r="BZ26" i="8"/>
  <c r="Z198" i="1"/>
  <c r="Y197" i="4"/>
  <c r="AA43" i="8"/>
  <c r="Z94" i="8"/>
  <c r="AE79" i="8"/>
  <c r="Z93" i="8"/>
  <c r="Z92" i="8"/>
  <c r="Z91" i="8"/>
  <c r="Y11" i="4"/>
  <c r="AD8" i="4"/>
  <c r="Z9" i="4"/>
  <c r="BT197" i="4"/>
  <c r="BU198" i="1"/>
  <c r="BO11" i="4"/>
  <c r="BO21" i="4" s="1"/>
  <c r="BO23" i="4" s="1"/>
  <c r="BO24" i="4" s="1"/>
  <c r="BS9" i="4"/>
  <c r="BO8" i="4"/>
  <c r="BP26" i="8"/>
  <c r="BP34" i="8"/>
  <c r="BP35" i="8" s="1"/>
  <c r="BP10" i="8"/>
  <c r="Z34" i="8"/>
  <c r="Z35" i="8" s="1"/>
  <c r="Z10" i="8"/>
  <c r="AE26" i="8"/>
  <c r="K79" i="8"/>
  <c r="G43" i="8"/>
  <c r="L79" i="8" s="1"/>
  <c r="BE46" i="3"/>
  <c r="BD100" i="3"/>
  <c r="AO195" i="1"/>
  <c r="AO126" i="2"/>
  <c r="AO130" i="2"/>
  <c r="AN221" i="4"/>
  <c r="BM78" i="2"/>
  <c r="BO76" i="2"/>
  <c r="AM57" i="2"/>
  <c r="AM69" i="2"/>
  <c r="AN195" i="1"/>
  <c r="BC130" i="2"/>
  <c r="BG84" i="2"/>
  <c r="V60" i="8"/>
  <c r="V84" i="8"/>
  <c r="W31" i="8"/>
  <c r="V22" i="4" s="1"/>
  <c r="W89" i="8"/>
  <c r="AU20" i="8"/>
  <c r="AU63" i="8"/>
  <c r="BA31" i="8"/>
  <c r="BA89" i="8"/>
  <c r="AM31" i="8"/>
  <c r="AM89" i="8"/>
  <c r="AL19" i="8"/>
  <c r="AL62" i="8"/>
  <c r="AL14" i="8"/>
  <c r="AP14" i="8" s="1"/>
  <c r="AL30" i="8"/>
  <c r="AP49" i="8"/>
  <c r="AO100" i="8"/>
  <c r="AM21" i="8"/>
  <c r="AM64" i="8"/>
  <c r="BX60" i="8"/>
  <c r="BX21" i="8" s="1"/>
  <c r="BX84" i="8"/>
  <c r="BX31" i="8" s="1"/>
  <c r="BY55" i="8"/>
  <c r="AL84" i="8"/>
  <c r="AL60" i="8"/>
  <c r="AO58" i="8"/>
  <c r="AO82" i="8"/>
  <c r="AO87" i="8" s="1"/>
  <c r="BA21" i="8"/>
  <c r="BA64" i="8"/>
  <c r="BW21" i="8"/>
  <c r="BW64" i="8"/>
  <c r="W21" i="8"/>
  <c r="R16" i="8" s="1"/>
  <c r="W64" i="8"/>
  <c r="AT21" i="8"/>
  <c r="AT64" i="8"/>
  <c r="BE60" i="8"/>
  <c r="BE21" i="8" s="1"/>
  <c r="BE84" i="8"/>
  <c r="BE31" i="8" s="1"/>
  <c r="AU19" i="8"/>
  <c r="AU62" i="8"/>
  <c r="BW31" i="8"/>
  <c r="BW89" i="8"/>
  <c r="AP53" i="8"/>
  <c r="T175" i="1"/>
  <c r="T89" i="1"/>
  <c r="CC25" i="8"/>
  <c r="CC16" i="8"/>
  <c r="BW174" i="1"/>
  <c r="BW68" i="1"/>
  <c r="BW229" i="1"/>
  <c r="BW102" i="1"/>
  <c r="BW80" i="1"/>
  <c r="BW69" i="1"/>
  <c r="BW148" i="1"/>
  <c r="BW71" i="1"/>
  <c r="BW72" i="1"/>
  <c r="BX164" i="1"/>
  <c r="O29" i="8"/>
  <c r="AH103" i="1"/>
  <c r="AH105" i="1"/>
  <c r="AF68" i="1"/>
  <c r="AE195" i="4" s="1"/>
  <c r="AF174" i="1"/>
  <c r="AL103" i="1"/>
  <c r="O24" i="8"/>
  <c r="AV14" i="8"/>
  <c r="AV30" i="8"/>
  <c r="AH84" i="1"/>
  <c r="AE84" i="1"/>
  <c r="AE82" i="1"/>
  <c r="BE10" i="1"/>
  <c r="BE16" i="8"/>
  <c r="K80" i="1"/>
  <c r="M164" i="1"/>
  <c r="O182" i="1"/>
  <c r="K68" i="1"/>
  <c r="J195" i="4"/>
  <c r="N182" i="1"/>
  <c r="K164" i="1"/>
  <c r="O183" i="1"/>
  <c r="K174" i="1"/>
  <c r="N183" i="1"/>
  <c r="K102" i="1"/>
  <c r="CK39" i="1"/>
  <c r="M29" i="8"/>
  <c r="M24" i="8"/>
  <c r="H15" i="8"/>
  <c r="H29" i="8" s="1"/>
  <c r="H10" i="8"/>
  <c r="H34" i="8"/>
  <c r="H35" i="8" s="1"/>
  <c r="H24" i="8"/>
  <c r="H81" i="8"/>
  <c r="H86" i="8" s="1"/>
  <c r="M81" i="8"/>
  <c r="M86" i="8" s="1"/>
  <c r="H55" i="8"/>
  <c r="H84" i="8" s="1"/>
  <c r="J15" i="8"/>
  <c r="CC80" i="1"/>
  <c r="CC102" i="1"/>
  <c r="CC148" i="1"/>
  <c r="CC174" i="1"/>
  <c r="CC71" i="1"/>
  <c r="CC72" i="1" s="1"/>
  <c r="CC69" i="1"/>
  <c r="CC229" i="1"/>
  <c r="CC68" i="1"/>
  <c r="BD14" i="8"/>
  <c r="BD30" i="8"/>
  <c r="AR41" i="1"/>
  <c r="AQ194" i="4" s="1"/>
  <c r="BX110" i="1"/>
  <c r="BX107" i="1"/>
  <c r="BS91" i="1"/>
  <c r="BS188" i="1"/>
  <c r="BS189" i="1" s="1"/>
  <c r="BS110" i="1"/>
  <c r="BS107" i="1"/>
  <c r="BS165" i="1"/>
  <c r="BS87" i="1"/>
  <c r="BS175" i="1"/>
  <c r="BS89" i="1"/>
  <c r="AE10" i="3"/>
  <c r="AF10" i="3" s="1"/>
  <c r="AE65" i="3"/>
  <c r="AF65" i="3" s="1"/>
  <c r="AF11" i="3"/>
  <c r="AZ77" i="3"/>
  <c r="AI197" i="1"/>
  <c r="AH218" i="4"/>
  <c r="AN84" i="2"/>
  <c r="CS38" i="3"/>
  <c r="CR92" i="3"/>
  <c r="CS92" i="3" s="1"/>
  <c r="AP70" i="2"/>
  <c r="AP69" i="2" s="1"/>
  <c r="L39" i="8"/>
  <c r="P75" i="8"/>
  <c r="O86" i="8"/>
  <c r="BI30" i="8"/>
  <c r="BI14" i="8"/>
  <c r="Q64" i="8"/>
  <c r="Q89" i="8"/>
  <c r="AO10" i="3"/>
  <c r="AN64" i="3"/>
  <c r="AO65" i="3"/>
  <c r="AP65" i="3" s="1"/>
  <c r="AP11" i="3"/>
  <c r="BV196" i="1"/>
  <c r="BV201" i="1" s="1"/>
  <c r="BO98" i="3"/>
  <c r="CR70" i="3"/>
  <c r="CQ219" i="4"/>
  <c r="CS16" i="3"/>
  <c r="CP219" i="4"/>
  <c r="BD78" i="2"/>
  <c r="AZ100" i="3"/>
  <c r="AY70" i="2"/>
  <c r="AY57" i="2" s="1"/>
  <c r="AY83" i="2"/>
  <c r="BL128" i="2"/>
  <c r="BL130" i="2"/>
  <c r="AZ36" i="3"/>
  <c r="AY90" i="3"/>
  <c r="AY40" i="3"/>
  <c r="AZ40" i="3" s="1"/>
  <c r="BO83" i="2"/>
  <c r="CS50" i="3"/>
  <c r="CE120" i="3"/>
  <c r="BI126" i="2"/>
  <c r="BJ126" i="2" s="1"/>
  <c r="BJ128" i="2" s="1"/>
  <c r="BI195" i="1"/>
  <c r="BH221" i="4"/>
  <c r="BH128" i="2"/>
  <c r="CR84" i="3"/>
  <c r="CS84" i="3"/>
  <c r="CS30" i="3"/>
  <c r="BN126" i="2"/>
  <c r="BN130" i="2" s="1"/>
  <c r="BE92" i="3"/>
  <c r="CR69" i="3"/>
  <c r="CS69" i="3" s="1"/>
  <c r="CS15" i="3"/>
  <c r="BJ89" i="3"/>
  <c r="CC120" i="3"/>
  <c r="BE43" i="3"/>
  <c r="BD97" i="3"/>
  <c r="AM87" i="3"/>
  <c r="AM105" i="3" s="1"/>
  <c r="F52" i="2"/>
  <c r="BV105" i="4"/>
  <c r="BU108" i="4"/>
  <c r="BU109" i="4" s="1"/>
  <c r="BE170" i="1"/>
  <c r="CF92" i="8"/>
  <c r="CF94" i="8"/>
  <c r="CF93" i="8"/>
  <c r="CK93" i="8"/>
  <c r="CF91" i="8"/>
  <c r="BF110" i="1"/>
  <c r="J81" i="8"/>
  <c r="CE99" i="8"/>
  <c r="G39" i="8"/>
  <c r="F91" i="8"/>
  <c r="F9" i="8"/>
  <c r="K75" i="8"/>
  <c r="F52" i="8"/>
  <c r="F9" i="1"/>
  <c r="CE11" i="4"/>
  <c r="CE21" i="4" s="1"/>
  <c r="CE23" i="4" s="1"/>
  <c r="CE24" i="4" s="1"/>
  <c r="CE8" i="4"/>
  <c r="BZ89" i="8"/>
  <c r="CF10" i="8"/>
  <c r="CF34" i="8"/>
  <c r="CF35" i="8" s="1"/>
  <c r="CF26" i="8"/>
  <c r="BD201" i="310"/>
  <c r="BE167" i="310"/>
  <c r="BQ44" i="310"/>
  <c r="BP94" i="4"/>
  <c r="BV120" i="3"/>
  <c r="CN45" i="3"/>
  <c r="AY76" i="2"/>
  <c r="AY78" i="2"/>
  <c r="CH99" i="3"/>
  <c r="CH76" i="2" s="1"/>
  <c r="CI45" i="3"/>
  <c r="CG78" i="2"/>
  <c r="CL117" i="2"/>
  <c r="CL37" i="2" s="1"/>
  <c r="CK119" i="2"/>
  <c r="CK79" i="1" s="1"/>
  <c r="CM44" i="2"/>
  <c r="CO44" i="2" s="1"/>
  <c r="CK132" i="2"/>
  <c r="CK136" i="2" s="1"/>
  <c r="CI19" i="2"/>
  <c r="CG101" i="3"/>
  <c r="CH79" i="3"/>
  <c r="CI79" i="3" s="1"/>
  <c r="CI25" i="3"/>
  <c r="CH93" i="3"/>
  <c r="CI93" i="3" s="1"/>
  <c r="CI39" i="3"/>
  <c r="CK41" i="2"/>
  <c r="CL41" i="2" s="1"/>
  <c r="CM41" i="2" s="1"/>
  <c r="CJ29" i="3"/>
  <c r="CN9" i="2"/>
  <c r="CO9" i="2"/>
  <c r="CP9" i="2" s="1"/>
  <c r="CL32" i="2"/>
  <c r="CH83" i="3"/>
  <c r="CI83" i="3" s="1"/>
  <c r="CI29" i="3"/>
  <c r="CK127" i="2"/>
  <c r="Q26" i="8"/>
  <c r="P22" i="4" s="1"/>
  <c r="AP99" i="2"/>
  <c r="AP146" i="1"/>
  <c r="AP172" i="1"/>
  <c r="BJ139" i="1"/>
  <c r="BE11" i="8"/>
  <c r="BE33" i="1"/>
  <c r="BE25" i="1"/>
  <c r="BE139" i="1"/>
  <c r="BE96" i="2"/>
  <c r="BE95" i="2"/>
  <c r="BJ25" i="1"/>
  <c r="BV67" i="1"/>
  <c r="BV41" i="1"/>
  <c r="BU194" i="4" s="1"/>
  <c r="CA8" i="4"/>
  <c r="CC9" i="4"/>
  <c r="CA11" i="4"/>
  <c r="CA21" i="4" s="1"/>
  <c r="CA23" i="4" s="1"/>
  <c r="CA24" i="4" s="1"/>
  <c r="BE171" i="1"/>
  <c r="BE49" i="1"/>
  <c r="AX111" i="1"/>
  <c r="AX115" i="1"/>
  <c r="AX112" i="1" s="1"/>
  <c r="AX97" i="1"/>
  <c r="AX98" i="1" s="1"/>
  <c r="AI67" i="1"/>
  <c r="AM182" i="1" s="1"/>
  <c r="AI41" i="1"/>
  <c r="AH194" i="4" s="1"/>
  <c r="AK38" i="1"/>
  <c r="AP141" i="1"/>
  <c r="AK33" i="1"/>
  <c r="AK141" i="1"/>
  <c r="AK99" i="2"/>
  <c r="BK195" i="4"/>
  <c r="CB41" i="1"/>
  <c r="CA194" i="4" s="1"/>
  <c r="BE67" i="1"/>
  <c r="BA80" i="1"/>
  <c r="BD183" i="1"/>
  <c r="BA68" i="1"/>
  <c r="BB164" i="1"/>
  <c r="BA71" i="1"/>
  <c r="BA174" i="1"/>
  <c r="BF148" i="1"/>
  <c r="BD182" i="1"/>
  <c r="BF69" i="1"/>
  <c r="BC182" i="1"/>
  <c r="BC183" i="1"/>
  <c r="BA164" i="1"/>
  <c r="BE99" i="2"/>
  <c r="D25" i="447"/>
  <c r="BE172" i="1"/>
  <c r="AO182" i="1"/>
  <c r="AO183" i="1"/>
  <c r="AM102" i="1"/>
  <c r="AM68" i="1"/>
  <c r="AL195" i="4" s="1"/>
  <c r="AM80" i="1"/>
  <c r="AP67" i="1"/>
  <c r="AM148" i="1"/>
  <c r="AN182" i="1"/>
  <c r="AN164" i="1"/>
  <c r="AM174" i="1"/>
  <c r="AM164" i="1"/>
  <c r="AN183" i="1"/>
  <c r="AM69" i="1"/>
  <c r="AM188" i="1"/>
  <c r="AM189" i="1" s="1"/>
  <c r="AQ183" i="1"/>
  <c r="AQ182" i="1"/>
  <c r="BO99" i="2"/>
  <c r="BO33" i="1"/>
  <c r="BT141" i="1"/>
  <c r="BO141" i="1"/>
  <c r="BO98" i="2"/>
  <c r="BN215" i="4" s="1"/>
  <c r="BK41" i="1"/>
  <c r="BJ194" i="4" s="1"/>
  <c r="BK67" i="1"/>
  <c r="BO38" i="1"/>
  <c r="BS148" i="1"/>
  <c r="BN174" i="1"/>
  <c r="BN80" i="1"/>
  <c r="BN102" i="1"/>
  <c r="BN164" i="1"/>
  <c r="BN68" i="1"/>
  <c r="BS69" i="1"/>
  <c r="BN71" i="1"/>
  <c r="BP164" i="1"/>
  <c r="BN69" i="1"/>
  <c r="BN148" i="1"/>
  <c r="BD174" i="1"/>
  <c r="BD102" i="1"/>
  <c r="BD68" i="1"/>
  <c r="BC195" i="4" s="1"/>
  <c r="BD71" i="1"/>
  <c r="BI72" i="1" s="1"/>
  <c r="BD80" i="1"/>
  <c r="BD164" i="1"/>
  <c r="BF183" i="1"/>
  <c r="BI148" i="1"/>
  <c r="BI69" i="1"/>
  <c r="BF182" i="1"/>
  <c r="BF164" i="1"/>
  <c r="BD69" i="1"/>
  <c r="BD148" i="1"/>
  <c r="BU41" i="1"/>
  <c r="BT194" i="4" s="1"/>
  <c r="BU67" i="1"/>
  <c r="BY38" i="1"/>
  <c r="CB34" i="8"/>
  <c r="CB35" i="8" s="1"/>
  <c r="CB26" i="8"/>
  <c r="CB10" i="8"/>
  <c r="CD45" i="1"/>
  <c r="CC142" i="4"/>
  <c r="CD49" i="1"/>
  <c r="CD139" i="1"/>
  <c r="CD53" i="1"/>
  <c r="CD95" i="2"/>
  <c r="CC197" i="4" s="1"/>
  <c r="CD96" i="2"/>
  <c r="CD33" i="1"/>
  <c r="CD171" i="1"/>
  <c r="CD170" i="1"/>
  <c r="CD169" i="1"/>
  <c r="CD41" i="1"/>
  <c r="CC194" i="4" s="1"/>
  <c r="BL103" i="1"/>
  <c r="BL105" i="1"/>
  <c r="AR69" i="1"/>
  <c r="AR80" i="1"/>
  <c r="AR174" i="1"/>
  <c r="CB93" i="8"/>
  <c r="CB91" i="8"/>
  <c r="CB79" i="8"/>
  <c r="CB92" i="8"/>
  <c r="CB94" i="8"/>
  <c r="R107" i="1"/>
  <c r="R110" i="1"/>
  <c r="BY141" i="1"/>
  <c r="BY99" i="2"/>
  <c r="BY33" i="1"/>
  <c r="BY98" i="2"/>
  <c r="BX215" i="4" s="1"/>
  <c r="CD141" i="1"/>
  <c r="AU10" i="3"/>
  <c r="CR66" i="3"/>
  <c r="CS12" i="3"/>
  <c r="AS197" i="1"/>
  <c r="CC64" i="8"/>
  <c r="CI67" i="3"/>
  <c r="P103" i="1"/>
  <c r="Q102" i="1"/>
  <c r="Q103" i="1" s="1"/>
  <c r="P105" i="1"/>
  <c r="W14" i="8"/>
  <c r="W30" i="8"/>
  <c r="Q68" i="1"/>
  <c r="P195" i="4" s="1"/>
  <c r="Q174" i="1"/>
  <c r="P82" i="1"/>
  <c r="P188" i="1" s="1"/>
  <c r="P189" i="1" s="1"/>
  <c r="P84" i="1"/>
  <c r="CC99" i="8"/>
  <c r="N166" i="1"/>
  <c r="M150" i="1"/>
  <c r="M88" i="1"/>
  <c r="I67" i="447"/>
  <c r="CI51" i="310"/>
  <c r="CD81" i="310"/>
  <c r="BV16" i="8"/>
  <c r="BV25" i="8"/>
  <c r="CA25" i="8"/>
  <c r="D175" i="1"/>
  <c r="D165" i="1"/>
  <c r="D89" i="1"/>
  <c r="BV64" i="8"/>
  <c r="BV89" i="8"/>
  <c r="BU21" i="4"/>
  <c r="BU23" i="4" s="1"/>
  <c r="BU24" i="4" s="1"/>
  <c r="BZ23" i="4"/>
  <c r="BZ24" i="4" s="1"/>
  <c r="BY94" i="8"/>
  <c r="BR175" i="1"/>
  <c r="BR149" i="1"/>
  <c r="BR89" i="1"/>
  <c r="BR87" i="1"/>
  <c r="AG103" i="1"/>
  <c r="AG105" i="1"/>
  <c r="AO82" i="1"/>
  <c r="AO84" i="1"/>
  <c r="S105" i="1"/>
  <c r="S103" i="1"/>
  <c r="J103" i="1"/>
  <c r="J105" i="1"/>
  <c r="M115" i="1"/>
  <c r="M112" i="1" s="1"/>
  <c r="M97" i="1"/>
  <c r="M98" i="1" s="1"/>
  <c r="M8" i="3"/>
  <c r="M111" i="1"/>
  <c r="AQ103" i="1"/>
  <c r="AQ105" i="1"/>
  <c r="AB103" i="1"/>
  <c r="J84" i="1"/>
  <c r="J82" i="1"/>
  <c r="J188" i="1" s="1"/>
  <c r="J189" i="1" s="1"/>
  <c r="AJ82" i="1"/>
  <c r="AJ84" i="1"/>
  <c r="R175" i="1"/>
  <c r="R89" i="1"/>
  <c r="R87" i="1"/>
  <c r="W149" i="1"/>
  <c r="R149" i="1"/>
  <c r="AB84" i="1"/>
  <c r="AB82" i="1"/>
  <c r="S82" i="1"/>
  <c r="S188" i="1" s="1"/>
  <c r="S189" i="1" s="1"/>
  <c r="S84" i="1"/>
  <c r="E107" i="1"/>
  <c r="E110" i="1"/>
  <c r="E8" i="3" s="1"/>
  <c r="E62" i="3" s="1"/>
  <c r="E87" i="3" s="1"/>
  <c r="E175" i="1"/>
  <c r="E89" i="1"/>
  <c r="E87" i="1"/>
  <c r="E166" i="1" s="1"/>
  <c r="E165" i="1"/>
  <c r="BR91" i="1"/>
  <c r="BR92" i="1" s="1"/>
  <c r="BR93" i="1" s="1"/>
  <c r="BR188" i="1"/>
  <c r="BR189" i="1" s="1"/>
  <c r="AG82" i="1"/>
  <c r="AG84" i="1"/>
  <c r="AO105" i="1"/>
  <c r="AO103" i="1"/>
  <c r="AJ103" i="1"/>
  <c r="AJ105" i="1"/>
  <c r="AQ82" i="1"/>
  <c r="AQ84" i="1"/>
  <c r="BE51" i="2"/>
  <c r="AY103" i="1"/>
  <c r="AY105" i="1"/>
  <c r="AY82" i="1"/>
  <c r="AY84" i="1"/>
  <c r="U52" i="2"/>
  <c r="Q51" i="2"/>
  <c r="BJ51" i="2"/>
  <c r="AZ51" i="2"/>
  <c r="AZ52" i="2" s="1"/>
  <c r="BE89" i="8"/>
  <c r="CH135" i="2"/>
  <c r="CI133" i="2"/>
  <c r="CL72" i="8"/>
  <c r="CL62" i="8" s="1"/>
  <c r="AD91" i="1"/>
  <c r="AD92" i="1" s="1"/>
  <c r="AD93" i="1" s="1"/>
  <c r="AD188" i="1"/>
  <c r="AD189" i="1" s="1"/>
  <c r="D111" i="1"/>
  <c r="D115" i="1"/>
  <c r="D112" i="1" s="1"/>
  <c r="D8" i="3"/>
  <c r="D62" i="3" s="1"/>
  <c r="D87" i="3" s="1"/>
  <c r="D97" i="1"/>
  <c r="D98" i="1" s="1"/>
  <c r="BM97" i="1"/>
  <c r="BM98" i="1" s="1"/>
  <c r="BM111" i="1"/>
  <c r="BM115" i="1"/>
  <c r="BM112" i="1" s="1"/>
  <c r="AD89" i="1"/>
  <c r="AD149" i="1"/>
  <c r="AD175" i="1"/>
  <c r="AD87" i="1"/>
  <c r="BX89" i="8"/>
  <c r="CL63" i="8"/>
  <c r="CL48" i="8"/>
  <c r="BG60" i="8"/>
  <c r="BG84" i="8"/>
  <c r="BJ55" i="8"/>
  <c r="AX58" i="8"/>
  <c r="AX19" i="8" s="1"/>
  <c r="AX82" i="8"/>
  <c r="AX87" i="8"/>
  <c r="AX55" i="8"/>
  <c r="AZ53" i="8"/>
  <c r="CK99" i="8"/>
  <c r="AZ83" i="8"/>
  <c r="AZ88" i="8" s="1"/>
  <c r="AZ59" i="8"/>
  <c r="AY60" i="8"/>
  <c r="AY84" i="8"/>
  <c r="BX64" i="8"/>
  <c r="BE64" i="8"/>
  <c r="I16" i="8"/>
  <c r="N25" i="8"/>
  <c r="BZ64" i="8"/>
  <c r="BT39" i="8"/>
  <c r="T14" i="8"/>
  <c r="T30" i="8"/>
  <c r="BT41" i="8"/>
  <c r="BY83" i="8" s="1"/>
  <c r="BP25" i="8"/>
  <c r="BT10" i="8"/>
  <c r="BP16" i="8"/>
  <c r="BS11" i="4"/>
  <c r="BS21" i="4" s="1"/>
  <c r="BS8" i="4"/>
  <c r="Y21" i="4"/>
  <c r="AD23" i="4"/>
  <c r="AA92" i="8"/>
  <c r="AA93" i="8"/>
  <c r="AA91" i="8"/>
  <c r="AA94" i="8"/>
  <c r="AF79" i="8"/>
  <c r="BX8" i="4"/>
  <c r="BX11" i="4"/>
  <c r="BX21" i="4" s="1"/>
  <c r="BX23" i="4" s="1"/>
  <c r="BX24" i="4" s="1"/>
  <c r="BT92" i="8"/>
  <c r="BT40" i="8" s="1"/>
  <c r="BU99" i="8"/>
  <c r="BU64" i="8"/>
  <c r="BU89" i="8"/>
  <c r="AE8" i="4"/>
  <c r="Z11" i="4"/>
  <c r="AE23" i="4" s="1"/>
  <c r="BU25" i="8"/>
  <c r="BU16" i="8"/>
  <c r="BY10" i="8"/>
  <c r="BP229" i="1"/>
  <c r="BP80" i="1"/>
  <c r="BP68" i="1"/>
  <c r="BP102" i="1"/>
  <c r="BP174" i="1"/>
  <c r="BP71" i="1"/>
  <c r="BP182" i="1"/>
  <c r="Z68" i="1"/>
  <c r="Y195" i="4" s="1"/>
  <c r="AC182" i="1"/>
  <c r="AD183" i="1"/>
  <c r="Z80" i="1"/>
  <c r="AD182" i="1"/>
  <c r="AB164" i="1"/>
  <c r="Z174" i="1"/>
  <c r="AC183" i="1"/>
  <c r="Z182" i="1"/>
  <c r="Z102" i="1"/>
  <c r="Z164" i="1"/>
  <c r="AB183" i="1"/>
  <c r="AB182" i="1"/>
  <c r="Z183" i="1"/>
  <c r="AA67" i="1"/>
  <c r="AE69" i="1"/>
  <c r="AE148" i="1"/>
  <c r="BZ99" i="8"/>
  <c r="Z10" i="1"/>
  <c r="AE25" i="8"/>
  <c r="AA10" i="8"/>
  <c r="BT79" i="8"/>
  <c r="BT94" i="8"/>
  <c r="BY84" i="8"/>
  <c r="BY31" i="8" s="1"/>
  <c r="BY60" i="8"/>
  <c r="BY21" i="8" s="1"/>
  <c r="AO19" i="8"/>
  <c r="AO62" i="8"/>
  <c r="AL64" i="8"/>
  <c r="AL21" i="8"/>
  <c r="V31" i="8"/>
  <c r="AL31" i="8"/>
  <c r="AK22" i="4" s="1"/>
  <c r="AL89" i="8"/>
  <c r="V21" i="8"/>
  <c r="AP58" i="8"/>
  <c r="AP82" i="8"/>
  <c r="AP87" i="8" s="1"/>
  <c r="CU39" i="1"/>
  <c r="CP39" i="1"/>
  <c r="CC82" i="1"/>
  <c r="CC84" i="1"/>
  <c r="H31" i="8"/>
  <c r="H89" i="8"/>
  <c r="K103" i="1"/>
  <c r="K105" i="1"/>
  <c r="AE89" i="1"/>
  <c r="AE175" i="1"/>
  <c r="AE165" i="1"/>
  <c r="AE87" i="1"/>
  <c r="CB195" i="4"/>
  <c r="AE91" i="1"/>
  <c r="AE188" i="1"/>
  <c r="AE189" i="1" s="1"/>
  <c r="CC30" i="8"/>
  <c r="CC14" i="8"/>
  <c r="AH91" i="1"/>
  <c r="AH92" i="1"/>
  <c r="AH93" i="1" s="1"/>
  <c r="AH188" i="1"/>
  <c r="AH189" i="1" s="1"/>
  <c r="AH110" i="1"/>
  <c r="AH107" i="1"/>
  <c r="BW84" i="1"/>
  <c r="BW82" i="1"/>
  <c r="BV195" i="4"/>
  <c r="CC103" i="1"/>
  <c r="CC105" i="1"/>
  <c r="H16" i="8"/>
  <c r="M25" i="8"/>
  <c r="Y150" i="1"/>
  <c r="Y88" i="1"/>
  <c r="AM183" i="1"/>
  <c r="K84" i="1"/>
  <c r="P149" i="1" s="1"/>
  <c r="K82" i="1"/>
  <c r="K188" i="1" s="1"/>
  <c r="K189" i="1" s="1"/>
  <c r="AH165" i="1"/>
  <c r="AH89" i="1"/>
  <c r="AH175" i="1"/>
  <c r="AH87" i="1"/>
  <c r="BW103" i="1"/>
  <c r="BW105" i="1"/>
  <c r="BS92" i="1"/>
  <c r="BS93" i="1" s="1"/>
  <c r="BS115" i="1"/>
  <c r="BS112" i="1" s="1"/>
  <c r="BS97" i="1"/>
  <c r="BS98" i="1" s="1"/>
  <c r="BS111" i="1"/>
  <c r="BX150" i="1"/>
  <c r="BX88" i="1"/>
  <c r="BX111" i="1"/>
  <c r="BX115" i="1"/>
  <c r="BX112" i="1" s="1"/>
  <c r="BX97" i="1"/>
  <c r="BX98" i="1" s="1"/>
  <c r="AE64" i="3"/>
  <c r="Q75" i="8"/>
  <c r="L91" i="8"/>
  <c r="L52" i="8"/>
  <c r="L9" i="1"/>
  <c r="L10" i="1"/>
  <c r="P81" i="8"/>
  <c r="P86" i="8" s="1"/>
  <c r="AN197" i="1"/>
  <c r="AM218" i="4"/>
  <c r="AZ83" i="2"/>
  <c r="AY84" i="2"/>
  <c r="CS70" i="3"/>
  <c r="CR219" i="4" s="1"/>
  <c r="BD82" i="2"/>
  <c r="BJ195" i="1"/>
  <c r="BI221" i="4"/>
  <c r="BI130" i="2"/>
  <c r="AZ90" i="3"/>
  <c r="BW105" i="4"/>
  <c r="BX105" i="4" s="1"/>
  <c r="BV108" i="4"/>
  <c r="BV109" i="4" s="1"/>
  <c r="CF16" i="8"/>
  <c r="CF25" i="8"/>
  <c r="G91" i="8"/>
  <c r="G52" i="8"/>
  <c r="G9" i="1"/>
  <c r="G10" i="1" s="1"/>
  <c r="L75" i="8"/>
  <c r="BF111" i="1"/>
  <c r="BF115" i="1"/>
  <c r="BF97" i="1"/>
  <c r="F15" i="8"/>
  <c r="K81" i="8"/>
  <c r="K86" i="8" s="1"/>
  <c r="BF201" i="310"/>
  <c r="BQ94" i="4"/>
  <c r="AZ76" i="2"/>
  <c r="CI99" i="3"/>
  <c r="CL119" i="2"/>
  <c r="CL79" i="1" s="1"/>
  <c r="CM117" i="2"/>
  <c r="CM37" i="2" s="1"/>
  <c r="CN37" i="2" s="1"/>
  <c r="CN44" i="2"/>
  <c r="CM56" i="2"/>
  <c r="CO37" i="3"/>
  <c r="CK140" i="2"/>
  <c r="CL127" i="2"/>
  <c r="CH101" i="3"/>
  <c r="CI47" i="3"/>
  <c r="CB16" i="8"/>
  <c r="CB25" i="8"/>
  <c r="BN84" i="1"/>
  <c r="BN82" i="1"/>
  <c r="AP68" i="1"/>
  <c r="AO195" i="4" s="1"/>
  <c r="AP174" i="1"/>
  <c r="BA84" i="1"/>
  <c r="BA82" i="1"/>
  <c r="BD197" i="4"/>
  <c r="BE198" i="1"/>
  <c r="AR82" i="1"/>
  <c r="AR84" i="1"/>
  <c r="BD105" i="1"/>
  <c r="BD103" i="1"/>
  <c r="BO41" i="1"/>
  <c r="AM81" i="1"/>
  <c r="AP81" i="1" s="1"/>
  <c r="D26" i="447"/>
  <c r="AZ195" i="4"/>
  <c r="AI102" i="1"/>
  <c r="AI80" i="1"/>
  <c r="AJ183" i="1"/>
  <c r="AN69" i="1"/>
  <c r="AI174" i="1"/>
  <c r="AI148" i="1"/>
  <c r="AL182" i="1"/>
  <c r="AN148" i="1"/>
  <c r="AI69" i="1"/>
  <c r="AI68" i="1"/>
  <c r="AH195" i="4" s="1"/>
  <c r="AL183" i="1"/>
  <c r="AI164" i="1"/>
  <c r="AJ182" i="1"/>
  <c r="AI183" i="1"/>
  <c r="AJ164" i="1"/>
  <c r="AI182" i="1"/>
  <c r="AK67" i="1"/>
  <c r="BV164" i="1"/>
  <c r="BV174" i="1"/>
  <c r="BV229" i="1"/>
  <c r="BW164" i="1"/>
  <c r="BV102" i="1"/>
  <c r="BV68" i="1"/>
  <c r="BV80" i="1"/>
  <c r="BV71" i="1"/>
  <c r="CB64" i="8"/>
  <c r="CB89" i="8"/>
  <c r="BL107" i="1"/>
  <c r="BL110" i="1"/>
  <c r="CD198" i="1"/>
  <c r="BY67" i="1"/>
  <c r="BY41" i="1"/>
  <c r="BD82" i="1"/>
  <c r="BD84" i="1"/>
  <c r="BM195" i="4"/>
  <c r="BK174" i="1"/>
  <c r="BK102" i="1"/>
  <c r="BK71" i="1"/>
  <c r="BK80" i="1"/>
  <c r="BK68" i="1"/>
  <c r="BP148" i="1"/>
  <c r="BP69" i="1"/>
  <c r="BL182" i="1"/>
  <c r="BK164" i="1"/>
  <c r="BK148" i="1"/>
  <c r="BK69" i="1"/>
  <c r="BL183" i="1"/>
  <c r="BM182" i="1"/>
  <c r="BM183" i="1"/>
  <c r="BN182" i="1"/>
  <c r="BO67" i="1"/>
  <c r="BN183" i="1"/>
  <c r="BL164" i="1"/>
  <c r="BE174" i="1"/>
  <c r="BE68" i="1"/>
  <c r="BD195" i="4" s="1"/>
  <c r="CC8" i="4"/>
  <c r="CC11" i="4"/>
  <c r="CC21" i="4" s="1"/>
  <c r="CC23" i="4" s="1"/>
  <c r="CC24" i="4" s="1"/>
  <c r="BJ26" i="8"/>
  <c r="BE34" i="8"/>
  <c r="BE35" i="8" s="1"/>
  <c r="BE26" i="8"/>
  <c r="R115" i="1"/>
  <c r="R8" i="3"/>
  <c r="R97" i="1"/>
  <c r="R111" i="1"/>
  <c r="BU71" i="1"/>
  <c r="BU102" i="1"/>
  <c r="BU80" i="1"/>
  <c r="BU164" i="1"/>
  <c r="BU68" i="1"/>
  <c r="BU148" i="1"/>
  <c r="BU229" i="1"/>
  <c r="BU69" i="1"/>
  <c r="BU174" i="1"/>
  <c r="BX183" i="1"/>
  <c r="BW182" i="1"/>
  <c r="BV182" i="1"/>
  <c r="BV183" i="1"/>
  <c r="BX182" i="1"/>
  <c r="BW183" i="1"/>
  <c r="BS72" i="1"/>
  <c r="BN72" i="1"/>
  <c r="BN103" i="1"/>
  <c r="BN105" i="1"/>
  <c r="AP102" i="1"/>
  <c r="AP103" i="1" s="1"/>
  <c r="AM103" i="1"/>
  <c r="AM105" i="1"/>
  <c r="BF72" i="1"/>
  <c r="AK41" i="1"/>
  <c r="AJ194" i="4" s="1"/>
  <c r="BL89" i="1"/>
  <c r="BM165" i="1"/>
  <c r="BL87" i="1"/>
  <c r="BL175" i="1"/>
  <c r="P87" i="1"/>
  <c r="R165" i="1"/>
  <c r="P175" i="1"/>
  <c r="P89" i="1"/>
  <c r="P107" i="1"/>
  <c r="P110" i="1"/>
  <c r="I68" i="447"/>
  <c r="I66" i="447"/>
  <c r="I22" i="447"/>
  <c r="BV30" i="8"/>
  <c r="BV14" i="8"/>
  <c r="AJ110" i="1"/>
  <c r="AJ107" i="1"/>
  <c r="AO110" i="1"/>
  <c r="AO107" i="1"/>
  <c r="E111" i="1"/>
  <c r="E115" i="1"/>
  <c r="E112" i="1" s="1"/>
  <c r="E97" i="1"/>
  <c r="E98" i="1" s="1"/>
  <c r="AJ91" i="1"/>
  <c r="AJ92" i="1" s="1"/>
  <c r="AJ93" i="1" s="1"/>
  <c r="AJ188" i="1"/>
  <c r="AJ189" i="1" s="1"/>
  <c r="S107" i="1"/>
  <c r="S110" i="1"/>
  <c r="AO91" i="1"/>
  <c r="AO92" i="1" s="1"/>
  <c r="AO93" i="1" s="1"/>
  <c r="AO188" i="1"/>
  <c r="AO189" i="1" s="1"/>
  <c r="AO175" i="1"/>
  <c r="AO165" i="1"/>
  <c r="AO89" i="1"/>
  <c r="AO149" i="1"/>
  <c r="AO87" i="1"/>
  <c r="BS166" i="1"/>
  <c r="AG165" i="1"/>
  <c r="AG149" i="1"/>
  <c r="AG175" i="1"/>
  <c r="AG87" i="1"/>
  <c r="AG89" i="1"/>
  <c r="AB91" i="1"/>
  <c r="AB92" i="1" s="1"/>
  <c r="AB93" i="1" s="1"/>
  <c r="AB188" i="1"/>
  <c r="AB189" i="1"/>
  <c r="W150" i="1"/>
  <c r="W88" i="1"/>
  <c r="R150" i="1"/>
  <c r="R88" i="1"/>
  <c r="AQ110" i="1"/>
  <c r="AQ107" i="1"/>
  <c r="J107" i="1"/>
  <c r="J110" i="1"/>
  <c r="AG110" i="1"/>
  <c r="AG107" i="1"/>
  <c r="AQ91" i="1"/>
  <c r="AQ92" i="1" s="1"/>
  <c r="AQ93" i="1" s="1"/>
  <c r="AQ188" i="1"/>
  <c r="AQ189" i="1" s="1"/>
  <c r="S87" i="1"/>
  <c r="S175" i="1"/>
  <c r="S165" i="1"/>
  <c r="S89" i="1"/>
  <c r="S149" i="1"/>
  <c r="T165" i="1"/>
  <c r="AJ87" i="1"/>
  <c r="AJ150" i="1"/>
  <c r="AJ89" i="1"/>
  <c r="AJ175" i="1"/>
  <c r="AJ149" i="1"/>
  <c r="AQ87" i="1"/>
  <c r="AQ165" i="1"/>
  <c r="AQ175" i="1"/>
  <c r="AQ89" i="1"/>
  <c r="AG91" i="1"/>
  <c r="AG92" i="1" s="1"/>
  <c r="AG93" i="1" s="1"/>
  <c r="AG188" i="1"/>
  <c r="AG189" i="1" s="1"/>
  <c r="AB149" i="1"/>
  <c r="AB175" i="1"/>
  <c r="AB89" i="1"/>
  <c r="AB87" i="1"/>
  <c r="J175" i="1"/>
  <c r="J89" i="1"/>
  <c r="J149" i="1"/>
  <c r="J87" i="1"/>
  <c r="M33" i="3"/>
  <c r="M51" i="3" s="1"/>
  <c r="M62" i="3"/>
  <c r="M87" i="3" s="1"/>
  <c r="BY64" i="8"/>
  <c r="AY87" i="1"/>
  <c r="AY175" i="1"/>
  <c r="AY89" i="1"/>
  <c r="AY91" i="1"/>
  <c r="AY92" i="1" s="1"/>
  <c r="AY93" i="1" s="1"/>
  <c r="AY188" i="1"/>
  <c r="AY189" i="1" s="1"/>
  <c r="AY107" i="1"/>
  <c r="AY110" i="1"/>
  <c r="CL47" i="8"/>
  <c r="CL49" i="8" s="1"/>
  <c r="AD150" i="1"/>
  <c r="AD88" i="1"/>
  <c r="AZ58" i="8"/>
  <c r="AZ82" i="8"/>
  <c r="AZ87" i="8" s="1"/>
  <c r="BJ84" i="8"/>
  <c r="BJ60" i="8"/>
  <c r="BY89" i="8"/>
  <c r="AX84" i="8"/>
  <c r="AX60" i="8"/>
  <c r="BG31" i="8"/>
  <c r="BG89" i="8"/>
  <c r="BG21" i="8"/>
  <c r="BG64" i="8"/>
  <c r="I14" i="8"/>
  <c r="AZ55" i="8"/>
  <c r="AZ84" i="8"/>
  <c r="AZ60" i="8"/>
  <c r="AZ20" i="8"/>
  <c r="AZ63" i="8"/>
  <c r="AY31" i="8"/>
  <c r="AY89" i="8"/>
  <c r="AY21" i="8"/>
  <c r="AY64" i="8"/>
  <c r="BY77" i="8"/>
  <c r="BY75" i="8"/>
  <c r="BY86" i="8" s="1"/>
  <c r="BT75" i="8"/>
  <c r="BT86" i="8" s="1"/>
  <c r="AA10" i="1"/>
  <c r="BP82" i="1"/>
  <c r="BP84" i="1"/>
  <c r="BP165" i="1"/>
  <c r="BT10" i="1"/>
  <c r="BY16" i="8"/>
  <c r="BY30" i="8" s="1"/>
  <c r="BY25" i="8"/>
  <c r="BT16" i="8"/>
  <c r="BO10" i="1"/>
  <c r="AF69" i="1"/>
  <c r="AF148" i="1"/>
  <c r="BU14" i="8"/>
  <c r="BU30" i="8"/>
  <c r="Z84" i="1"/>
  <c r="Z82" i="1"/>
  <c r="Z188" i="1" s="1"/>
  <c r="Z189" i="1" s="1"/>
  <c r="BP105" i="1"/>
  <c r="BP103" i="1"/>
  <c r="Z103" i="1"/>
  <c r="BO195" i="4"/>
  <c r="Z21" i="4"/>
  <c r="BP14" i="8"/>
  <c r="BP30" i="8"/>
  <c r="AP62" i="8"/>
  <c r="AP19" i="8"/>
  <c r="L81" i="8"/>
  <c r="L86" i="8" s="1"/>
  <c r="AH115" i="1"/>
  <c r="AH112" i="1" s="1"/>
  <c r="AH111" i="1"/>
  <c r="AH97" i="1"/>
  <c r="AH98" i="1" s="1"/>
  <c r="AH166" i="1"/>
  <c r="BW91" i="1"/>
  <c r="BW92" i="1"/>
  <c r="BW93" i="1" s="1"/>
  <c r="BW188" i="1"/>
  <c r="BW189" i="1" s="1"/>
  <c r="AE166" i="1"/>
  <c r="CC175" i="1"/>
  <c r="CC89" i="1"/>
  <c r="CC87" i="1"/>
  <c r="CC149" i="1"/>
  <c r="H14" i="8"/>
  <c r="BW107" i="1"/>
  <c r="BW110" i="1"/>
  <c r="CC107" i="1"/>
  <c r="CC110" i="1"/>
  <c r="BW89" i="1"/>
  <c r="BW149" i="1"/>
  <c r="BW87" i="1"/>
  <c r="BW175" i="1"/>
  <c r="BX165" i="1"/>
  <c r="AE92" i="1"/>
  <c r="AE93" i="1" s="1"/>
  <c r="K107" i="1"/>
  <c r="K110" i="1"/>
  <c r="CC91" i="1"/>
  <c r="CC92" i="1" s="1"/>
  <c r="CC93" i="1" s="1"/>
  <c r="CC188" i="1"/>
  <c r="CC189" i="1" s="1"/>
  <c r="CC114" i="3"/>
  <c r="K89" i="1"/>
  <c r="K165" i="1"/>
  <c r="K87" i="1"/>
  <c r="P88" i="1" s="1"/>
  <c r="K175" i="1"/>
  <c r="M165" i="1"/>
  <c r="Q81" i="8"/>
  <c r="Q86" i="8" s="1"/>
  <c r="BY105" i="4"/>
  <c r="BY108" i="4" s="1"/>
  <c r="BW108" i="4"/>
  <c r="CF30" i="8"/>
  <c r="CF14" i="8"/>
  <c r="BF112" i="1"/>
  <c r="BF98" i="1"/>
  <c r="BG201" i="310"/>
  <c r="BR94" i="4"/>
  <c r="CM119" i="2"/>
  <c r="CO117" i="2"/>
  <c r="CO119" i="2" s="1"/>
  <c r="CO79" i="1" s="1"/>
  <c r="CO42" i="3"/>
  <c r="CO96" i="3" s="1"/>
  <c r="CO56" i="2"/>
  <c r="CP44" i="2"/>
  <c r="CP42" i="3" s="1"/>
  <c r="CP96" i="3" s="1"/>
  <c r="CO91" i="3"/>
  <c r="CK19" i="2"/>
  <c r="CL132" i="2"/>
  <c r="CL136" i="2" s="1"/>
  <c r="CL140" i="2"/>
  <c r="CM127" i="2"/>
  <c r="CN127" i="2" s="1"/>
  <c r="BK82" i="1"/>
  <c r="BK84" i="1"/>
  <c r="BO80" i="1"/>
  <c r="BO82" i="1" s="1"/>
  <c r="BO188" i="1" s="1"/>
  <c r="BO189" i="1" s="1"/>
  <c r="BY81" i="310"/>
  <c r="H67" i="447"/>
  <c r="BX194" i="4"/>
  <c r="F67" i="447"/>
  <c r="BN194" i="4"/>
  <c r="BO81" i="310"/>
  <c r="AR87" i="1"/>
  <c r="AR89" i="1"/>
  <c r="AR165" i="1"/>
  <c r="AR175" i="1"/>
  <c r="BN110" i="1"/>
  <c r="BN107" i="1"/>
  <c r="BU105" i="1"/>
  <c r="BU103" i="1"/>
  <c r="BY102" i="1"/>
  <c r="BY103" i="1" s="1"/>
  <c r="R98" i="1"/>
  <c r="BP72" i="1"/>
  <c r="BK72" i="1"/>
  <c r="BO71" i="1"/>
  <c r="BY68" i="1"/>
  <c r="BY174" i="1"/>
  <c r="BY229" i="1"/>
  <c r="BV82" i="1"/>
  <c r="BV84" i="1"/>
  <c r="BU195" i="4"/>
  <c r="AK148" i="1"/>
  <c r="AK174" i="1"/>
  <c r="AK69" i="1"/>
  <c r="AK68" i="1"/>
  <c r="AJ195" i="4" s="1"/>
  <c r="AI82" i="1"/>
  <c r="AI84" i="1"/>
  <c r="AK80" i="1"/>
  <c r="AK82" i="1" s="1"/>
  <c r="AK121" i="1" s="1"/>
  <c r="BD107" i="1"/>
  <c r="BD110" i="1"/>
  <c r="AR107" i="1"/>
  <c r="AR91" i="1"/>
  <c r="AR188" i="1"/>
  <c r="AR189" i="1" s="1"/>
  <c r="BA91" i="1"/>
  <c r="BA188" i="1"/>
  <c r="BA189" i="1" s="1"/>
  <c r="AP69" i="1"/>
  <c r="BN91" i="1"/>
  <c r="BN92" i="1" s="1"/>
  <c r="BN93" i="1" s="1"/>
  <c r="BS94" i="1" s="1"/>
  <c r="BN188" i="1"/>
  <c r="BN189" i="1" s="1"/>
  <c r="CB14" i="8"/>
  <c r="CB30" i="8"/>
  <c r="AM110" i="1"/>
  <c r="AM107" i="1"/>
  <c r="BU82" i="1"/>
  <c r="BU84" i="1"/>
  <c r="BY80" i="1"/>
  <c r="BY82" i="1" s="1"/>
  <c r="BU72" i="1"/>
  <c r="BY71" i="1"/>
  <c r="S8" i="3"/>
  <c r="S33" i="3" s="1"/>
  <c r="S51" i="3" s="1"/>
  <c r="R33" i="3"/>
  <c r="R51" i="3" s="1"/>
  <c r="R62" i="3"/>
  <c r="BO68" i="1"/>
  <c r="BO229" i="1"/>
  <c r="BO174" i="1"/>
  <c r="BK103" i="1"/>
  <c r="BO102" i="1"/>
  <c r="BO103" i="1" s="1"/>
  <c r="BK105" i="1"/>
  <c r="BD87" i="1"/>
  <c r="BD89" i="1"/>
  <c r="BD175" i="1"/>
  <c r="BI149" i="1"/>
  <c r="BF165" i="1"/>
  <c r="BD149" i="1"/>
  <c r="BL115" i="1"/>
  <c r="BL112" i="1" s="1"/>
  <c r="BL111" i="1"/>
  <c r="BL97" i="1"/>
  <c r="BL98" i="1" s="1"/>
  <c r="BV103" i="1"/>
  <c r="BV105" i="1"/>
  <c r="AI105" i="1"/>
  <c r="AI103" i="1"/>
  <c r="AK102" i="1"/>
  <c r="AK103" i="1" s="1"/>
  <c r="BA89" i="1"/>
  <c r="BA175" i="1"/>
  <c r="BA92" i="1"/>
  <c r="BA93" i="1" s="1"/>
  <c r="BF94" i="1" s="1"/>
  <c r="BA87" i="1"/>
  <c r="BB165" i="1"/>
  <c r="BF149" i="1"/>
  <c r="BA165" i="1"/>
  <c r="BN165" i="1"/>
  <c r="BN149" i="1"/>
  <c r="BN87" i="1"/>
  <c r="BN175" i="1"/>
  <c r="BS149" i="1"/>
  <c r="BN89" i="1"/>
  <c r="BT195" i="4"/>
  <c r="R112" i="1"/>
  <c r="BJ195" i="4"/>
  <c r="BD91" i="1"/>
  <c r="BD92" i="1" s="1"/>
  <c r="BD93" i="1" s="1"/>
  <c r="BD188" i="1"/>
  <c r="BD189" i="1" s="1"/>
  <c r="AM84" i="1"/>
  <c r="AR149" i="1" s="1"/>
  <c r="AP148" i="1"/>
  <c r="R166" i="1"/>
  <c r="T185" i="1"/>
  <c r="P111" i="1"/>
  <c r="P115" i="1"/>
  <c r="P97" i="1"/>
  <c r="AQ166" i="1"/>
  <c r="J88" i="1"/>
  <c r="J150" i="1"/>
  <c r="S88" i="1"/>
  <c r="S166" i="1"/>
  <c r="S150" i="1"/>
  <c r="T166" i="1"/>
  <c r="AO166" i="1"/>
  <c r="AO88" i="1"/>
  <c r="AO150" i="1"/>
  <c r="AO115" i="1"/>
  <c r="AO112" i="1" s="1"/>
  <c r="AO97" i="1"/>
  <c r="AO98" i="1" s="1"/>
  <c r="AO111" i="1"/>
  <c r="AJ115" i="1"/>
  <c r="AJ112" i="1" s="1"/>
  <c r="AJ97" i="1"/>
  <c r="AJ98" i="1" s="1"/>
  <c r="AJ111" i="1"/>
  <c r="AQ115" i="1"/>
  <c r="AU115" i="1" s="1"/>
  <c r="AQ97" i="1"/>
  <c r="AQ98" i="1" s="1"/>
  <c r="AQ111" i="1"/>
  <c r="AQ8" i="3"/>
  <c r="AQ112" i="1"/>
  <c r="AJ88" i="1"/>
  <c r="AB150" i="1"/>
  <c r="AB88" i="1"/>
  <c r="AG111" i="1"/>
  <c r="AG8" i="3"/>
  <c r="AG115" i="1"/>
  <c r="AG112" i="1" s="1"/>
  <c r="AG97" i="1"/>
  <c r="AG98" i="1" s="1"/>
  <c r="S97" i="1"/>
  <c r="S115" i="1"/>
  <c r="S111" i="1"/>
  <c r="J97" i="1"/>
  <c r="J98" i="1" s="1"/>
  <c r="J115" i="1"/>
  <c r="J112" i="1" s="1"/>
  <c r="J111" i="1"/>
  <c r="AG150" i="1"/>
  <c r="AG166" i="1"/>
  <c r="AG88" i="1"/>
  <c r="AY111" i="1"/>
  <c r="AY115" i="1"/>
  <c r="AY112" i="1" s="1"/>
  <c r="AY97" i="1"/>
  <c r="AY98" i="1" s="1"/>
  <c r="CM79" i="1"/>
  <c r="AX21" i="8"/>
  <c r="AX64" i="8"/>
  <c r="BJ21" i="8"/>
  <c r="BJ64" i="8"/>
  <c r="AX31" i="8"/>
  <c r="AX89" i="8"/>
  <c r="BJ31" i="8"/>
  <c r="BJ89" i="8"/>
  <c r="AZ19" i="8"/>
  <c r="AZ62" i="8"/>
  <c r="AZ31" i="8"/>
  <c r="AZ21" i="8"/>
  <c r="BP110" i="1"/>
  <c r="BP107" i="1"/>
  <c r="Z165" i="1"/>
  <c r="Z89" i="1"/>
  <c r="Z87" i="1"/>
  <c r="Z175" i="1"/>
  <c r="AB165" i="1"/>
  <c r="AE149" i="1"/>
  <c r="BP89" i="1"/>
  <c r="BP87" i="1"/>
  <c r="BP175" i="1"/>
  <c r="BP91" i="1"/>
  <c r="BP188" i="1"/>
  <c r="BP189" i="1" s="1"/>
  <c r="P150" i="1"/>
  <c r="BW150" i="1"/>
  <c r="BW88" i="1"/>
  <c r="BX166" i="1"/>
  <c r="CC88" i="1"/>
  <c r="CC150" i="1"/>
  <c r="CC111" i="1"/>
  <c r="CC115" i="1"/>
  <c r="CC112" i="1" s="1"/>
  <c r="CC97" i="1"/>
  <c r="CC98" i="1" s="1"/>
  <c r="BW115" i="1"/>
  <c r="BW112" i="1" s="1"/>
  <c r="BW97" i="1"/>
  <c r="BW98" i="1" s="1"/>
  <c r="BW111" i="1"/>
  <c r="K166" i="1"/>
  <c r="N185" i="1"/>
  <c r="M166" i="1"/>
  <c r="K97" i="1"/>
  <c r="K111" i="1"/>
  <c r="K115" i="1"/>
  <c r="CG99" i="2"/>
  <c r="CG141" i="1"/>
  <c r="BJ167" i="310"/>
  <c r="BH201" i="310"/>
  <c r="BT94" i="4"/>
  <c r="CG190" i="1"/>
  <c r="R113" i="1"/>
  <c r="BF166" i="1"/>
  <c r="BD150" i="1"/>
  <c r="BD88" i="1"/>
  <c r="AI91" i="1"/>
  <c r="AK91" i="1"/>
  <c r="AI188" i="1"/>
  <c r="AI189" i="1" s="1"/>
  <c r="BU107" i="1"/>
  <c r="BU110" i="1"/>
  <c r="BY105" i="1"/>
  <c r="BY107" i="1" s="1"/>
  <c r="BN111" i="1"/>
  <c r="BN115" i="1"/>
  <c r="BN112" i="1" s="1"/>
  <c r="BN97" i="1"/>
  <c r="BN98" i="1" s="1"/>
  <c r="AR92" i="1"/>
  <c r="AR93" i="1" s="1"/>
  <c r="AR94" i="1" s="1"/>
  <c r="BP166" i="1"/>
  <c r="BS88" i="1"/>
  <c r="BS150" i="1"/>
  <c r="BK107" i="1"/>
  <c r="BK110" i="1"/>
  <c r="BO105" i="1"/>
  <c r="BO107" i="1" s="1"/>
  <c r="BN195" i="4"/>
  <c r="S62" i="3"/>
  <c r="S87" i="3" s="1"/>
  <c r="AK188" i="1"/>
  <c r="AK189" i="1" s="1"/>
  <c r="BV87" i="1"/>
  <c r="BV165" i="1"/>
  <c r="BV89" i="1"/>
  <c r="BV175" i="1"/>
  <c r="BW165" i="1"/>
  <c r="R99" i="1"/>
  <c r="BO121" i="1"/>
  <c r="AI110" i="1"/>
  <c r="AI107" i="1"/>
  <c r="AK105" i="1"/>
  <c r="AK107" i="1" s="1"/>
  <c r="BU89" i="1"/>
  <c r="BU165" i="1"/>
  <c r="BU149" i="1"/>
  <c r="BU175" i="1"/>
  <c r="BU87" i="1"/>
  <c r="BY84" i="1"/>
  <c r="AM111" i="1"/>
  <c r="AM115" i="1"/>
  <c r="AM112" i="1" s="1"/>
  <c r="AM113" i="1" s="1"/>
  <c r="AM97" i="1"/>
  <c r="AM98" i="1" s="1"/>
  <c r="AM99" i="1" s="1"/>
  <c r="BD97" i="1"/>
  <c r="BD98" i="1" s="1"/>
  <c r="BD111" i="1"/>
  <c r="BD115" i="1"/>
  <c r="BD112" i="1" s="1"/>
  <c r="BV91" i="1"/>
  <c r="BV92" i="1"/>
  <c r="BV93" i="1" s="1"/>
  <c r="BV114" i="3"/>
  <c r="BV188" i="1"/>
  <c r="BV189" i="1" s="1"/>
  <c r="AR185" i="1"/>
  <c r="AR166" i="1"/>
  <c r="F68" i="447"/>
  <c r="F66" i="447"/>
  <c r="F22" i="447"/>
  <c r="BK89" i="1"/>
  <c r="BO89" i="1"/>
  <c r="BK87" i="1"/>
  <c r="BK175" i="1"/>
  <c r="BO84" i="1"/>
  <c r="BK149" i="1"/>
  <c r="BK165" i="1"/>
  <c r="BP149" i="1"/>
  <c r="BL165" i="1"/>
  <c r="AN165" i="1"/>
  <c r="AM87" i="1"/>
  <c r="AR88" i="1"/>
  <c r="AM149" i="1"/>
  <c r="AM175" i="1"/>
  <c r="AM92" i="1"/>
  <c r="AM93" i="1"/>
  <c r="AM94" i="1" s="1"/>
  <c r="AM89" i="1"/>
  <c r="BB166" i="1"/>
  <c r="BF88" i="1"/>
  <c r="BA166" i="1"/>
  <c r="BF150" i="1"/>
  <c r="BV110" i="1"/>
  <c r="BV107" i="1"/>
  <c r="R87" i="3"/>
  <c r="R105" i="3" s="1"/>
  <c r="BU91" i="1"/>
  <c r="BU188" i="1"/>
  <c r="BU189" i="1" s="1"/>
  <c r="AI87" i="1"/>
  <c r="AN149" i="1"/>
  <c r="AJ165" i="1"/>
  <c r="AI89" i="1"/>
  <c r="AK89" i="1" s="1"/>
  <c r="AI149" i="1"/>
  <c r="AI175" i="1"/>
  <c r="AK84" i="1"/>
  <c r="AI165" i="1"/>
  <c r="BX195" i="4"/>
  <c r="H66" i="447"/>
  <c r="H22" i="447"/>
  <c r="H68" i="447"/>
  <c r="F33" i="447"/>
  <c r="BK91" i="1"/>
  <c r="BK188" i="1"/>
  <c r="BK189" i="1"/>
  <c r="CI45" i="2"/>
  <c r="CN73" i="2" s="1"/>
  <c r="P112" i="1"/>
  <c r="P98" i="1"/>
  <c r="CF202" i="4"/>
  <c r="CF211" i="4"/>
  <c r="CG81" i="3"/>
  <c r="CG80" i="3"/>
  <c r="CG86" i="3" s="1"/>
  <c r="J99" i="1"/>
  <c r="S112" i="1"/>
  <c r="AH8" i="3"/>
  <c r="AG33" i="3"/>
  <c r="AG51" i="3" s="1"/>
  <c r="AG62" i="3"/>
  <c r="S98" i="1"/>
  <c r="AQ62" i="3"/>
  <c r="AQ87" i="3" s="1"/>
  <c r="AQ33" i="3"/>
  <c r="BP92" i="1"/>
  <c r="BP93" i="1"/>
  <c r="Z166" i="1"/>
  <c r="AB166" i="1"/>
  <c r="AE150" i="1"/>
  <c r="AE88" i="1"/>
  <c r="BP97" i="1"/>
  <c r="BP115" i="1"/>
  <c r="BP112" i="1" s="1"/>
  <c r="BP111" i="1"/>
  <c r="K112" i="1"/>
  <c r="K98" i="1"/>
  <c r="AI92" i="1"/>
  <c r="AI93" i="1" s="1"/>
  <c r="BY89" i="1"/>
  <c r="CF215" i="4"/>
  <c r="BI201" i="310"/>
  <c r="BU94" i="4"/>
  <c r="BV94" i="4" s="1"/>
  <c r="BW94" i="4" s="1"/>
  <c r="BY94" i="4" s="1"/>
  <c r="BV112" i="1"/>
  <c r="BK92" i="1"/>
  <c r="BK93" i="1" s="1"/>
  <c r="BK115" i="1"/>
  <c r="BK112" i="1" s="1"/>
  <c r="BK113" i="1" s="1"/>
  <c r="BO110" i="1"/>
  <c r="BK97" i="1"/>
  <c r="BK111" i="1"/>
  <c r="BS113" i="1"/>
  <c r="BP150" i="1"/>
  <c r="BL166" i="1"/>
  <c r="BD99" i="1"/>
  <c r="AI111" i="1"/>
  <c r="AI115" i="1"/>
  <c r="AI112" i="1" s="1"/>
  <c r="AI97" i="1"/>
  <c r="AK110" i="1"/>
  <c r="AK111" i="1" s="1"/>
  <c r="AN88" i="1"/>
  <c r="AJ166" i="1"/>
  <c r="AI150" i="1"/>
  <c r="AN150" i="1"/>
  <c r="AI88" i="1"/>
  <c r="AI185" i="1"/>
  <c r="AJ185" i="1"/>
  <c r="AI166" i="1"/>
  <c r="AN166" i="1"/>
  <c r="AQ185" i="1"/>
  <c r="AM150" i="1"/>
  <c r="AM88" i="1"/>
  <c r="BO175" i="1"/>
  <c r="BO87" i="1"/>
  <c r="BN207" i="4"/>
  <c r="AR150" i="1"/>
  <c r="BY175" i="1"/>
  <c r="BX207" i="4"/>
  <c r="AK87" i="1"/>
  <c r="AK175" i="1"/>
  <c r="AJ207" i="4"/>
  <c r="BD113" i="1"/>
  <c r="BX185" i="1"/>
  <c r="BU150" i="1"/>
  <c r="BU88" i="1"/>
  <c r="BU166" i="1"/>
  <c r="BU92" i="1"/>
  <c r="BU93" i="1" s="1"/>
  <c r="BU94" i="1" s="1"/>
  <c r="BV166" i="1"/>
  <c r="BU115" i="1"/>
  <c r="BY115" i="1" s="1"/>
  <c r="BU97" i="1"/>
  <c r="BU111" i="1"/>
  <c r="CG54" i="8"/>
  <c r="CG77" i="8"/>
  <c r="CG76" i="8"/>
  <c r="CG53" i="8"/>
  <c r="CG77" i="3"/>
  <c r="CG52" i="8"/>
  <c r="CG75" i="8"/>
  <c r="CG9" i="8"/>
  <c r="CG74" i="3"/>
  <c r="CG78" i="3"/>
  <c r="CG31" i="3"/>
  <c r="AH33" i="3"/>
  <c r="AH51" i="3" s="1"/>
  <c r="BP98" i="1"/>
  <c r="CK215" i="4"/>
  <c r="BK201" i="310"/>
  <c r="BU112" i="1"/>
  <c r="BK98" i="1"/>
  <c r="BK99" i="1" s="1"/>
  <c r="BO97" i="1"/>
  <c r="BO98" i="1" s="1"/>
  <c r="BO111" i="1"/>
  <c r="AI98" i="1"/>
  <c r="AK97" i="1"/>
  <c r="AK98" i="1" s="1"/>
  <c r="BO115" i="1"/>
  <c r="CG32" i="3"/>
  <c r="CG76" i="3"/>
  <c r="CG24" i="8"/>
  <c r="CG15" i="8"/>
  <c r="CG81" i="8"/>
  <c r="CG86" i="8" s="1"/>
  <c r="CG55" i="8"/>
  <c r="CG83" i="8"/>
  <c r="CG88" i="8" s="1"/>
  <c r="CG59" i="8"/>
  <c r="CG20" i="8" s="1"/>
  <c r="CG75" i="3"/>
  <c r="CG85" i="3"/>
  <c r="CI125" i="2"/>
  <c r="CG58" i="8"/>
  <c r="CG19" i="8" s="1"/>
  <c r="CG82" i="8"/>
  <c r="CG87" i="8" s="1"/>
  <c r="CG43" i="2"/>
  <c r="CG51" i="2" s="1"/>
  <c r="CP215" i="4"/>
  <c r="CU215" i="4"/>
  <c r="BL201" i="310"/>
  <c r="AN113" i="1"/>
  <c r="BP99" i="1"/>
  <c r="BU113" i="1"/>
  <c r="AN99" i="1"/>
  <c r="CG29" i="8"/>
  <c r="CF220" i="4"/>
  <c r="CG84" i="8"/>
  <c r="CG31" i="8" s="1"/>
  <c r="CG60" i="8"/>
  <c r="BO167" i="310"/>
  <c r="BM201" i="310"/>
  <c r="CG21" i="8"/>
  <c r="BN201" i="310"/>
  <c r="BP201" i="310"/>
  <c r="CG62" i="3"/>
  <c r="CH74" i="4"/>
  <c r="CG75" i="4"/>
  <c r="CG88" i="2"/>
  <c r="CG89" i="2" s="1"/>
  <c r="BQ201" i="310"/>
  <c r="CH111" i="4"/>
  <c r="CI72" i="310"/>
  <c r="CH78" i="4"/>
  <c r="BR201" i="310"/>
  <c r="CH113" i="4"/>
  <c r="CH114" i="4"/>
  <c r="CH116" i="4"/>
  <c r="CH154" i="1"/>
  <c r="CH138" i="1"/>
  <c r="CI21" i="1"/>
  <c r="CI22" i="1" s="1"/>
  <c r="BS201" i="310"/>
  <c r="BT167" i="310"/>
  <c r="CP82" i="1"/>
  <c r="CP91" i="1" s="1"/>
  <c r="CO91" i="1"/>
  <c r="CI138" i="1"/>
  <c r="BU201" i="310"/>
  <c r="CQ82" i="1"/>
  <c r="CR82" i="1" s="1"/>
  <c r="CT82" i="1" s="1"/>
  <c r="CG192" i="1"/>
  <c r="BV201" i="310"/>
  <c r="CG15" i="2"/>
  <c r="CG24" i="2" s="1"/>
  <c r="CF199" i="4" s="1"/>
  <c r="CF210" i="4"/>
  <c r="CF214" i="4" s="1"/>
  <c r="BW201" i="310"/>
  <c r="CI78" i="1"/>
  <c r="BX201" i="310"/>
  <c r="BY167" i="310"/>
  <c r="CI76" i="1"/>
  <c r="BZ201" i="310"/>
  <c r="CI104" i="1"/>
  <c r="CA201" i="310"/>
  <c r="CB201" i="310"/>
  <c r="CD167" i="310"/>
  <c r="CC201" i="310"/>
  <c r="CE201" i="310"/>
  <c r="CF201" i="310"/>
  <c r="CG201" i="310"/>
  <c r="CJ167" i="310"/>
  <c r="CJ201" i="310" s="1"/>
  <c r="CI167" i="310"/>
  <c r="CI79" i="310"/>
  <c r="CI36" i="1"/>
  <c r="CI37" i="1" s="1"/>
  <c r="CI40" i="1" s="1"/>
  <c r="CM40" i="1"/>
  <c r="CG68" i="2"/>
  <c r="CG69" i="2" s="1"/>
  <c r="CG57" i="2"/>
  <c r="CG33" i="3"/>
  <c r="CG64" i="3"/>
  <c r="CG140" i="2" s="1"/>
  <c r="CG138" i="2" s="1"/>
  <c r="CG40" i="3"/>
  <c r="CG89" i="3"/>
  <c r="CG126" i="2" s="1"/>
  <c r="CG49" i="3"/>
  <c r="CG51" i="3"/>
  <c r="CG97" i="3"/>
  <c r="CG82" i="2" s="1"/>
  <c r="CG100" i="3"/>
  <c r="CG83" i="2"/>
  <c r="CG103" i="3"/>
  <c r="CF119" i="1"/>
  <c r="CF63" i="2"/>
  <c r="CF61" i="2" s="1"/>
  <c r="CH68" i="2"/>
  <c r="CH69" i="2" s="1"/>
  <c r="CK69" i="2" s="1"/>
  <c r="CL69" i="2" s="1"/>
  <c r="CM69" i="2" s="1"/>
  <c r="CO69" i="2" s="1"/>
  <c r="CP69" i="2" s="1"/>
  <c r="CQ69" i="2" s="1"/>
  <c r="CR69" i="2" s="1"/>
  <c r="CT69" i="2" s="1"/>
  <c r="CU69" i="2" s="1"/>
  <c r="CV69" i="2" s="1"/>
  <c r="CW69" i="2" s="1"/>
  <c r="CI116" i="1"/>
  <c r="CH57" i="2"/>
  <c r="CI114" i="1"/>
  <c r="CI117" i="1" s="1"/>
  <c r="CI70" i="2"/>
  <c r="CI47" i="2"/>
  <c r="CI37" i="2"/>
  <c r="CJ98" i="3"/>
  <c r="CH98" i="3"/>
  <c r="CI98" i="3" s="1"/>
  <c r="CI44" i="3"/>
  <c r="CK44" i="3"/>
  <c r="CG57" i="310"/>
  <c r="CG58" i="310" s="1"/>
  <c r="CF89" i="4"/>
  <c r="CI13" i="310"/>
  <c r="CI14" i="310" s="1"/>
  <c r="J59" i="447" s="1"/>
  <c r="J12" i="447" s="1"/>
  <c r="CH33" i="310"/>
  <c r="CH64" i="310"/>
  <c r="CH63" i="310"/>
  <c r="CH32" i="310"/>
  <c r="CI31" i="310"/>
  <c r="CH57" i="310"/>
  <c r="CH58" i="310" s="1"/>
  <c r="CI48" i="310"/>
  <c r="CH62" i="310"/>
  <c r="CH137" i="1"/>
  <c r="CI34" i="1"/>
  <c r="CH190" i="1"/>
  <c r="CI14" i="2"/>
  <c r="CJ21" i="3" s="1"/>
  <c r="CG202" i="4"/>
  <c r="CI28" i="2"/>
  <c r="CH144" i="1"/>
  <c r="CH51" i="1"/>
  <c r="CH50" i="1"/>
  <c r="CH160" i="1"/>
  <c r="CI48" i="1"/>
  <c r="CI50" i="1" s="1"/>
  <c r="CI40" i="8"/>
  <c r="CI39" i="8"/>
  <c r="CI41" i="8"/>
  <c r="CI22" i="2"/>
  <c r="CI39" i="2"/>
  <c r="CH47" i="1"/>
  <c r="CH46" i="1"/>
  <c r="CH143" i="1"/>
  <c r="CH159" i="1"/>
  <c r="CI44" i="1"/>
  <c r="CI143" i="1" s="1"/>
  <c r="CG211" i="4"/>
  <c r="CI10" i="2"/>
  <c r="CJ20" i="3" s="1"/>
  <c r="CH161" i="1"/>
  <c r="CH54" i="1"/>
  <c r="CH145" i="1"/>
  <c r="CH55" i="1"/>
  <c r="CI52" i="1"/>
  <c r="CI145" i="1" s="1"/>
  <c r="CI9" i="1"/>
  <c r="CM48" i="8"/>
  <c r="CI54" i="1"/>
  <c r="CI20" i="3"/>
  <c r="CH74" i="3"/>
  <c r="CI74" i="3" s="1"/>
  <c r="CI27" i="3"/>
  <c r="CH81" i="3"/>
  <c r="CI81" i="3" s="1"/>
  <c r="CH146" i="1"/>
  <c r="CH162" i="1"/>
  <c r="CI65" i="1"/>
  <c r="CI21" i="3"/>
  <c r="CH77" i="3"/>
  <c r="CI77" i="3" s="1"/>
  <c r="CH78" i="3"/>
  <c r="CH85" i="3" s="1"/>
  <c r="CI24" i="3"/>
  <c r="CH9" i="8"/>
  <c r="CI26" i="3"/>
  <c r="CH80" i="3"/>
  <c r="CI80" i="3" s="1"/>
  <c r="CI17" i="2"/>
  <c r="CI26" i="2"/>
  <c r="CH24" i="8"/>
  <c r="CH15" i="8"/>
  <c r="CI27" i="2"/>
  <c r="CI34" i="2"/>
  <c r="CH43" i="2"/>
  <c r="CI43" i="2" s="1"/>
  <c r="CH200" i="4" s="1"/>
  <c r="CI81" i="1"/>
  <c r="CH29" i="8"/>
  <c r="CI22" i="3"/>
  <c r="CH75" i="3"/>
  <c r="CH32" i="3"/>
  <c r="CH33" i="3" s="1"/>
  <c r="CI23" i="3"/>
  <c r="CH76" i="3"/>
  <c r="CI76" i="3" s="1"/>
  <c r="CI106" i="1"/>
  <c r="CI8" i="3"/>
  <c r="CH62" i="3"/>
  <c r="CH88" i="2" s="1"/>
  <c r="CN87" i="2"/>
  <c r="CI48" i="2"/>
  <c r="CI15" i="2"/>
  <c r="CI8" i="2"/>
  <c r="CH210" i="4" s="1"/>
  <c r="CH214" i="4" s="1"/>
  <c r="CH53" i="2"/>
  <c r="CG210" i="4"/>
  <c r="CG214" i="4"/>
  <c r="CI50" i="2"/>
  <c r="CH24" i="2"/>
  <c r="CG199" i="4" s="1"/>
  <c r="CJ76" i="1"/>
  <c r="CJ104" i="1" s="1"/>
  <c r="CG119" i="1"/>
  <c r="CH59" i="2"/>
  <c r="CG64" i="2"/>
  <c r="CN59" i="2"/>
  <c r="CH192" i="1"/>
  <c r="CI85" i="2"/>
  <c r="CN81" i="2" s="1"/>
  <c r="CI10" i="3"/>
  <c r="CH64" i="3"/>
  <c r="CH197" i="1" s="1"/>
  <c r="CI35" i="3"/>
  <c r="CH89" i="3"/>
  <c r="CG221" i="4" s="1"/>
  <c r="CH40" i="3"/>
  <c r="CI40" i="3" s="1"/>
  <c r="CI43" i="3"/>
  <c r="CH97" i="3"/>
  <c r="CI97" i="3" s="1"/>
  <c r="CI46" i="3"/>
  <c r="CH100" i="3"/>
  <c r="CH83" i="2" s="1"/>
  <c r="CI83" i="2" s="1"/>
  <c r="CH49" i="3"/>
  <c r="CI49" i="3" s="1"/>
  <c r="AW24" i="4" l="1"/>
  <c r="BA24" i="4"/>
  <c r="BO86" i="3"/>
  <c r="BY85" i="3"/>
  <c r="BW87" i="3"/>
  <c r="BW105" i="3" s="1"/>
  <c r="K220" i="4"/>
  <c r="CD86" i="3"/>
  <c r="BJ86" i="3"/>
  <c r="AP85" i="3"/>
  <c r="BX220" i="4"/>
  <c r="AO220" i="4"/>
  <c r="R196" i="1"/>
  <c r="R201" i="1" s="1"/>
  <c r="CF112" i="3"/>
  <c r="AP86" i="3"/>
  <c r="R112" i="3"/>
  <c r="AM196" i="1"/>
  <c r="AM201" i="1" s="1"/>
  <c r="BZ120" i="3"/>
  <c r="CC220" i="4"/>
  <c r="CF105" i="3"/>
  <c r="CA87" i="3"/>
  <c r="CE186" i="1" s="1"/>
  <c r="BE86" i="3"/>
  <c r="U220" i="4"/>
  <c r="M196" i="1"/>
  <c r="M201" i="1" s="1"/>
  <c r="M112" i="3"/>
  <c r="M114" i="3" s="1"/>
  <c r="M117" i="3" s="1"/>
  <c r="M105" i="3"/>
  <c r="BS99" i="1"/>
  <c r="J113" i="1"/>
  <c r="AK115" i="1"/>
  <c r="BW135" i="2"/>
  <c r="BY133" i="2"/>
  <c r="CC133" i="2"/>
  <c r="CC135" i="2" s="1"/>
  <c r="CC94" i="3"/>
  <c r="BC89" i="2"/>
  <c r="BE89" i="2" s="1"/>
  <c r="BE88" i="2"/>
  <c r="BR98" i="3"/>
  <c r="BR49" i="3"/>
  <c r="BS44" i="3"/>
  <c r="BI128" i="2"/>
  <c r="BT88" i="2"/>
  <c r="BQ89" i="2"/>
  <c r="BG89" i="2"/>
  <c r="BJ88" i="2"/>
  <c r="BD50" i="3"/>
  <c r="BC104" i="3"/>
  <c r="AS92" i="3"/>
  <c r="AT38" i="3"/>
  <c r="AN40" i="3"/>
  <c r="AN91" i="3"/>
  <c r="AP91" i="3" s="1"/>
  <c r="AO91" i="3"/>
  <c r="CG87" i="3"/>
  <c r="M120" i="3"/>
  <c r="AM112" i="3"/>
  <c r="BN128" i="2"/>
  <c r="BS50" i="3"/>
  <c r="BR104" i="3"/>
  <c r="AT48" i="3"/>
  <c r="AU48" i="3" s="1"/>
  <c r="AS102" i="3"/>
  <c r="AU102" i="3" s="1"/>
  <c r="BM90" i="3"/>
  <c r="BN90" i="3"/>
  <c r="BN133" i="2" s="1"/>
  <c r="AY71" i="3"/>
  <c r="AZ71" i="3" s="1"/>
  <c r="AZ17" i="3"/>
  <c r="BM89" i="2"/>
  <c r="BO88" i="2"/>
  <c r="CI78" i="3"/>
  <c r="CI85" i="3" s="1"/>
  <c r="CI31" i="3"/>
  <c r="CG84" i="2"/>
  <c r="CG195" i="1"/>
  <c r="CF218" i="4"/>
  <c r="BU105" i="3"/>
  <c r="BU196" i="1"/>
  <c r="BU201" i="1" s="1"/>
  <c r="BU112" i="3"/>
  <c r="BC102" i="3"/>
  <c r="BC49" i="3"/>
  <c r="BD48" i="3"/>
  <c r="AY44" i="3"/>
  <c r="AX49" i="3"/>
  <c r="AX98" i="3"/>
  <c r="AX103" i="3" s="1"/>
  <c r="BN92" i="3"/>
  <c r="BO92" i="3" s="1"/>
  <c r="BO38" i="3"/>
  <c r="BN40" i="3"/>
  <c r="BO40" i="3" s="1"/>
  <c r="AO84" i="2"/>
  <c r="AZ80" i="3"/>
  <c r="BT82" i="2"/>
  <c r="AN49" i="3"/>
  <c r="AS40" i="3"/>
  <c r="BL135" i="2"/>
  <c r="BU128" i="2"/>
  <c r="AP83" i="2"/>
  <c r="BY76" i="2"/>
  <c r="BE76" i="2"/>
  <c r="CF78" i="2"/>
  <c r="AF57" i="2"/>
  <c r="BU130" i="2"/>
  <c r="AZ82" i="3"/>
  <c r="AF77" i="3"/>
  <c r="BL89" i="2"/>
  <c r="G91" i="3"/>
  <c r="BT82" i="3"/>
  <c r="BT86" i="3" s="1"/>
  <c r="G82" i="3"/>
  <c r="CX43" i="3"/>
  <c r="CW16" i="3"/>
  <c r="CW38" i="3"/>
  <c r="CX72" i="3"/>
  <c r="CX84" i="3"/>
  <c r="CS104" i="3"/>
  <c r="CC105" i="3"/>
  <c r="CD87" i="3"/>
  <c r="CG186" i="1" s="1"/>
  <c r="BZ105" i="3"/>
  <c r="AF85" i="3"/>
  <c r="CC138" i="2"/>
  <c r="CD138" i="2" s="1"/>
  <c r="BF128" i="2"/>
  <c r="BH78" i="2"/>
  <c r="BT83" i="2"/>
  <c r="V91" i="3"/>
  <c r="V94" i="3" s="1"/>
  <c r="CD90" i="3"/>
  <c r="CD94" i="3" s="1"/>
  <c r="CX65" i="3"/>
  <c r="CX90" i="3"/>
  <c r="BO89" i="2"/>
  <c r="CE51" i="3"/>
  <c r="AZ104" i="3"/>
  <c r="V103" i="3"/>
  <c r="AK101" i="3"/>
  <c r="AK103" i="3" s="1"/>
  <c r="AK99" i="3"/>
  <c r="Q76" i="3"/>
  <c r="P220" i="4" s="1"/>
  <c r="CW50" i="3"/>
  <c r="AF52" i="2"/>
  <c r="CC84" i="2"/>
  <c r="CD82" i="2"/>
  <c r="BY132" i="2"/>
  <c r="BX135" i="2"/>
  <c r="BX84" i="2"/>
  <c r="AU200" i="1"/>
  <c r="AU199" i="1"/>
  <c r="AI78" i="2"/>
  <c r="AJ76" i="2"/>
  <c r="AK76" i="2" s="1"/>
  <c r="AN51" i="2"/>
  <c r="AN52" i="2" s="1"/>
  <c r="AM200" i="4"/>
  <c r="AK73" i="2"/>
  <c r="AG78" i="2"/>
  <c r="BZ200" i="4"/>
  <c r="CA51" i="2"/>
  <c r="CA52" i="2" s="1"/>
  <c r="BG200" i="4"/>
  <c r="BH51" i="2"/>
  <c r="BH52" i="2" s="1"/>
  <c r="AH200" i="4"/>
  <c r="AI51" i="2"/>
  <c r="AI52" i="2" s="1"/>
  <c r="AS98" i="3"/>
  <c r="AU98" i="3" s="1"/>
  <c r="AT44" i="3"/>
  <c r="AU44" i="3" s="1"/>
  <c r="AR51" i="2"/>
  <c r="AR52" i="2" s="1"/>
  <c r="AQ200" i="4"/>
  <c r="CI102" i="2"/>
  <c r="CJ24" i="3"/>
  <c r="N197" i="4"/>
  <c r="R197" i="4"/>
  <c r="S198" i="1"/>
  <c r="AY198" i="1"/>
  <c r="AX197" i="4"/>
  <c r="AB198" i="1"/>
  <c r="AA197" i="4"/>
  <c r="AJ198" i="1"/>
  <c r="AI197" i="4"/>
  <c r="V81" i="2"/>
  <c r="R84" i="2"/>
  <c r="M200" i="4"/>
  <c r="N51" i="2"/>
  <c r="N52" i="2" s="1"/>
  <c r="AM51" i="2"/>
  <c r="AM52" i="2" s="1"/>
  <c r="U210" i="4"/>
  <c r="BL78" i="2"/>
  <c r="AV84" i="2"/>
  <c r="U84" i="2"/>
  <c r="CK29" i="3"/>
  <c r="CK83" i="3" s="1"/>
  <c r="AP82" i="2"/>
  <c r="AX94" i="3"/>
  <c r="CE101" i="3"/>
  <c r="AO94" i="3"/>
  <c r="AN96" i="3"/>
  <c r="AU69" i="2"/>
  <c r="CD57" i="2"/>
  <c r="AJ52" i="2"/>
  <c r="AT84" i="3"/>
  <c r="AU84" i="3" s="1"/>
  <c r="BR62" i="2"/>
  <c r="AK198" i="1"/>
  <c r="AI200" i="4"/>
  <c r="M197" i="4"/>
  <c r="AP200" i="1"/>
  <c r="CD69" i="2"/>
  <c r="C51" i="2"/>
  <c r="BI212" i="4"/>
  <c r="U212" i="4"/>
  <c r="BY190" i="1"/>
  <c r="BE190" i="1"/>
  <c r="Q190" i="1"/>
  <c r="Y84" i="2"/>
  <c r="N84" i="2"/>
  <c r="CX89" i="2"/>
  <c r="CJ79" i="3"/>
  <c r="CJ25" i="3"/>
  <c r="CK25" i="3" s="1"/>
  <c r="Q84" i="2"/>
  <c r="BS78" i="2"/>
  <c r="BS61" i="2"/>
  <c r="BS68" i="2" s="1"/>
  <c r="BQ84" i="2"/>
  <c r="T84" i="2"/>
  <c r="BC78" i="2"/>
  <c r="AV78" i="2"/>
  <c r="BZ84" i="2"/>
  <c r="BF84" i="2"/>
  <c r="BV135" i="2"/>
  <c r="CK28" i="3"/>
  <c r="CK82" i="3" s="1"/>
  <c r="BW128" i="2"/>
  <c r="AO96" i="3"/>
  <c r="CF84" i="2"/>
  <c r="AU32" i="3"/>
  <c r="CS89" i="2"/>
  <c r="S51" i="2"/>
  <c r="S52" i="2" s="1"/>
  <c r="Z84" i="2"/>
  <c r="O84" i="2"/>
  <c r="BY82" i="2"/>
  <c r="AD84" i="2"/>
  <c r="BV128" i="2"/>
  <c r="BS153" i="4"/>
  <c r="BS155" i="4" s="1"/>
  <c r="BQ92" i="4"/>
  <c r="BR92" i="4"/>
  <c r="BP92" i="4"/>
  <c r="BO92" i="4"/>
  <c r="W42" i="4"/>
  <c r="BN153" i="4"/>
  <c r="BM92" i="4"/>
  <c r="BJ92" i="4"/>
  <c r="BL92" i="4"/>
  <c r="BK92" i="4"/>
  <c r="CT106" i="4"/>
  <c r="CJ106" i="4"/>
  <c r="CO106" i="4" s="1"/>
  <c r="BL113" i="4"/>
  <c r="BX153" i="4"/>
  <c r="BU92" i="4"/>
  <c r="BV92" i="4"/>
  <c r="BT92" i="4"/>
  <c r="BW92" i="4"/>
  <c r="CH93" i="4"/>
  <c r="CV106" i="4"/>
  <c r="CL106" i="4"/>
  <c r="CQ106" i="4" s="1"/>
  <c r="BI98" i="310"/>
  <c r="BJ98" i="310" s="1"/>
  <c r="AN217" i="310"/>
  <c r="AJ183" i="310"/>
  <c r="BH112" i="310"/>
  <c r="BH114" i="310" s="1"/>
  <c r="BF70" i="310"/>
  <c r="V267" i="310"/>
  <c r="Z281" i="310"/>
  <c r="Z282" i="310" s="1"/>
  <c r="AF199" i="310"/>
  <c r="BC189" i="310"/>
  <c r="AK198" i="310"/>
  <c r="AK199" i="310" s="1"/>
  <c r="BT84" i="310"/>
  <c r="BH29" i="310"/>
  <c r="BM28" i="310"/>
  <c r="BG90" i="310"/>
  <c r="AV148" i="310"/>
  <c r="AV144" i="310"/>
  <c r="BE153" i="310"/>
  <c r="BE155" i="310" s="1"/>
  <c r="BF15" i="310"/>
  <c r="W227" i="310"/>
  <c r="BL15" i="310"/>
  <c r="H270" i="310"/>
  <c r="K269" i="310"/>
  <c r="AB260" i="310"/>
  <c r="AB278" i="310" s="1"/>
  <c r="M270" i="310"/>
  <c r="P246" i="310"/>
  <c r="AU213" i="310"/>
  <c r="AP196" i="310"/>
  <c r="AP193" i="310"/>
  <c r="AK80" i="310"/>
  <c r="Z275" i="310"/>
  <c r="Z276" i="310" s="1"/>
  <c r="BG108" i="310"/>
  <c r="BG132" i="310" s="1"/>
  <c r="BN32" i="310"/>
  <c r="BI58" i="310"/>
  <c r="BD68" i="310"/>
  <c r="AG68" i="310"/>
  <c r="AG77" i="310" s="1"/>
  <c r="Z264" i="310"/>
  <c r="AE264" i="310" s="1"/>
  <c r="AJ264" i="310" s="1"/>
  <c r="AO264" i="310" s="1"/>
  <c r="AT264" i="310" s="1"/>
  <c r="AY264" i="310" s="1"/>
  <c r="BD264" i="310" s="1"/>
  <c r="BI264" i="310" s="1"/>
  <c r="BN264" i="310" s="1"/>
  <c r="BS264" i="310" s="1"/>
  <c r="BX264" i="310" s="1"/>
  <c r="CC264" i="310" s="1"/>
  <c r="CH264" i="310" s="1"/>
  <c r="CM264" i="310" s="1"/>
  <c r="CR264" i="310" s="1"/>
  <c r="CW264" i="310" s="1"/>
  <c r="BF115" i="310"/>
  <c r="AU115" i="310"/>
  <c r="AU143" i="310" s="1"/>
  <c r="BI189" i="310"/>
  <c r="BJ189" i="310" s="1"/>
  <c r="BJ190" i="310" s="1"/>
  <c r="BH189" i="310"/>
  <c r="BG189" i="310"/>
  <c r="BC155" i="310"/>
  <c r="BF92" i="310"/>
  <c r="AV147" i="310"/>
  <c r="AV117" i="310"/>
  <c r="BA155" i="310"/>
  <c r="BB155" i="310"/>
  <c r="AQ172" i="310"/>
  <c r="AB183" i="310"/>
  <c r="BG15" i="310"/>
  <c r="BB189" i="310"/>
  <c r="AQ148" i="310"/>
  <c r="AU136" i="310"/>
  <c r="BF120" i="310"/>
  <c r="BA14" i="310"/>
  <c r="BI32" i="310"/>
  <c r="BT109" i="4"/>
  <c r="Z185" i="310"/>
  <c r="BI64" i="310"/>
  <c r="AQ173" i="310"/>
  <c r="BD32" i="310"/>
  <c r="BH73" i="310"/>
  <c r="BJ153" i="310"/>
  <c r="BJ155" i="310" s="1"/>
  <c r="BG155" i="310"/>
  <c r="BF189" i="310"/>
  <c r="BD189" i="310"/>
  <c r="CC44" i="310"/>
  <c r="BI33" i="310"/>
  <c r="BC106" i="310"/>
  <c r="AV146" i="310"/>
  <c r="AN214" i="310"/>
  <c r="AG183" i="310"/>
  <c r="BF132" i="310"/>
  <c r="BI68" i="310"/>
  <c r="BI70" i="310" s="1"/>
  <c r="X287" i="310"/>
  <c r="X288" i="310" s="1"/>
  <c r="AJ214" i="310"/>
  <c r="Z214" i="310"/>
  <c r="AU124" i="310"/>
  <c r="AD186" i="310"/>
  <c r="Z267" i="310"/>
  <c r="AE267" i="310" s="1"/>
  <c r="AJ267" i="310" s="1"/>
  <c r="AO267" i="310" s="1"/>
  <c r="AT267" i="310" s="1"/>
  <c r="AY267" i="310" s="1"/>
  <c r="BJ43" i="310"/>
  <c r="BJ44" i="310" s="1"/>
  <c r="AR214" i="310"/>
  <c r="AQ69" i="310"/>
  <c r="AL68" i="310"/>
  <c r="AM70" i="310" s="1"/>
  <c r="K68" i="310"/>
  <c r="M70" i="310" s="1"/>
  <c r="U68" i="310"/>
  <c r="AG261" i="310"/>
  <c r="AL261" i="310" s="1"/>
  <c r="AQ261" i="310" s="1"/>
  <c r="AV261" i="310" s="1"/>
  <c r="BA261" i="310" s="1"/>
  <c r="BF261" i="310" s="1"/>
  <c r="BK261" i="310" s="1"/>
  <c r="BP261" i="310" s="1"/>
  <c r="BU261" i="310" s="1"/>
  <c r="BZ261" i="310" s="1"/>
  <c r="CE261" i="310" s="1"/>
  <c r="CJ261" i="310" s="1"/>
  <c r="CO261" i="310" s="1"/>
  <c r="U249" i="310"/>
  <c r="Q225" i="310"/>
  <c r="Z230" i="310"/>
  <c r="CB42" i="310"/>
  <c r="U226" i="310"/>
  <c r="X279" i="310"/>
  <c r="T250" i="310"/>
  <c r="N251" i="310"/>
  <c r="M250" i="310"/>
  <c r="AZ121" i="310"/>
  <c r="CK19" i="310"/>
  <c r="CP19" i="310" s="1"/>
  <c r="CU19" i="310" s="1"/>
  <c r="BG110" i="310"/>
  <c r="M247" i="310"/>
  <c r="AL217" i="310"/>
  <c r="I62" i="447"/>
  <c r="K249" i="310"/>
  <c r="K251" i="310" s="1"/>
  <c r="Q242" i="310"/>
  <c r="Y270" i="310"/>
  <c r="Z231" i="310"/>
  <c r="AE229" i="310"/>
  <c r="U243" i="310"/>
  <c r="U281" i="310"/>
  <c r="U282" i="310" s="1"/>
  <c r="J251" i="310"/>
  <c r="AD68" i="310"/>
  <c r="AD77" i="310" s="1"/>
  <c r="AA281" i="310"/>
  <c r="AC216" i="310"/>
  <c r="CI25" i="310"/>
  <c r="AR217" i="310"/>
  <c r="Z68" i="310"/>
  <c r="C18" i="447"/>
  <c r="P227" i="310"/>
  <c r="AH214" i="310"/>
  <c r="F284" i="310"/>
  <c r="U242" i="310"/>
  <c r="W243" i="310"/>
  <c r="CL19" i="310"/>
  <c r="CQ19" i="310" s="1"/>
  <c r="CV19" i="310" s="1"/>
  <c r="BK94" i="1"/>
  <c r="BP94" i="1"/>
  <c r="AQ196" i="1"/>
  <c r="AQ201" i="1" s="1"/>
  <c r="AQ112" i="3"/>
  <c r="AQ114" i="3" s="1"/>
  <c r="AI94" i="1"/>
  <c r="AN94" i="1"/>
  <c r="J75" i="447"/>
  <c r="BX99" i="1"/>
  <c r="AP33" i="1"/>
  <c r="AL68" i="1"/>
  <c r="AK195" i="4" s="1"/>
  <c r="AL164" i="1"/>
  <c r="AL80" i="1"/>
  <c r="AQ69" i="1"/>
  <c r="AK11" i="3"/>
  <c r="AJ65" i="3"/>
  <c r="AK65" i="3" s="1"/>
  <c r="AJ10" i="3"/>
  <c r="AZ94" i="8"/>
  <c r="AZ79" i="8"/>
  <c r="BE104" i="1"/>
  <c r="BB105" i="1"/>
  <c r="E40" i="8"/>
  <c r="J79" i="8"/>
  <c r="BD15" i="1"/>
  <c r="BD14" i="1"/>
  <c r="BF14" i="1"/>
  <c r="BI13" i="1"/>
  <c r="BE12" i="1"/>
  <c r="CC92" i="8"/>
  <c r="BX175" i="1"/>
  <c r="AE182" i="1"/>
  <c r="AC164" i="1"/>
  <c r="BC89" i="8"/>
  <c r="BC64" i="8"/>
  <c r="BQ31" i="8"/>
  <c r="BQ89" i="8"/>
  <c r="BE92" i="8"/>
  <c r="BE40" i="8" s="1"/>
  <c r="T148" i="1"/>
  <c r="T69" i="1"/>
  <c r="O68" i="1"/>
  <c r="N195" i="4" s="1"/>
  <c r="O164" i="1"/>
  <c r="O80" i="1"/>
  <c r="F70" i="447"/>
  <c r="F72" i="447"/>
  <c r="AI176" i="1"/>
  <c r="AH73" i="1"/>
  <c r="BR105" i="1"/>
  <c r="BT104" i="1"/>
  <c r="CI144" i="1"/>
  <c r="CQ91" i="1"/>
  <c r="BR94" i="1"/>
  <c r="CH99" i="8"/>
  <c r="CA99" i="8"/>
  <c r="E93" i="8"/>
  <c r="F41" i="8"/>
  <c r="Q21" i="4"/>
  <c r="Q23" i="4" s="1"/>
  <c r="V23" i="4"/>
  <c r="AG21" i="4"/>
  <c r="AG23" i="4" s="1"/>
  <c r="AG24" i="4" s="1"/>
  <c r="AL23" i="4"/>
  <c r="AK79" i="8"/>
  <c r="AK91" i="8"/>
  <c r="I76" i="8"/>
  <c r="F40" i="8"/>
  <c r="W25" i="8"/>
  <c r="R25" i="8"/>
  <c r="K40" i="8"/>
  <c r="J53" i="8"/>
  <c r="J55" i="8" s="1"/>
  <c r="J84" i="8" s="1"/>
  <c r="O76" i="8"/>
  <c r="J76" i="8"/>
  <c r="AU139" i="1"/>
  <c r="AU96" i="2"/>
  <c r="AU171" i="1"/>
  <c r="AU169" i="1"/>
  <c r="AZ139" i="1"/>
  <c r="AU25" i="1"/>
  <c r="X68" i="1"/>
  <c r="W195" i="4" s="1"/>
  <c r="X102" i="1"/>
  <c r="BH16" i="8"/>
  <c r="BM30" i="8"/>
  <c r="BM25" i="8"/>
  <c r="BJ10" i="8"/>
  <c r="BL16" i="8"/>
  <c r="BL30" i="8" s="1"/>
  <c r="BL25" i="8"/>
  <c r="BQ25" i="8"/>
  <c r="CR91" i="1"/>
  <c r="AY99" i="8"/>
  <c r="AU92" i="8"/>
  <c r="BD25" i="8"/>
  <c r="BD10" i="1"/>
  <c r="M31" i="8"/>
  <c r="M89" i="8"/>
  <c r="BR99" i="8"/>
  <c r="BO92" i="8"/>
  <c r="BO40" i="8" s="1"/>
  <c r="AZ93" i="8"/>
  <c r="BM92" i="1"/>
  <c r="BM93" i="1" s="1"/>
  <c r="BM94" i="1" s="1"/>
  <c r="BM87" i="1"/>
  <c r="BP185" i="1" s="1"/>
  <c r="BM175" i="1"/>
  <c r="AH118" i="1"/>
  <c r="AG119" i="1"/>
  <c r="AL119" i="1"/>
  <c r="AF19" i="1"/>
  <c r="AA24" i="1"/>
  <c r="BH70" i="310"/>
  <c r="AG89" i="8"/>
  <c r="AA119" i="1"/>
  <c r="Y105" i="1"/>
  <c r="N105" i="1"/>
  <c r="Y146" i="1"/>
  <c r="AP56" i="1"/>
  <c r="AU56" i="1"/>
  <c r="Q98" i="2"/>
  <c r="P215" i="4" s="1"/>
  <c r="I26" i="8"/>
  <c r="P93" i="8"/>
  <c r="BA99" i="8"/>
  <c r="Z214" i="4"/>
  <c r="CG40" i="1"/>
  <c r="BX91" i="1"/>
  <c r="BY91" i="1" s="1"/>
  <c r="BY92" i="1" s="1"/>
  <c r="BY93" i="1" s="1"/>
  <c r="BM23" i="4"/>
  <c r="BM24" i="4" s="1"/>
  <c r="AP137" i="1"/>
  <c r="BK64" i="2"/>
  <c r="P69" i="1"/>
  <c r="AR23" i="4"/>
  <c r="AX99" i="8"/>
  <c r="BO56" i="1"/>
  <c r="AA35" i="1"/>
  <c r="AA39" i="1" s="1"/>
  <c r="R141" i="1"/>
  <c r="CG56" i="1"/>
  <c r="H25" i="8"/>
  <c r="CO69" i="4"/>
  <c r="BF143" i="310"/>
  <c r="BF144" i="310"/>
  <c r="BF147" i="310"/>
  <c r="BF146" i="310"/>
  <c r="BF145" i="310"/>
  <c r="BF148" i="310"/>
  <c r="BK101" i="310"/>
  <c r="BI104" i="310"/>
  <c r="BI129" i="310" s="1"/>
  <c r="AD187" i="310"/>
  <c r="AD188" i="310" s="1"/>
  <c r="AC217" i="310"/>
  <c r="AC186" i="310"/>
  <c r="CI55" i="310"/>
  <c r="AC187" i="310"/>
  <c r="AC188" i="310" s="1"/>
  <c r="V284" i="310"/>
  <c r="Q264" i="310"/>
  <c r="V261" i="310"/>
  <c r="V226" i="310"/>
  <c r="AL187" i="310"/>
  <c r="AL188" i="310" s="1"/>
  <c r="AK173" i="310"/>
  <c r="AD70" i="310"/>
  <c r="BH103" i="310"/>
  <c r="BG106" i="310"/>
  <c r="BH104" i="310"/>
  <c r="M251" i="310"/>
  <c r="AE187" i="310"/>
  <c r="AE188" i="310" s="1"/>
  <c r="Q258" i="310"/>
  <c r="G267" i="310"/>
  <c r="BY109" i="4"/>
  <c r="CE70" i="310"/>
  <c r="BI155" i="4"/>
  <c r="BI163" i="4" s="1"/>
  <c r="BI166" i="4"/>
  <c r="AT8" i="4"/>
  <c r="BI108" i="4"/>
  <c r="CM158" i="4"/>
  <c r="CM92" i="4" s="1"/>
  <c r="CM93" i="4" s="1"/>
  <c r="CS106" i="4"/>
  <c r="CL92" i="3"/>
  <c r="CM38" i="3"/>
  <c r="CL28" i="3"/>
  <c r="CL72" i="3"/>
  <c r="CM18" i="3"/>
  <c r="CH126" i="2"/>
  <c r="CH128" i="2" s="1"/>
  <c r="CH94" i="3"/>
  <c r="CG220" i="4"/>
  <c r="CI75" i="3"/>
  <c r="CI86" i="3" s="1"/>
  <c r="CI32" i="3"/>
  <c r="CI77" i="2"/>
  <c r="CG128" i="2"/>
  <c r="CI126" i="2"/>
  <c r="CH78" i="2"/>
  <c r="CI76" i="2"/>
  <c r="CB120" i="3"/>
  <c r="BM221" i="4"/>
  <c r="BN195" i="1"/>
  <c r="BN94" i="3"/>
  <c r="CB196" i="1"/>
  <c r="CB201" i="1" s="1"/>
  <c r="CB105" i="3"/>
  <c r="BO103" i="3"/>
  <c r="BH83" i="2"/>
  <c r="BJ83" i="2" s="1"/>
  <c r="BH103" i="3"/>
  <c r="BJ100" i="3"/>
  <c r="AC219" i="4"/>
  <c r="AF70" i="3"/>
  <c r="AE219" i="4" s="1"/>
  <c r="AD76" i="2"/>
  <c r="BN84" i="2"/>
  <c r="BG135" i="2"/>
  <c r="BJ133" i="2"/>
  <c r="AG57" i="2"/>
  <c r="AK57" i="2" s="1"/>
  <c r="AK70" i="2"/>
  <c r="AK69" i="2" s="1"/>
  <c r="AG69" i="2"/>
  <c r="AC84" i="2"/>
  <c r="AF83" i="2"/>
  <c r="CB135" i="2"/>
  <c r="CD135" i="2" s="1"/>
  <c r="CD133" i="2"/>
  <c r="BP135" i="2"/>
  <c r="BT133" i="2"/>
  <c r="CI100" i="3"/>
  <c r="E105" i="3"/>
  <c r="E196" i="1"/>
  <c r="E201" i="1" s="1"/>
  <c r="AO64" i="3"/>
  <c r="AP10" i="3"/>
  <c r="BD83" i="2"/>
  <c r="BD84" i="2" s="1"/>
  <c r="BI82" i="2"/>
  <c r="BI84" i="2" s="1"/>
  <c r="BJ97" i="3"/>
  <c r="BI103" i="3"/>
  <c r="BC82" i="2"/>
  <c r="BE97" i="3"/>
  <c r="BC103" i="3"/>
  <c r="CE103" i="3"/>
  <c r="CE105" i="3" s="1"/>
  <c r="CI101" i="3"/>
  <c r="AZ92" i="3"/>
  <c r="AY94" i="3"/>
  <c r="AX219" i="4"/>
  <c r="AZ70" i="3"/>
  <c r="AY219" i="4" s="1"/>
  <c r="CD49" i="3"/>
  <c r="CC51" i="3"/>
  <c r="CD51" i="3" s="1"/>
  <c r="CM70" i="3"/>
  <c r="CN16" i="3"/>
  <c r="CN30" i="3"/>
  <c r="CM84" i="3"/>
  <c r="CN84" i="3" s="1"/>
  <c r="AP101" i="3"/>
  <c r="AO103" i="3"/>
  <c r="CH51" i="3"/>
  <c r="CI51" i="3" s="1"/>
  <c r="CH195" i="1"/>
  <c r="CH82" i="2"/>
  <c r="CI89" i="3"/>
  <c r="CG94" i="3"/>
  <c r="CG105" i="3" s="1"/>
  <c r="CF221" i="4"/>
  <c r="CG197" i="1"/>
  <c r="CC117" i="3"/>
  <c r="AF64" i="3"/>
  <c r="AD218" i="4"/>
  <c r="AE197" i="1"/>
  <c r="AN62" i="3"/>
  <c r="AO8" i="3"/>
  <c r="AN33" i="3"/>
  <c r="AN51" i="3" s="1"/>
  <c r="AR218" i="4"/>
  <c r="AU64" i="3"/>
  <c r="BI104" i="3"/>
  <c r="BJ104" i="3" s="1"/>
  <c r="BJ50" i="3"/>
  <c r="CM99" i="3"/>
  <c r="CM76" i="2" s="1"/>
  <c r="CL99" i="3"/>
  <c r="CR45" i="3"/>
  <c r="CS17" i="3"/>
  <c r="CD196" i="1"/>
  <c r="CD201" i="1" s="1"/>
  <c r="CH103" i="3"/>
  <c r="CH86" i="3"/>
  <c r="AX57" i="2"/>
  <c r="AZ57" i="2" s="1"/>
  <c r="AZ70" i="2"/>
  <c r="AZ69" i="2" s="1"/>
  <c r="CM69" i="3"/>
  <c r="CN69" i="3" s="1"/>
  <c r="CN15" i="3"/>
  <c r="AC197" i="1"/>
  <c r="AB218" i="4"/>
  <c r="AD197" i="1"/>
  <c r="AC218" i="4"/>
  <c r="BC83" i="2"/>
  <c r="BE83" i="2" s="1"/>
  <c r="BE100" i="3"/>
  <c r="AN94" i="3"/>
  <c r="AN126" i="2"/>
  <c r="AP89" i="3"/>
  <c r="AM221" i="4"/>
  <c r="BM40" i="3"/>
  <c r="BM89" i="3"/>
  <c r="AZ75" i="3"/>
  <c r="CB89" i="2"/>
  <c r="CD88" i="2"/>
  <c r="AZ89" i="3"/>
  <c r="AX221" i="4"/>
  <c r="AY195" i="1"/>
  <c r="BE35" i="3"/>
  <c r="BD89" i="3"/>
  <c r="CD83" i="2"/>
  <c r="AA83" i="2"/>
  <c r="AB84" i="2"/>
  <c r="AF84" i="2" s="1"/>
  <c r="AF82" i="2"/>
  <c r="G94" i="3"/>
  <c r="CL104" i="3"/>
  <c r="CM50" i="3"/>
  <c r="AO76" i="2"/>
  <c r="AP76" i="2" s="1"/>
  <c r="AN78" i="2"/>
  <c r="BY83" i="2"/>
  <c r="CB84" i="2"/>
  <c r="CD84" i="2" s="1"/>
  <c r="BL84" i="2"/>
  <c r="AL84" i="2"/>
  <c r="AP84" i="2" s="1"/>
  <c r="M84" i="2"/>
  <c r="AW84" i="2"/>
  <c r="AZ84" i="2" s="1"/>
  <c r="AG83" i="2"/>
  <c r="AK83" i="2" s="1"/>
  <c r="AQ76" i="2"/>
  <c r="L82" i="3"/>
  <c r="AD75" i="3"/>
  <c r="AC220" i="4" s="1"/>
  <c r="AC75" i="3"/>
  <c r="BX66" i="3"/>
  <c r="BY12" i="3"/>
  <c r="BY33" i="3" s="1"/>
  <c r="CD34" i="3" s="1"/>
  <c r="AU65" i="3"/>
  <c r="BY138" i="2"/>
  <c r="BK84" i="2"/>
  <c r="AC72" i="3"/>
  <c r="AF72" i="3" s="1"/>
  <c r="AD72" i="3"/>
  <c r="BI94" i="3"/>
  <c r="AD78" i="2"/>
  <c r="BX128" i="2"/>
  <c r="G83" i="3"/>
  <c r="CV45" i="3"/>
  <c r="CV99" i="3" s="1"/>
  <c r="CV76" i="2" s="1"/>
  <c r="CV71" i="3"/>
  <c r="CW17" i="3"/>
  <c r="X84" i="2"/>
  <c r="AU57" i="2"/>
  <c r="CD89" i="2"/>
  <c r="CD90" i="2" s="1"/>
  <c r="AQ84" i="2"/>
  <c r="AM84" i="2"/>
  <c r="CB78" i="2"/>
  <c r="AA89" i="3"/>
  <c r="CW15" i="3"/>
  <c r="CW19" i="3"/>
  <c r="CJ83" i="3"/>
  <c r="CL19" i="2"/>
  <c r="CM132" i="2"/>
  <c r="CN13" i="2"/>
  <c r="CO13" i="2"/>
  <c r="CP13" i="2" s="1"/>
  <c r="CQ13" i="2" s="1"/>
  <c r="CR13" i="2" s="1"/>
  <c r="BN51" i="2"/>
  <c r="BO43" i="2"/>
  <c r="BN200" i="4" s="1"/>
  <c r="BM200" i="4"/>
  <c r="AA200" i="1"/>
  <c r="AA199" i="1"/>
  <c r="Z200" i="4"/>
  <c r="CI24" i="2"/>
  <c r="CH199" i="4" s="1"/>
  <c r="CM140" i="2"/>
  <c r="CQ44" i="2"/>
  <c r="CO37" i="2"/>
  <c r="CO44" i="3" s="1"/>
  <c r="BT51" i="2"/>
  <c r="BT52" i="2" s="1"/>
  <c r="BT1" i="2" s="1"/>
  <c r="BS52" i="2"/>
  <c r="BS1" i="2" s="1"/>
  <c r="Z52" i="2"/>
  <c r="AA51" i="2"/>
  <c r="AA52" i="2" s="1"/>
  <c r="AU34" i="2"/>
  <c r="AT43" i="2"/>
  <c r="AU43" i="2" s="1"/>
  <c r="AT200" i="4" s="1"/>
  <c r="BT68" i="2"/>
  <c r="BT69" i="2" s="1"/>
  <c r="BS69" i="2"/>
  <c r="BE82" i="2"/>
  <c r="BY89" i="2"/>
  <c r="BY90" i="2" s="1"/>
  <c r="AJ86" i="3"/>
  <c r="AK74" i="3"/>
  <c r="AK86" i="3" s="1"/>
  <c r="AI220" i="4"/>
  <c r="CC199" i="4"/>
  <c r="CD102" i="2"/>
  <c r="CC202" i="4"/>
  <c r="CD190" i="1"/>
  <c r="CC122" i="4"/>
  <c r="CC123" i="4" s="1"/>
  <c r="BJ15" i="2"/>
  <c r="BI24" i="2"/>
  <c r="CH202" i="4"/>
  <c r="CI190" i="1"/>
  <c r="CF200" i="4"/>
  <c r="CK73" i="2"/>
  <c r="CO127" i="2"/>
  <c r="CP56" i="2"/>
  <c r="CP117" i="2"/>
  <c r="CL29" i="3"/>
  <c r="CL83" i="3" s="1"/>
  <c r="CL82" i="3"/>
  <c r="CM28" i="3"/>
  <c r="BL200" i="4"/>
  <c r="CK21" i="2"/>
  <c r="CL21" i="2" s="1"/>
  <c r="CM21" i="2" s="1"/>
  <c r="AK81" i="3"/>
  <c r="AK85" i="3" s="1"/>
  <c r="AJ85" i="3"/>
  <c r="AW94" i="3"/>
  <c r="AZ93" i="3"/>
  <c r="BO82" i="2"/>
  <c r="BM84" i="2"/>
  <c r="AQ49" i="3"/>
  <c r="AR47" i="3"/>
  <c r="AQ101" i="3"/>
  <c r="CI57" i="2"/>
  <c r="AQ51" i="3"/>
  <c r="AT197" i="4"/>
  <c r="AU198" i="1"/>
  <c r="CP97" i="3"/>
  <c r="CQ43" i="3"/>
  <c r="BY24" i="2"/>
  <c r="BW199" i="4"/>
  <c r="BX52" i="2"/>
  <c r="BS87" i="2"/>
  <c r="BS89" i="2" s="1"/>
  <c r="BR89" i="2"/>
  <c r="BB34" i="2"/>
  <c r="BB43" i="2" s="1"/>
  <c r="BB51" i="2" s="1"/>
  <c r="BB52" i="2" s="1"/>
  <c r="BE15" i="2"/>
  <c r="BD24" i="2"/>
  <c r="CL30" i="2"/>
  <c r="CM32" i="2"/>
  <c r="AO52" i="2"/>
  <c r="AP51" i="2"/>
  <c r="AP52" i="2" s="1"/>
  <c r="AR94" i="3"/>
  <c r="AU93" i="3"/>
  <c r="Z94" i="3"/>
  <c r="AA93" i="3"/>
  <c r="AA94" i="3" s="1"/>
  <c r="AF200" i="1"/>
  <c r="AZ198" i="1"/>
  <c r="W198" i="1"/>
  <c r="V197" i="4"/>
  <c r="BK198" i="1"/>
  <c r="BJ197" i="4"/>
  <c r="O197" i="4"/>
  <c r="P198" i="1"/>
  <c r="T198" i="1"/>
  <c r="S197" i="4"/>
  <c r="BD198" i="1"/>
  <c r="BC197" i="4"/>
  <c r="L197" i="4"/>
  <c r="M198" i="1"/>
  <c r="BT84" i="2"/>
  <c r="AS84" i="2"/>
  <c r="AU84" i="2" s="1"/>
  <c r="CD30" i="2"/>
  <c r="CD199" i="1" s="1"/>
  <c r="CC34" i="2"/>
  <c r="BA84" i="2"/>
  <c r="AB73" i="2"/>
  <c r="AB78" i="2" s="1"/>
  <c r="AA79" i="2"/>
  <c r="BU34" i="2"/>
  <c r="BU43" i="2" s="1"/>
  <c r="BU51" i="2" s="1"/>
  <c r="BU52" i="2" s="1"/>
  <c r="BJ200" i="1"/>
  <c r="BE199" i="1"/>
  <c r="AG51" i="2"/>
  <c r="AG52" i="2" s="1"/>
  <c r="AF200" i="4"/>
  <c r="G199" i="4"/>
  <c r="H52" i="2"/>
  <c r="BT199" i="1"/>
  <c r="AZ199" i="1"/>
  <c r="AZ200" i="1"/>
  <c r="AK200" i="1"/>
  <c r="CI135" i="2"/>
  <c r="CK47" i="3"/>
  <c r="CK101" i="3" s="1"/>
  <c r="AZ83" i="3"/>
  <c r="BY128" i="2"/>
  <c r="BY129" i="2" s="1"/>
  <c r="BE90" i="2"/>
  <c r="AJ200" i="4"/>
  <c r="BU132" i="2"/>
  <c r="BU135" i="2" s="1"/>
  <c r="BY135" i="2" s="1"/>
  <c r="BY136" i="2" s="1"/>
  <c r="BT136" i="2"/>
  <c r="BT135" i="2" s="1"/>
  <c r="BK132" i="2"/>
  <c r="BK135" i="2" s="1"/>
  <c r="BJ136" i="2"/>
  <c r="BJ135" i="2" s="1"/>
  <c r="BO132" i="2"/>
  <c r="BR135" i="2"/>
  <c r="BR138" i="2"/>
  <c r="BM138" i="2"/>
  <c r="BM135" i="2"/>
  <c r="BI87" i="2"/>
  <c r="BI89" i="2" s="1"/>
  <c r="BH89" i="2"/>
  <c r="BW81" i="2"/>
  <c r="BW84" i="2" s="1"/>
  <c r="BV84" i="2"/>
  <c r="V85" i="2"/>
  <c r="W81" i="2"/>
  <c r="R34" i="2"/>
  <c r="R43" i="2" s="1"/>
  <c r="R51" i="2" s="1"/>
  <c r="R52" i="2" s="1"/>
  <c r="H200" i="4"/>
  <c r="I51" i="2"/>
  <c r="I52" i="2" s="1"/>
  <c r="Q15" i="2"/>
  <c r="P24" i="2"/>
  <c r="L15" i="2"/>
  <c r="K24" i="2"/>
  <c r="AP57" i="2"/>
  <c r="CO93" i="3"/>
  <c r="CP39" i="3"/>
  <c r="Y198" i="1"/>
  <c r="X197" i="4"/>
  <c r="AV197" i="4"/>
  <c r="BI198" i="1"/>
  <c r="BH197" i="4"/>
  <c r="BP197" i="4"/>
  <c r="BQ198" i="1"/>
  <c r="AT198" i="1"/>
  <c r="AX198" i="1"/>
  <c r="AW197" i="4"/>
  <c r="BE197" i="4"/>
  <c r="BF198" i="1"/>
  <c r="BX69" i="2"/>
  <c r="BY68" i="2"/>
  <c r="AX34" i="2"/>
  <c r="AX43" i="2" s="1"/>
  <c r="AX51" i="2" s="1"/>
  <c r="AX52" i="2" s="1"/>
  <c r="AC200" i="4"/>
  <c r="AD51" i="2"/>
  <c r="AD52" i="2" s="1"/>
  <c r="Y34" i="2"/>
  <c r="Y43" i="2" s="1"/>
  <c r="Y51" i="2" s="1"/>
  <c r="Y52" i="2" s="1"/>
  <c r="X200" i="4"/>
  <c r="S200" i="4"/>
  <c r="T51" i="2"/>
  <c r="T52" i="2" s="1"/>
  <c r="CI134" i="2"/>
  <c r="CE138" i="2"/>
  <c r="CU39" i="3"/>
  <c r="V73" i="2"/>
  <c r="Q79" i="2"/>
  <c r="AM103" i="2"/>
  <c r="AK190" i="1"/>
  <c r="AP199" i="1"/>
  <c r="AY25" i="3"/>
  <c r="AF199" i="1"/>
  <c r="CA96" i="3"/>
  <c r="CA49" i="3"/>
  <c r="CA51" i="3" s="1"/>
  <c r="BS62" i="2"/>
  <c r="AT78" i="2"/>
  <c r="BW70" i="2"/>
  <c r="AY27" i="3"/>
  <c r="AX24" i="3"/>
  <c r="S214" i="4"/>
  <c r="BD210" i="4"/>
  <c r="BD214" i="4" s="1"/>
  <c r="AJ210" i="4"/>
  <c r="AJ214" i="4" s="1"/>
  <c r="U214" i="4"/>
  <c r="N214" i="4"/>
  <c r="BZ16" i="8"/>
  <c r="BZ14" i="8" s="1"/>
  <c r="BZ25" i="8"/>
  <c r="AW63" i="4"/>
  <c r="AV63" i="4"/>
  <c r="AX77" i="2"/>
  <c r="AX78" i="2" s="1"/>
  <c r="AZ78" i="2" s="1"/>
  <c r="AZ67" i="3"/>
  <c r="CI62" i="3"/>
  <c r="CF64" i="2"/>
  <c r="BY88" i="8"/>
  <c r="CS66" i="3"/>
  <c r="BZ30" i="8"/>
  <c r="CI33" i="3"/>
  <c r="CI34" i="3" s="1"/>
  <c r="CI64" i="3"/>
  <c r="CI197" i="1" s="1"/>
  <c r="BO112" i="1"/>
  <c r="BP113" i="1"/>
  <c r="BY188" i="1"/>
  <c r="BY189" i="1" s="1"/>
  <c r="BY121" i="1"/>
  <c r="H33" i="447"/>
  <c r="BX113" i="1"/>
  <c r="CI46" i="1"/>
  <c r="CS91" i="1"/>
  <c r="J31" i="447"/>
  <c r="CC99" i="1"/>
  <c r="BW94" i="1"/>
  <c r="AG94" i="1"/>
  <c r="CC113" i="1"/>
  <c r="AO113" i="1"/>
  <c r="BD94" i="1"/>
  <c r="AH185" i="1"/>
  <c r="BY59" i="8"/>
  <c r="BY20" i="8" s="1"/>
  <c r="AK92" i="1"/>
  <c r="AK93" i="1" s="1"/>
  <c r="BV105" i="3"/>
  <c r="V24" i="4"/>
  <c r="O105" i="1"/>
  <c r="BO46" i="1"/>
  <c r="BE138" i="1"/>
  <c r="E9" i="8"/>
  <c r="J29" i="8" s="1"/>
  <c r="AO8" i="4"/>
  <c r="BD8" i="4"/>
  <c r="R43" i="4"/>
  <c r="AK139" i="1"/>
  <c r="BF14" i="8"/>
  <c r="AC77" i="2"/>
  <c r="AC78" i="2" s="1"/>
  <c r="AF67" i="3"/>
  <c r="K139" i="1"/>
  <c r="F155" i="1"/>
  <c r="F170" i="1"/>
  <c r="F33" i="1"/>
  <c r="H180" i="1"/>
  <c r="J180" i="1"/>
  <c r="F53" i="1"/>
  <c r="F26" i="1"/>
  <c r="I180" i="1"/>
  <c r="F38" i="1"/>
  <c r="F45" i="1"/>
  <c r="F172" i="1"/>
  <c r="F49" i="1"/>
  <c r="K25" i="1"/>
  <c r="H155" i="1"/>
  <c r="L34" i="4"/>
  <c r="Q44" i="4"/>
  <c r="L44" i="4"/>
  <c r="L33" i="4"/>
  <c r="Q42" i="4" s="1"/>
  <c r="Y107" i="1"/>
  <c r="Y110" i="1"/>
  <c r="K9" i="8"/>
  <c r="K9" i="1"/>
  <c r="Y149" i="1"/>
  <c r="BJ98" i="2"/>
  <c r="BI215" i="4" s="1"/>
  <c r="BJ22" i="1"/>
  <c r="BW196" i="1"/>
  <c r="BW201" i="1" s="1"/>
  <c r="J75" i="8"/>
  <c r="J86" i="8" s="1"/>
  <c r="E91" i="8"/>
  <c r="AO11" i="4"/>
  <c r="AO21" i="4" s="1"/>
  <c r="BI11" i="4"/>
  <c r="BI21" i="4" s="1"/>
  <c r="BI23" i="4" s="1"/>
  <c r="BI24" i="4" s="1"/>
  <c r="BI8" i="4"/>
  <c r="AF10" i="8"/>
  <c r="AH182" i="1"/>
  <c r="AL69" i="1"/>
  <c r="AL148" i="1"/>
  <c r="D10" i="1"/>
  <c r="R10" i="1"/>
  <c r="AX16" i="8"/>
  <c r="AZ10" i="8"/>
  <c r="BE30" i="8" s="1"/>
  <c r="BC25" i="8"/>
  <c r="AX10" i="1"/>
  <c r="BX16" i="8"/>
  <c r="BX25" i="8"/>
  <c r="AW30" i="8"/>
  <c r="AW25" i="8"/>
  <c r="AU10" i="8"/>
  <c r="AR16" i="8"/>
  <c r="AR10" i="1"/>
  <c r="AG30" i="8"/>
  <c r="BM31" i="8"/>
  <c r="BM89" i="8"/>
  <c r="BL21" i="8"/>
  <c r="BL64" i="8"/>
  <c r="AF33" i="1"/>
  <c r="AF139" i="1"/>
  <c r="AF170" i="1"/>
  <c r="AF169" i="1"/>
  <c r="AF11" i="8"/>
  <c r="AF49" i="1"/>
  <c r="AF95" i="2"/>
  <c r="AK25" i="1"/>
  <c r="AF41" i="1"/>
  <c r="AE194" i="4" s="1"/>
  <c r="AF96" i="2"/>
  <c r="AF45" i="1"/>
  <c r="BJ93" i="8"/>
  <c r="BJ41" i="8" s="1"/>
  <c r="BK99" i="8"/>
  <c r="BD99" i="8"/>
  <c r="AZ92" i="8"/>
  <c r="BR21" i="8"/>
  <c r="BR64" i="8"/>
  <c r="BW30" i="8"/>
  <c r="BR25" i="8"/>
  <c r="BJ94" i="8"/>
  <c r="BJ39" i="8"/>
  <c r="BJ75" i="8" s="1"/>
  <c r="BJ86" i="8" s="1"/>
  <c r="AJ77" i="8"/>
  <c r="AJ88" i="8" s="1"/>
  <c r="AE77" i="8"/>
  <c r="AJ59" i="8"/>
  <c r="AJ20" i="8" s="1"/>
  <c r="AE93" i="8"/>
  <c r="AF41" i="8"/>
  <c r="AC69" i="1"/>
  <c r="AC148" i="1"/>
  <c r="AC73" i="1"/>
  <c r="AC174" i="1"/>
  <c r="AC68" i="1"/>
  <c r="AB195" i="4" s="1"/>
  <c r="AC102" i="1"/>
  <c r="AD164" i="1"/>
  <c r="K91" i="8"/>
  <c r="BJ169" i="1"/>
  <c r="BW112" i="3"/>
  <c r="AY8" i="4"/>
  <c r="AC10" i="1"/>
  <c r="AC25" i="8"/>
  <c r="AH69" i="1"/>
  <c r="AG183" i="1"/>
  <c r="AE183" i="1"/>
  <c r="AD89" i="8"/>
  <c r="R64" i="8"/>
  <c r="BR16" i="8"/>
  <c r="BW25" i="8"/>
  <c r="BJ40" i="8"/>
  <c r="AC80" i="1"/>
  <c r="AF80" i="1" s="1"/>
  <c r="AF82" i="1" s="1"/>
  <c r="BC71" i="1"/>
  <c r="BC68" i="1"/>
  <c r="BB195" i="4" s="1"/>
  <c r="BC80" i="1"/>
  <c r="BC174" i="1"/>
  <c r="BH148" i="1"/>
  <c r="BC102" i="1"/>
  <c r="L41" i="8"/>
  <c r="K54" i="8"/>
  <c r="X164" i="1"/>
  <c r="X80" i="1"/>
  <c r="X174" i="1"/>
  <c r="Y164" i="1"/>
  <c r="BD41" i="1"/>
  <c r="BC194" i="4" s="1"/>
  <c r="BE38" i="1"/>
  <c r="BE41" i="1" s="1"/>
  <c r="BZ41" i="1"/>
  <c r="BY194" i="4" s="1"/>
  <c r="BM21" i="8"/>
  <c r="BM64" i="8"/>
  <c r="AL104" i="1"/>
  <c r="AP76" i="1"/>
  <c r="AW32" i="1"/>
  <c r="AZ34" i="1"/>
  <c r="AZ35" i="1" s="1"/>
  <c r="AZ39" i="1" s="1"/>
  <c r="AW35" i="1"/>
  <c r="AW39" i="1" s="1"/>
  <c r="AC98" i="2"/>
  <c r="AB215" i="4" s="1"/>
  <c r="AF65" i="1"/>
  <c r="Q172" i="1"/>
  <c r="Q53" i="1"/>
  <c r="Q171" i="1"/>
  <c r="AC146" i="1"/>
  <c r="AH146" i="1"/>
  <c r="V54" i="1"/>
  <c r="AC99" i="2"/>
  <c r="X176" i="1"/>
  <c r="Y176" i="1" s="1"/>
  <c r="W73" i="1"/>
  <c r="BJ170" i="1"/>
  <c r="BJ49" i="1"/>
  <c r="BO41" i="8"/>
  <c r="AG64" i="8"/>
  <c r="AE181" i="1"/>
  <c r="AE113" i="2" s="1"/>
  <c r="AC162" i="1"/>
  <c r="V119" i="1"/>
  <c r="Q104" i="1"/>
  <c r="BY54" i="1"/>
  <c r="BY145" i="1"/>
  <c r="BY53" i="1"/>
  <c r="BO49" i="1"/>
  <c r="BO50" i="1"/>
  <c r="BO144" i="1"/>
  <c r="AC172" i="1"/>
  <c r="BE57" i="1"/>
  <c r="BA56" i="1"/>
  <c r="AX32" i="1"/>
  <c r="AX35" i="1"/>
  <c r="AX39" i="1" s="1"/>
  <c r="AS32" i="1"/>
  <c r="AS35" i="1"/>
  <c r="AS39" i="1" s="1"/>
  <c r="BT53" i="1"/>
  <c r="BT171" i="1"/>
  <c r="BT54" i="1"/>
  <c r="BL66" i="1"/>
  <c r="BJ65" i="1"/>
  <c r="BG98" i="2"/>
  <c r="BF215" i="4" s="1"/>
  <c r="BG99" i="2"/>
  <c r="BG67" i="1"/>
  <c r="AZ91" i="8"/>
  <c r="AK56" i="1"/>
  <c r="AF54" i="1"/>
  <c r="X119" i="1"/>
  <c r="AA77" i="1"/>
  <c r="Z104" i="1"/>
  <c r="Z105" i="1" s="1"/>
  <c r="T104" i="1"/>
  <c r="AD56" i="1"/>
  <c r="BZ65" i="1"/>
  <c r="BZ67" i="1" s="1"/>
  <c r="BQ65" i="1"/>
  <c r="BV146" i="1" s="1"/>
  <c r="AI50" i="1"/>
  <c r="AK48" i="1"/>
  <c r="CH66" i="1"/>
  <c r="H105" i="1"/>
  <c r="AV99" i="8"/>
  <c r="CB99" i="8"/>
  <c r="AF119" i="1"/>
  <c r="AD104" i="1"/>
  <c r="BB146" i="1"/>
  <c r="CA54" i="1"/>
  <c r="BQ53" i="1"/>
  <c r="BT48" i="1"/>
  <c r="BD50" i="1"/>
  <c r="BI50" i="1"/>
  <c r="CD145" i="1"/>
  <c r="AK170" i="1"/>
  <c r="AC104" i="1"/>
  <c r="AV52" i="1"/>
  <c r="AP52" i="1"/>
  <c r="CB65" i="1"/>
  <c r="BK23" i="4"/>
  <c r="BK24" i="4" s="1"/>
  <c r="T117" i="1"/>
  <c r="J117" i="1"/>
  <c r="O117" i="1"/>
  <c r="AB104" i="1"/>
  <c r="W104" i="1"/>
  <c r="W105" i="1" s="1"/>
  <c r="H146" i="1"/>
  <c r="BG53" i="1"/>
  <c r="AF52" i="1"/>
  <c r="CB50" i="1"/>
  <c r="CA65" i="1"/>
  <c r="AS50" i="1"/>
  <c r="CJ141" i="1"/>
  <c r="CE98" i="2"/>
  <c r="CF110" i="2"/>
  <c r="CK110" i="2" s="1"/>
  <c r="CP110" i="2" s="1"/>
  <c r="CU110" i="2" s="1"/>
  <c r="CF106" i="2"/>
  <c r="CK106" i="2" s="1"/>
  <c r="CP106" i="2" s="1"/>
  <c r="CU106" i="2" s="1"/>
  <c r="CF95" i="2"/>
  <c r="CF109" i="2"/>
  <c r="CK109" i="2" s="1"/>
  <c r="CP109" i="2" s="1"/>
  <c r="CU109" i="2" s="1"/>
  <c r="CF105" i="2"/>
  <c r="CK105" i="2" s="1"/>
  <c r="CP105" i="2" s="1"/>
  <c r="CU105" i="2" s="1"/>
  <c r="BP46" i="1"/>
  <c r="BC46" i="1"/>
  <c r="BG37" i="1"/>
  <c r="BG40" i="1" s="1"/>
  <c r="BE36" i="1"/>
  <c r="BE37" i="1" s="1"/>
  <c r="BE40" i="1" s="1"/>
  <c r="AZ36" i="1"/>
  <c r="AZ37" i="1" s="1"/>
  <c r="AZ40" i="1" s="1"/>
  <c r="AW37" i="1"/>
  <c r="AW40" i="1" s="1"/>
  <c r="CB35" i="1"/>
  <c r="CB39" i="1" s="1"/>
  <c r="O214" i="4"/>
  <c r="CJ54" i="1"/>
  <c r="CJ145" i="1"/>
  <c r="CG144" i="1"/>
  <c r="CG160" i="1"/>
  <c r="CJ161" i="1"/>
  <c r="CJ55" i="1"/>
  <c r="CT59" i="1"/>
  <c r="CC49" i="1"/>
  <c r="CH49" i="1" s="1"/>
  <c r="CM49" i="1" s="1"/>
  <c r="CR49" i="1" s="1"/>
  <c r="CW49" i="1" s="1"/>
  <c r="CF49" i="1"/>
  <c r="CK49" i="1" s="1"/>
  <c r="CP49" i="1" s="1"/>
  <c r="CU49" i="1" s="1"/>
  <c r="CF32" i="1"/>
  <c r="CG18" i="1"/>
  <c r="AI45" i="1"/>
  <c r="AZ137" i="1"/>
  <c r="R214" i="4"/>
  <c r="H214" i="4"/>
  <c r="CG145" i="1"/>
  <c r="CG35" i="1"/>
  <c r="CL35" i="1" s="1"/>
  <c r="CQ35" i="1" s="1"/>
  <c r="CV35" i="1" s="1"/>
  <c r="CF45" i="1"/>
  <c r="CK45" i="1" s="1"/>
  <c r="CP45" i="1" s="1"/>
  <c r="CU45" i="1" s="1"/>
  <c r="CH32" i="1"/>
  <c r="BE44" i="1"/>
  <c r="BJ143" i="1" s="1"/>
  <c r="BJ36" i="1"/>
  <c r="BJ37" i="1" s="1"/>
  <c r="BJ40" i="1" s="1"/>
  <c r="BY138" i="1"/>
  <c r="T214" i="4"/>
  <c r="J214" i="4"/>
  <c r="G214" i="4"/>
  <c r="CJ46" i="1"/>
  <c r="CJ143" i="1"/>
  <c r="CJ159" i="1"/>
  <c r="CJ47" i="1"/>
  <c r="CF56" i="1"/>
  <c r="CI56" i="1" s="1"/>
  <c r="CE35" i="1"/>
  <c r="CJ137" i="1"/>
  <c r="BW47" i="1"/>
  <c r="BK169" i="1"/>
  <c r="V214" i="4"/>
  <c r="M214" i="4"/>
  <c r="AF66" i="3"/>
  <c r="CJ144" i="1"/>
  <c r="CJ50" i="1"/>
  <c r="CG143" i="1"/>
  <c r="CJ160" i="1"/>
  <c r="CJ51" i="1"/>
  <c r="CH24" i="1"/>
  <c r="CJ153" i="1"/>
  <c r="CH89" i="2"/>
  <c r="CI89" i="2" s="1"/>
  <c r="CI88" i="2"/>
  <c r="S112" i="3"/>
  <c r="S105" i="3"/>
  <c r="S196" i="1"/>
  <c r="S201" i="1" s="1"/>
  <c r="CH218" i="4"/>
  <c r="CH87" i="3"/>
  <c r="CH140" i="2"/>
  <c r="N23" i="4"/>
  <c r="N24" i="4" s="1"/>
  <c r="I21" i="4"/>
  <c r="M42" i="4"/>
  <c r="AZ10" i="3"/>
  <c r="AY64" i="3"/>
  <c r="BK16" i="8"/>
  <c r="BK25" i="8"/>
  <c r="BO10" i="8"/>
  <c r="BO25" i="8" s="1"/>
  <c r="AP218" i="4"/>
  <c r="AQ197" i="1"/>
  <c r="CN66" i="3"/>
  <c r="CG218" i="4"/>
  <c r="CN79" i="1"/>
  <c r="AF77" i="2"/>
  <c r="BA14" i="8"/>
  <c r="BE14" i="8" s="1"/>
  <c r="BA30" i="8"/>
  <c r="S30" i="8"/>
  <c r="Q10" i="8"/>
  <c r="S25" i="8"/>
  <c r="AQ218" i="4"/>
  <c r="AR197" i="1"/>
  <c r="AG64" i="3"/>
  <c r="AH64" i="3"/>
  <c r="CI63" i="2"/>
  <c r="CJ63" i="2" s="1"/>
  <c r="CJ59" i="2"/>
  <c r="BX53" i="3"/>
  <c r="BY51" i="3"/>
  <c r="AP21" i="4"/>
  <c r="AP23" i="4" s="1"/>
  <c r="AU23" i="4"/>
  <c r="AU24" i="4" s="1"/>
  <c r="CV66" i="3"/>
  <c r="CW12" i="3"/>
  <c r="BG23" i="4"/>
  <c r="BG24" i="4" s="1"/>
  <c r="AL22" i="4"/>
  <c r="BY93" i="8"/>
  <c r="BY91" i="8"/>
  <c r="Q22" i="4"/>
  <c r="CK13" i="3"/>
  <c r="P23" i="4"/>
  <c r="Q24" i="4"/>
  <c r="AU93" i="8"/>
  <c r="M93" i="8"/>
  <c r="AN87" i="3"/>
  <c r="BP23" i="4"/>
  <c r="BP24" i="4" s="1"/>
  <c r="AF24" i="4"/>
  <c r="K33" i="4"/>
  <c r="K37" i="4" s="1"/>
  <c r="CM58" i="1"/>
  <c r="CO58" i="1" s="1"/>
  <c r="CR40" i="1"/>
  <c r="CW40" i="1"/>
  <c r="CU82" i="1"/>
  <c r="CT91" i="1"/>
  <c r="CF68" i="2"/>
  <c r="CI61" i="2"/>
  <c r="CG59" i="2"/>
  <c r="P113" i="1"/>
  <c r="BV97" i="1"/>
  <c r="BV98" i="1" s="1"/>
  <c r="BY110" i="1"/>
  <c r="BV185" i="1"/>
  <c r="BW185" i="1"/>
  <c r="D196" i="1"/>
  <c r="D201" i="1" s="1"/>
  <c r="D105" i="3"/>
  <c r="BK150" i="1"/>
  <c r="BP88" i="1"/>
  <c r="BK88" i="1"/>
  <c r="BN185" i="1"/>
  <c r="AO99" i="1"/>
  <c r="BU98" i="1"/>
  <c r="AH62" i="3"/>
  <c r="AI8" i="3"/>
  <c r="BV117" i="3"/>
  <c r="AK112" i="1"/>
  <c r="BV111" i="1"/>
  <c r="P99" i="1"/>
  <c r="BY87" i="1"/>
  <c r="BW166" i="1"/>
  <c r="AE218" i="4"/>
  <c r="AF197" i="1"/>
  <c r="AO94" i="1"/>
  <c r="AJ94" i="1"/>
  <c r="C196" i="1"/>
  <c r="C201" i="1" s="1"/>
  <c r="C105" i="3"/>
  <c r="AR148" i="1"/>
  <c r="AR164" i="1"/>
  <c r="AR102" i="1"/>
  <c r="AR183" i="1"/>
  <c r="AR182" i="1"/>
  <c r="AR68" i="1"/>
  <c r="AQ195" i="4" s="1"/>
  <c r="BH103" i="1"/>
  <c r="BH105" i="1"/>
  <c r="C89" i="1"/>
  <c r="C175" i="1"/>
  <c r="C87" i="1"/>
  <c r="BL82" i="1"/>
  <c r="AU16" i="8"/>
  <c r="Q146" i="1"/>
  <c r="H70" i="447"/>
  <c r="CC89" i="8"/>
  <c r="AE105" i="1"/>
  <c r="H72" i="447"/>
  <c r="BI97" i="1"/>
  <c r="BI98" i="1" s="1"/>
  <c r="BI111" i="1"/>
  <c r="BI115" i="1"/>
  <c r="BI112" i="1"/>
  <c r="BI87" i="1"/>
  <c r="BI92" i="1"/>
  <c r="BI93" i="1" s="1"/>
  <c r="BI94" i="1" s="1"/>
  <c r="BI175" i="1"/>
  <c r="BI89" i="1"/>
  <c r="S84" i="8"/>
  <c r="S60" i="8"/>
  <c r="BY92" i="8"/>
  <c r="J10" i="8"/>
  <c r="AG21" i="8"/>
  <c r="L99" i="2"/>
  <c r="I81" i="8"/>
  <c r="I86" i="8" s="1"/>
  <c r="I55" i="8"/>
  <c r="I84" i="8" s="1"/>
  <c r="I89" i="8" s="1"/>
  <c r="E67" i="447"/>
  <c r="BJ81" i="310"/>
  <c r="BI194" i="4"/>
  <c r="E22" i="447"/>
  <c r="H110" i="1"/>
  <c r="H107" i="1"/>
  <c r="AE10" i="1"/>
  <c r="CA140" i="4"/>
  <c r="AV23" i="4"/>
  <c r="AV24" i="4" s="1"/>
  <c r="K34" i="4"/>
  <c r="K38" i="4" s="1"/>
  <c r="L22" i="4"/>
  <c r="Q43" i="4"/>
  <c r="X64" i="8"/>
  <c r="AC22" i="4"/>
  <c r="CH100" i="8"/>
  <c r="T64" i="8"/>
  <c r="AH89" i="8"/>
  <c r="Y25" i="8"/>
  <c r="BR23" i="4"/>
  <c r="BR24" i="4" s="1"/>
  <c r="CD104" i="1"/>
  <c r="G44" i="1"/>
  <c r="H47" i="1"/>
  <c r="AG62" i="4"/>
  <c r="AM139" i="1"/>
  <c r="AM49" i="1"/>
  <c r="CA43" i="8"/>
  <c r="BZ140" i="4"/>
  <c r="BQ38" i="1"/>
  <c r="BQ49" i="1"/>
  <c r="CR107" i="1"/>
  <c r="CW107" i="1" s="1"/>
  <c r="CV107" i="1"/>
  <c r="BV23" i="4"/>
  <c r="BV24" i="4" s="1"/>
  <c r="L48" i="1"/>
  <c r="P144" i="1"/>
  <c r="K51" i="1"/>
  <c r="BB21" i="4"/>
  <c r="BB23" i="4" s="1"/>
  <c r="BB24" i="4" s="1"/>
  <c r="M23" i="4"/>
  <c r="M24" i="4" s="1"/>
  <c r="L52" i="1"/>
  <c r="K55" i="1"/>
  <c r="I41" i="1"/>
  <c r="H194" i="4" s="1"/>
  <c r="I67" i="1"/>
  <c r="BN45" i="1"/>
  <c r="BN53" i="1"/>
  <c r="AW155" i="1"/>
  <c r="AW45" i="1"/>
  <c r="AW53" i="1"/>
  <c r="AR25" i="1"/>
  <c r="N45" i="1"/>
  <c r="N53" i="1"/>
  <c r="I53" i="1"/>
  <c r="J26" i="1"/>
  <c r="I45" i="1"/>
  <c r="I49" i="1"/>
  <c r="BJ117" i="1"/>
  <c r="AU117" i="1"/>
  <c r="AT65" i="1"/>
  <c r="I33" i="1"/>
  <c r="BA25" i="1"/>
  <c r="BA45" i="1"/>
  <c r="V18" i="1"/>
  <c r="V35" i="1" s="1"/>
  <c r="V39" i="1" s="1"/>
  <c r="Z137" i="1"/>
  <c r="U24" i="1"/>
  <c r="U53" i="1" s="1"/>
  <c r="U20" i="1"/>
  <c r="AY76" i="310"/>
  <c r="AT11" i="4"/>
  <c r="AY23" i="4" s="1"/>
  <c r="AY24" i="4" s="1"/>
  <c r="CP13" i="3"/>
  <c r="CO67" i="3"/>
  <c r="BI142" i="4"/>
  <c r="CJ56" i="1"/>
  <c r="CK57" i="1"/>
  <c r="CH110" i="2"/>
  <c r="CM110" i="2" s="1"/>
  <c r="CR110" i="2" s="1"/>
  <c r="CW110" i="2" s="1"/>
  <c r="CH106" i="2"/>
  <c r="CM106" i="2" s="1"/>
  <c r="CR106" i="2" s="1"/>
  <c r="CW106" i="2" s="1"/>
  <c r="CH210" i="1"/>
  <c r="CH38" i="1"/>
  <c r="CH211" i="1"/>
  <c r="CH96" i="2"/>
  <c r="CH95" i="2"/>
  <c r="CH109" i="2"/>
  <c r="CM109" i="2" s="1"/>
  <c r="CR109" i="2" s="1"/>
  <c r="CW109" i="2" s="1"/>
  <c r="CH105" i="2"/>
  <c r="CM105" i="2" s="1"/>
  <c r="CR105" i="2" s="1"/>
  <c r="CW105" i="2" s="1"/>
  <c r="CH209" i="1"/>
  <c r="D10" i="8"/>
  <c r="I30" i="8" s="1"/>
  <c r="K26" i="8"/>
  <c r="CE24" i="1"/>
  <c r="Z55" i="8"/>
  <c r="CE181" i="1"/>
  <c r="CE113" i="2" s="1"/>
  <c r="CF38" i="1"/>
  <c r="CH184" i="4"/>
  <c r="BZ105" i="4"/>
  <c r="BT21" i="4"/>
  <c r="BT23" i="4" s="1"/>
  <c r="BT24" i="4" s="1"/>
  <c r="BS119" i="4"/>
  <c r="BS114" i="4"/>
  <c r="O43" i="4"/>
  <c r="BK44" i="310"/>
  <c r="BL45" i="310"/>
  <c r="BJ36" i="310"/>
  <c r="BI40" i="310"/>
  <c r="BI41" i="310" s="1"/>
  <c r="BY115" i="4"/>
  <c r="CI116" i="4" s="1"/>
  <c r="BW115" i="4"/>
  <c r="BX113" i="4"/>
  <c r="BX116" i="4"/>
  <c r="BJ85" i="4"/>
  <c r="BK73" i="310" s="1"/>
  <c r="W30" i="4"/>
  <c r="Z29" i="4"/>
  <c r="BV66" i="4"/>
  <c r="BX69" i="4"/>
  <c r="BV76" i="4"/>
  <c r="BU80" i="4"/>
  <c r="BV79" i="4"/>
  <c r="BT136" i="4"/>
  <c r="BT139" i="4"/>
  <c r="BY138" i="4"/>
  <c r="BU139" i="4"/>
  <c r="BT128" i="4"/>
  <c r="BT138" i="4"/>
  <c r="BX137" i="4"/>
  <c r="BW136" i="4"/>
  <c r="BW128" i="4"/>
  <c r="BW139" i="4"/>
  <c r="BW138" i="4"/>
  <c r="CD140" i="4"/>
  <c r="CD138" i="4"/>
  <c r="CD136" i="4"/>
  <c r="CD128" i="4"/>
  <c r="CE139" i="4"/>
  <c r="BN114" i="4"/>
  <c r="AK63" i="4"/>
  <c r="P34" i="4"/>
  <c r="L43" i="4"/>
  <c r="CF42" i="310"/>
  <c r="CC118" i="4"/>
  <c r="CC119" i="4" s="1"/>
  <c r="CC116" i="4"/>
  <c r="CC113" i="4"/>
  <c r="CC114" i="4"/>
  <c r="BI182" i="4"/>
  <c r="BR80" i="4"/>
  <c r="BR66" i="4"/>
  <c r="BT76" i="4"/>
  <c r="BR76" i="4"/>
  <c r="BS69" i="4"/>
  <c r="BS105" i="4"/>
  <c r="BR108" i="4"/>
  <c r="BW109" i="4" s="1"/>
  <c r="P24" i="4"/>
  <c r="AI21" i="4"/>
  <c r="AI23" i="4" s="1"/>
  <c r="AN23" i="4"/>
  <c r="Q30" i="4"/>
  <c r="U29" i="4"/>
  <c r="BD13" i="4"/>
  <c r="BD21" i="4" s="1"/>
  <c r="BD23" i="4" s="1"/>
  <c r="BD24" i="4" s="1"/>
  <c r="BG80" i="4"/>
  <c r="BF69" i="4"/>
  <c r="BL80" i="4"/>
  <c r="BL76" i="4"/>
  <c r="BN69" i="4"/>
  <c r="BM76" i="4"/>
  <c r="BL66" i="4"/>
  <c r="BY139" i="4"/>
  <c r="BW132" i="4"/>
  <c r="CC137" i="4"/>
  <c r="CC128" i="4" s="1"/>
  <c r="CC126" i="4"/>
  <c r="BX130" i="4"/>
  <c r="CC130" i="4"/>
  <c r="BS136" i="4"/>
  <c r="BS134" i="4"/>
  <c r="BX134" i="4"/>
  <c r="BJ128" i="4"/>
  <c r="BJ132" i="4"/>
  <c r="BO138" i="4"/>
  <c r="BN137" i="4"/>
  <c r="BN132" i="4" s="1"/>
  <c r="BK139" i="4"/>
  <c r="BS113" i="4"/>
  <c r="R42" i="4"/>
  <c r="O21" i="4"/>
  <c r="O23" i="4" s="1"/>
  <c r="BQ112" i="4"/>
  <c r="BP114" i="4"/>
  <c r="BQ115" i="4"/>
  <c r="BP115" i="4"/>
  <c r="BP112" i="4"/>
  <c r="BU114" i="4"/>
  <c r="BL109" i="4"/>
  <c r="BN108" i="4"/>
  <c r="BN109" i="4" s="1"/>
  <c r="BQ109" i="4"/>
  <c r="BX106" i="4"/>
  <c r="BS116" i="4"/>
  <c r="BS106" i="4"/>
  <c r="CE113" i="4"/>
  <c r="CE115" i="4" s="1"/>
  <c r="CJ116" i="4" s="1"/>
  <c r="CF113" i="4"/>
  <c r="CE114" i="4"/>
  <c r="BJ136" i="4"/>
  <c r="BX162" i="4"/>
  <c r="BX169" i="4" s="1"/>
  <c r="BS162" i="4"/>
  <c r="BS169" i="4" s="1"/>
  <c r="BS173" i="4" s="1"/>
  <c r="BS163" i="4"/>
  <c r="CJ143" i="4"/>
  <c r="CK143" i="4" s="1"/>
  <c r="CH143" i="4"/>
  <c r="CT69" i="4"/>
  <c r="CS66" i="4"/>
  <c r="CJ66" i="4"/>
  <c r="CJ76" i="4"/>
  <c r="CH125" i="4"/>
  <c r="CG127" i="4"/>
  <c r="CG126" i="4"/>
  <c r="X42" i="4"/>
  <c r="AA23" i="4"/>
  <c r="BH23" i="4"/>
  <c r="BH24" i="4" s="1"/>
  <c r="AK23" i="4"/>
  <c r="AK24" i="4" s="1"/>
  <c r="BX184" i="4"/>
  <c r="BJ80" i="4"/>
  <c r="S42" i="4"/>
  <c r="CC184" i="4"/>
  <c r="CC185" i="4" s="1"/>
  <c r="BQ80" i="4"/>
  <c r="BZ69" i="4"/>
  <c r="BN11" i="4"/>
  <c r="BN21" i="4" s="1"/>
  <c r="BN23" i="4" s="1"/>
  <c r="BN24" i="4" s="1"/>
  <c r="AH23" i="4"/>
  <c r="AH24" i="4" s="1"/>
  <c r="BC23" i="4"/>
  <c r="BC24" i="4" s="1"/>
  <c r="BO80" i="4"/>
  <c r="CK98" i="3"/>
  <c r="CL44" i="3"/>
  <c r="CG200" i="4"/>
  <c r="CH211" i="4"/>
  <c r="CI199" i="1"/>
  <c r="CG52" i="2"/>
  <c r="CI82" i="2"/>
  <c r="CH84" i="2"/>
  <c r="CI84" i="2" s="1"/>
  <c r="CH51" i="2"/>
  <c r="CP37" i="3"/>
  <c r="CQ9" i="2"/>
  <c r="CR9" i="2" s="1"/>
  <c r="CO41" i="2"/>
  <c r="CN41" i="2"/>
  <c r="V84" i="2"/>
  <c r="CO21" i="2"/>
  <c r="CP21" i="2" s="1"/>
  <c r="CQ21" i="2" s="1"/>
  <c r="CR21" i="2" s="1"/>
  <c r="CN21" i="2"/>
  <c r="CL56" i="2"/>
  <c r="CN56" i="2" s="1"/>
  <c r="CL42" i="3"/>
  <c r="AT220" i="4"/>
  <c r="AU86" i="3"/>
  <c r="CT33" i="2"/>
  <c r="CS33" i="2"/>
  <c r="AS200" i="4"/>
  <c r="AT51" i="2"/>
  <c r="CO40" i="2"/>
  <c r="CN40" i="2"/>
  <c r="CT38" i="2"/>
  <c r="CU38" i="2" s="1"/>
  <c r="CV38" i="2" s="1"/>
  <c r="CW38" i="2" s="1"/>
  <c r="CX38" i="2" s="1"/>
  <c r="CS38" i="2"/>
  <c r="CS18" i="2"/>
  <c r="CT18" i="2"/>
  <c r="CU18" i="2" s="1"/>
  <c r="CV18" i="2" s="1"/>
  <c r="CW18" i="2" s="1"/>
  <c r="CX18" i="2" s="1"/>
  <c r="CJ93" i="3"/>
  <c r="CK39" i="3"/>
  <c r="CT11" i="2"/>
  <c r="CU11" i="2" s="1"/>
  <c r="CV11" i="2" s="1"/>
  <c r="CW11" i="2" s="1"/>
  <c r="CX11" i="2" s="1"/>
  <c r="CS11" i="2"/>
  <c r="CL46" i="2"/>
  <c r="CM46" i="2" s="1"/>
  <c r="CK48" i="3"/>
  <c r="CO12" i="2"/>
  <c r="CP12" i="2" s="1"/>
  <c r="CQ12" i="2" s="1"/>
  <c r="CR12" i="2" s="1"/>
  <c r="CN12" i="2"/>
  <c r="AJ78" i="2"/>
  <c r="AK78" i="2" s="1"/>
  <c r="BO197" i="4"/>
  <c r="CL29" i="2"/>
  <c r="BH93" i="3"/>
  <c r="AA82" i="2"/>
  <c r="BJ87" i="2"/>
  <c r="BF89" i="2"/>
  <c r="BJ89" i="2" s="1"/>
  <c r="AK81" i="2"/>
  <c r="BA57" i="2"/>
  <c r="BE57" i="2" s="1"/>
  <c r="BE70" i="2"/>
  <c r="BE69" i="2" s="1"/>
  <c r="CK193" i="1"/>
  <c r="AZ25" i="3"/>
  <c r="AY79" i="3"/>
  <c r="CJ212" i="4"/>
  <c r="W200" i="4"/>
  <c r="CD125" i="2"/>
  <c r="CC128" i="2"/>
  <c r="CD128" i="2" s="1"/>
  <c r="AB34" i="2"/>
  <c r="AB43" i="2" s="1"/>
  <c r="AB51" i="2" s="1"/>
  <c r="AB52" i="2" s="1"/>
  <c r="CW60" i="2"/>
  <c r="CX60" i="2" s="1"/>
  <c r="CJ118" i="1"/>
  <c r="CK59" i="2"/>
  <c r="CK63" i="2"/>
  <c r="CX97" i="3"/>
  <c r="AX186" i="310"/>
  <c r="AS187" i="310"/>
  <c r="AS188" i="310" s="1"/>
  <c r="AC70" i="310"/>
  <c r="AN187" i="310"/>
  <c r="AN188" i="310" s="1"/>
  <c r="BH108" i="310"/>
  <c r="BH110" i="310" s="1"/>
  <c r="BK45" i="310"/>
  <c r="AR69" i="310"/>
  <c r="CD49" i="310"/>
  <c r="U251" i="310"/>
  <c r="Z269" i="310"/>
  <c r="U269" i="310"/>
  <c r="U270" i="310" s="1"/>
  <c r="AK165" i="310"/>
  <c r="AU208" i="310"/>
  <c r="AS148" i="310"/>
  <c r="AS144" i="310"/>
  <c r="AZ133" i="310"/>
  <c r="AF185" i="310"/>
  <c r="AR70" i="310"/>
  <c r="AG217" i="310"/>
  <c r="AV69" i="310"/>
  <c r="T285" i="310"/>
  <c r="BE189" i="310"/>
  <c r="AG187" i="310"/>
  <c r="AG188" i="310" s="1"/>
  <c r="AS214" i="310"/>
  <c r="F267" i="310"/>
  <c r="T270" i="310"/>
  <c r="N270" i="310"/>
  <c r="AF202" i="310"/>
  <c r="AZ114" i="310"/>
  <c r="AZ96" i="310"/>
  <c r="I251" i="310"/>
  <c r="P269" i="310"/>
  <c r="CI18" i="310"/>
  <c r="AX184" i="310"/>
  <c r="AI214" i="310"/>
  <c r="AU196" i="310"/>
  <c r="Z196" i="310"/>
  <c r="AK190" i="310"/>
  <c r="AI185" i="310"/>
  <c r="AS145" i="310"/>
  <c r="AS143" i="310"/>
  <c r="AV64" i="310"/>
  <c r="BF58" i="310"/>
  <c r="AO23" i="4"/>
  <c r="BZ94" i="4"/>
  <c r="CL143" i="4"/>
  <c r="CN143" i="4" s="1"/>
  <c r="BR43" i="310"/>
  <c r="BR40" i="310"/>
  <c r="BR41" i="310" s="1"/>
  <c r="BX155" i="4"/>
  <c r="BX183" i="4"/>
  <c r="BX166" i="4"/>
  <c r="CH126" i="4"/>
  <c r="CF66" i="4"/>
  <c r="CG69" i="4"/>
  <c r="CH130" i="4"/>
  <c r="BI183" i="4"/>
  <c r="BN185" i="4"/>
  <c r="BZ67" i="4"/>
  <c r="CA76" i="4"/>
  <c r="BZ66" i="4"/>
  <c r="CC69" i="4"/>
  <c r="BZ76" i="4"/>
  <c r="CO76" i="4"/>
  <c r="BS183" i="4"/>
  <c r="BS185" i="4"/>
  <c r="BX185" i="4"/>
  <c r="BS166" i="4"/>
  <c r="BN155" i="4"/>
  <c r="BN183" i="4"/>
  <c r="BN166" i="4"/>
  <c r="BY86" i="4"/>
  <c r="BX86" i="4"/>
  <c r="CG137" i="4"/>
  <c r="CG132" i="4" s="1"/>
  <c r="AM24" i="4"/>
  <c r="BG42" i="310"/>
  <c r="L24" i="4"/>
  <c r="AC24" i="4"/>
  <c r="CG130" i="4"/>
  <c r="CG135" i="4"/>
  <c r="CH133" i="4"/>
  <c r="CH137" i="4" s="1"/>
  <c r="AP24" i="4"/>
  <c r="CG131" i="4"/>
  <c r="D34" i="8"/>
  <c r="D35" i="8" s="1"/>
  <c r="AX30" i="8"/>
  <c r="AX14" i="8"/>
  <c r="AZ14" i="8" s="1"/>
  <c r="BI62" i="8"/>
  <c r="BI99" i="8"/>
  <c r="BN58" i="8"/>
  <c r="BN19" i="8" s="1"/>
  <c r="BO53" i="8"/>
  <c r="BN55" i="8"/>
  <c r="BN82" i="8"/>
  <c r="BN87" i="8" s="1"/>
  <c r="BP60" i="8"/>
  <c r="BP84" i="8"/>
  <c r="BT55" i="8"/>
  <c r="AU55" i="8"/>
  <c r="AS84" i="8"/>
  <c r="AS60" i="8"/>
  <c r="BI31" i="8"/>
  <c r="BI89" i="8"/>
  <c r="CG99" i="8"/>
  <c r="CG62" i="8"/>
  <c r="CA29" i="8"/>
  <c r="CA14" i="8"/>
  <c r="R30" i="8"/>
  <c r="R14" i="8"/>
  <c r="BT82" i="8"/>
  <c r="BT58" i="8"/>
  <c r="BT19" i="8" s="1"/>
  <c r="BO76" i="8"/>
  <c r="BO77" i="8"/>
  <c r="BT77" i="8"/>
  <c r="BT83" i="8"/>
  <c r="BT59" i="8"/>
  <c r="BT20" i="8" s="1"/>
  <c r="AJ53" i="8"/>
  <c r="AJ49" i="8"/>
  <c r="AK49" i="8" s="1"/>
  <c r="AK47" i="8"/>
  <c r="BL29" i="8"/>
  <c r="BL14" i="8"/>
  <c r="AA86" i="8"/>
  <c r="N86" i="8"/>
  <c r="CF84" i="8"/>
  <c r="AC30" i="8"/>
  <c r="CC81" i="8"/>
  <c r="CC86" i="8" s="1"/>
  <c r="AT86" i="8"/>
  <c r="AO86" i="8"/>
  <c r="W22" i="4"/>
  <c r="W24" i="4" s="1"/>
  <c r="AI86" i="8"/>
  <c r="CA55" i="8"/>
  <c r="CE58" i="8"/>
  <c r="CE19" i="8" s="1"/>
  <c r="CH60" i="8"/>
  <c r="CH84" i="8"/>
  <c r="AQ22" i="4"/>
  <c r="AQ24" i="4" s="1"/>
  <c r="BS30" i="8"/>
  <c r="X86" i="8"/>
  <c r="E34" i="8"/>
  <c r="E35" i="8" s="1"/>
  <c r="CH59" i="8"/>
  <c r="CH20" i="8" s="1"/>
  <c r="CH58" i="8"/>
  <c r="CH19" i="8" s="1"/>
  <c r="D55" i="8"/>
  <c r="S22" i="4"/>
  <c r="S24" i="4" s="1"/>
  <c r="M16" i="8"/>
  <c r="M14" i="8" s="1"/>
  <c r="AM88" i="8"/>
  <c r="AQ72" i="8"/>
  <c r="AQ99" i="8" s="1"/>
  <c r="AL72" i="8"/>
  <c r="AL99" i="8" s="1"/>
  <c r="AE49" i="8"/>
  <c r="AE55" i="8" s="1"/>
  <c r="CH86" i="8"/>
  <c r="CH83" i="8"/>
  <c r="CH88" i="8" s="1"/>
  <c r="CH82" i="8"/>
  <c r="CH87" i="8" s="1"/>
  <c r="J70" i="310"/>
  <c r="O69" i="310"/>
  <c r="J77" i="310"/>
  <c r="K70" i="310"/>
  <c r="CI63" i="310"/>
  <c r="CI84" i="310"/>
  <c r="BK98" i="310"/>
  <c r="BL98" i="310" s="1"/>
  <c r="BM98" i="310" s="1"/>
  <c r="AS186" i="310"/>
  <c r="BH135" i="310"/>
  <c r="BH42" i="310"/>
  <c r="AU55" i="310"/>
  <c r="AB165" i="310"/>
  <c r="BJ201" i="310"/>
  <c r="BI100" i="310"/>
  <c r="AN68" i="310"/>
  <c r="AN70" i="310" s="1"/>
  <c r="BI112" i="310"/>
  <c r="BK112" i="310" s="1"/>
  <c r="W251" i="310"/>
  <c r="V285" i="310"/>
  <c r="AL186" i="310"/>
  <c r="U246" i="310"/>
  <c r="P281" i="310"/>
  <c r="P282" i="310" s="1"/>
  <c r="AH165" i="310"/>
  <c r="CD79" i="310"/>
  <c r="CI52" i="310"/>
  <c r="BI126" i="310"/>
  <c r="BJ126" i="310" s="1"/>
  <c r="Q245" i="310"/>
  <c r="V246" i="310" s="1"/>
  <c r="F258" i="310"/>
  <c r="R247" i="310"/>
  <c r="P264" i="310"/>
  <c r="BL31" i="310"/>
  <c r="BL68" i="310" s="1"/>
  <c r="BQ22" i="310"/>
  <c r="U261" i="310"/>
  <c r="AB217" i="310"/>
  <c r="F275" i="310"/>
  <c r="F276" i="310" s="1"/>
  <c r="U278" i="310"/>
  <c r="U279" i="310" s="1"/>
  <c r="AJ216" i="310"/>
  <c r="BK31" i="310"/>
  <c r="BP22" i="310"/>
  <c r="BN28" i="310"/>
  <c r="BI21" i="310"/>
  <c r="BK23" i="310" s="1"/>
  <c r="CI64" i="310"/>
  <c r="BH23" i="310"/>
  <c r="BM22" i="310"/>
  <c r="AZ110" i="310"/>
  <c r="AZ103" i="310"/>
  <c r="BT72" i="310"/>
  <c r="BH33" i="310"/>
  <c r="BL22" i="310"/>
  <c r="BL23" i="310"/>
  <c r="BM23" i="310"/>
  <c r="BG22" i="310"/>
  <c r="BG23" i="310"/>
  <c r="V234" i="310"/>
  <c r="AR173" i="310"/>
  <c r="BX40" i="310"/>
  <c r="BX41" i="310" s="1"/>
  <c r="BN40" i="310"/>
  <c r="BN41" i="310" s="1"/>
  <c r="BO21" i="310"/>
  <c r="BT22" i="310" s="1"/>
  <c r="BK22" i="310"/>
  <c r="BF23" i="310"/>
  <c r="F264" i="310"/>
  <c r="AA238" i="310"/>
  <c r="AZ155" i="310"/>
  <c r="BQ40" i="310"/>
  <c r="BJ18" i="310"/>
  <c r="CF69" i="310"/>
  <c r="BR45" i="310"/>
  <c r="CF45" i="310"/>
  <c r="BJ127" i="310"/>
  <c r="K77" i="310"/>
  <c r="AP173" i="310"/>
  <c r="AQ77" i="310"/>
  <c r="AZ180" i="310"/>
  <c r="AP162" i="310"/>
  <c r="BE92" i="310"/>
  <c r="BT18" i="310"/>
  <c r="BT43" i="310"/>
  <c r="BT44" i="310" s="1"/>
  <c r="AI260" i="310"/>
  <c r="AI278" i="310" s="1"/>
  <c r="AI279" i="310" s="1"/>
  <c r="AN261" i="310"/>
  <c r="BE79" i="310"/>
  <c r="BD69" i="310"/>
  <c r="AY77" i="310"/>
  <c r="AA264" i="310"/>
  <c r="AA80" i="310"/>
  <c r="AZ174" i="310"/>
  <c r="AZ182" i="310" s="1"/>
  <c r="AW182" i="310"/>
  <c r="AX175" i="310"/>
  <c r="AW208" i="310"/>
  <c r="AW175" i="310"/>
  <c r="AW176" i="310"/>
  <c r="BI114" i="310"/>
  <c r="AH80" i="310"/>
  <c r="AH76" i="310"/>
  <c r="BI42" i="310"/>
  <c r="G16" i="447"/>
  <c r="AO186" i="310"/>
  <c r="AO217" i="310"/>
  <c r="AO187" i="310"/>
  <c r="AO188" i="310" s="1"/>
  <c r="AO68" i="310"/>
  <c r="AP68" i="310" s="1"/>
  <c r="BE120" i="310"/>
  <c r="BE121" i="310" s="1"/>
  <c r="BB138" i="310"/>
  <c r="BB139" i="310" s="1"/>
  <c r="BB121" i="310"/>
  <c r="AW143" i="310"/>
  <c r="AW145" i="310"/>
  <c r="AX116" i="310"/>
  <c r="AW117" i="310"/>
  <c r="AW144" i="310"/>
  <c r="AW147" i="310"/>
  <c r="AW116" i="310"/>
  <c r="AW148" i="310"/>
  <c r="BB117" i="310"/>
  <c r="BD106" i="310"/>
  <c r="BD115" i="310"/>
  <c r="BD105" i="310"/>
  <c r="BD130" i="310"/>
  <c r="BF105" i="310"/>
  <c r="BK105" i="310" s="1"/>
  <c r="BP105" i="310" s="1"/>
  <c r="BU105" i="310" s="1"/>
  <c r="BZ105" i="310" s="1"/>
  <c r="CE105" i="310" s="1"/>
  <c r="CJ105" i="310" s="1"/>
  <c r="CO105" i="310" s="1"/>
  <c r="CT105" i="310" s="1"/>
  <c r="BE100" i="310"/>
  <c r="BE127" i="310"/>
  <c r="AO80" i="310"/>
  <c r="AT80" i="310" s="1"/>
  <c r="AT79" i="310" s="1"/>
  <c r="AO76" i="310"/>
  <c r="AP79" i="310"/>
  <c r="AP80" i="310" s="1"/>
  <c r="V76" i="310"/>
  <c r="T77" i="310"/>
  <c r="N77" i="310"/>
  <c r="Q76" i="310"/>
  <c r="L76" i="310"/>
  <c r="BW68" i="310"/>
  <c r="BX70" i="310" s="1"/>
  <c r="BY72" i="310"/>
  <c r="BM68" i="310"/>
  <c r="BM69" i="310" s="1"/>
  <c r="BO72" i="310"/>
  <c r="BG73" i="310"/>
  <c r="BG68" i="310"/>
  <c r="BJ68" i="310" s="1"/>
  <c r="BJ72" i="310"/>
  <c r="AZ72" i="310"/>
  <c r="AZ73" i="310" s="1"/>
  <c r="AW73" i="310"/>
  <c r="AS68" i="310"/>
  <c r="AU72" i="310"/>
  <c r="AJ73" i="310"/>
  <c r="AJ68" i="310"/>
  <c r="AL70" i="310" s="1"/>
  <c r="M69" i="310"/>
  <c r="L68" i="310"/>
  <c r="BJ57" i="310"/>
  <c r="BJ52" i="310"/>
  <c r="BZ62" i="310"/>
  <c r="BZ40" i="310"/>
  <c r="BZ63" i="310"/>
  <c r="BZ33" i="310"/>
  <c r="BZ64" i="310"/>
  <c r="BZ32" i="310"/>
  <c r="CE41" i="310"/>
  <c r="CA33" i="310"/>
  <c r="CD31" i="310"/>
  <c r="BV63" i="310"/>
  <c r="CA32" i="310"/>
  <c r="BV64" i="310"/>
  <c r="BV33" i="310"/>
  <c r="BY31" i="310"/>
  <c r="BV40" i="310"/>
  <c r="BV41" i="310" s="1"/>
  <c r="BV62" i="310"/>
  <c r="BV32" i="310"/>
  <c r="BQ62" i="310"/>
  <c r="BQ64" i="310"/>
  <c r="BQ63" i="310"/>
  <c r="BQ33" i="310"/>
  <c r="BO11" i="310"/>
  <c r="F55" i="447" s="1"/>
  <c r="F56" i="447" s="1"/>
  <c r="E9" i="447"/>
  <c r="E10" i="447" s="1"/>
  <c r="BJ11" i="310"/>
  <c r="E55" i="447" s="1"/>
  <c r="AY193" i="310"/>
  <c r="AY159" i="310"/>
  <c r="BA157" i="310"/>
  <c r="AY158" i="310"/>
  <c r="AZ157" i="310"/>
  <c r="AY163" i="310"/>
  <c r="BJ112" i="310"/>
  <c r="BJ114" i="310" s="1"/>
  <c r="AP72" i="310"/>
  <c r="AP73" i="310" s="1"/>
  <c r="V68" i="310"/>
  <c r="U70" i="310"/>
  <c r="U77" i="310"/>
  <c r="CD52" i="310"/>
  <c r="BQ32" i="310"/>
  <c r="AZ136" i="310"/>
  <c r="AK213" i="310"/>
  <c r="AK208" i="310"/>
  <c r="BI106" i="310"/>
  <c r="AL77" i="310"/>
  <c r="BS108" i="4"/>
  <c r="BS109" i="4" s="1"/>
  <c r="BR109" i="4"/>
  <c r="BN44" i="310"/>
  <c r="BN45" i="310"/>
  <c r="BP40" i="310"/>
  <c r="BQ42" i="310" s="1"/>
  <c r="BT37" i="310"/>
  <c r="BR68" i="310"/>
  <c r="BJ40" i="310"/>
  <c r="BY79" i="310"/>
  <c r="AM214" i="310"/>
  <c r="AM216" i="310"/>
  <c r="AK182" i="310"/>
  <c r="AI183" i="310"/>
  <c r="AM184" i="310"/>
  <c r="AH185" i="310"/>
  <c r="AH183" i="310"/>
  <c r="AC184" i="310"/>
  <c r="AC183" i="310"/>
  <c r="AT165" i="310"/>
  <c r="AU163" i="310"/>
  <c r="AT164" i="310"/>
  <c r="AP163" i="310"/>
  <c r="AP165" i="310" s="1"/>
  <c r="AQ164" i="310"/>
  <c r="AO164" i="310"/>
  <c r="AI165" i="310"/>
  <c r="AI164" i="310"/>
  <c r="AD164" i="310"/>
  <c r="AU155" i="310"/>
  <c r="AP155" i="310"/>
  <c r="AZ130" i="310"/>
  <c r="BV14" i="310"/>
  <c r="BQ14" i="310"/>
  <c r="BP89" i="4"/>
  <c r="BN15" i="310"/>
  <c r="BR14" i="310"/>
  <c r="BO13" i="310"/>
  <c r="BO7" i="310" s="1"/>
  <c r="BE13" i="310"/>
  <c r="BC14" i="310"/>
  <c r="BC15" i="310"/>
  <c r="AX15" i="310"/>
  <c r="AZ13" i="310"/>
  <c r="BE14" i="310" s="1"/>
  <c r="BA171" i="310"/>
  <c r="BB171" i="310" s="1"/>
  <c r="AZ171" i="310"/>
  <c r="AZ205" i="310" s="1"/>
  <c r="AY172" i="310"/>
  <c r="AY182" i="310"/>
  <c r="AY185" i="310" s="1"/>
  <c r="AY217" i="310" s="1"/>
  <c r="AY205" i="310"/>
  <c r="BJ100" i="310"/>
  <c r="CD57" i="310"/>
  <c r="T279" i="310"/>
  <c r="I279" i="310"/>
  <c r="I287" i="310"/>
  <c r="I288" i="310" s="1"/>
  <c r="R276" i="310"/>
  <c r="R287" i="310"/>
  <c r="R288" i="310" s="1"/>
  <c r="M276" i="310"/>
  <c r="M287" i="310"/>
  <c r="M288" i="310" s="1"/>
  <c r="L263" i="310"/>
  <c r="L264" i="310" s="1"/>
  <c r="K264" i="310"/>
  <c r="K281" i="310"/>
  <c r="K282" i="310" s="1"/>
  <c r="U275" i="310"/>
  <c r="U276" i="310" s="1"/>
  <c r="V257" i="310"/>
  <c r="V258" i="310" s="1"/>
  <c r="U258" i="310"/>
  <c r="Y250" i="310"/>
  <c r="Y251" i="310"/>
  <c r="T251" i="310"/>
  <c r="S251" i="310"/>
  <c r="S250" i="310"/>
  <c r="L245" i="310"/>
  <c r="L267" i="310" s="1"/>
  <c r="K284" i="310"/>
  <c r="K285" i="310" s="1"/>
  <c r="K267" i="310"/>
  <c r="K247" i="310"/>
  <c r="AB231" i="310"/>
  <c r="AG229" i="310"/>
  <c r="L229" i="310"/>
  <c r="L261" i="310" s="1"/>
  <c r="K278" i="310"/>
  <c r="K231" i="310"/>
  <c r="K261" i="310"/>
  <c r="M231" i="310"/>
  <c r="Z258" i="310"/>
  <c r="AE258" i="310" s="1"/>
  <c r="AJ258" i="310" s="1"/>
  <c r="AO258" i="310" s="1"/>
  <c r="AT258" i="310" s="1"/>
  <c r="AY258" i="310" s="1"/>
  <c r="BD258" i="310" s="1"/>
  <c r="BI258" i="310" s="1"/>
  <c r="BN258" i="310" s="1"/>
  <c r="BS258" i="310" s="1"/>
  <c r="BX258" i="310" s="1"/>
  <c r="CC258" i="310" s="1"/>
  <c r="CH258" i="310" s="1"/>
  <c r="CM258" i="310" s="1"/>
  <c r="CR258" i="310" s="1"/>
  <c r="CW258" i="310" s="1"/>
  <c r="AA225" i="310"/>
  <c r="AA226" i="310" s="1"/>
  <c r="Z226" i="310"/>
  <c r="AB225" i="310"/>
  <c r="L225" i="310"/>
  <c r="P226" i="310"/>
  <c r="AV214" i="310"/>
  <c r="AL183" i="310"/>
  <c r="AL214" i="310"/>
  <c r="AL184" i="310"/>
  <c r="AM183" i="310"/>
  <c r="AS172" i="310"/>
  <c r="AX173" i="310"/>
  <c r="BV58" i="310"/>
  <c r="BQ58" i="310"/>
  <c r="BW14" i="310"/>
  <c r="BV89" i="4"/>
  <c r="BX15" i="310"/>
  <c r="CB14" i="310"/>
  <c r="BW15" i="310"/>
  <c r="G284" i="310"/>
  <c r="G285" i="310" s="1"/>
  <c r="F285" i="310"/>
  <c r="BV45" i="310"/>
  <c r="BW45" i="310"/>
  <c r="BV44" i="310"/>
  <c r="BM63" i="310"/>
  <c r="BM33" i="310"/>
  <c r="BM62" i="310"/>
  <c r="BN33" i="310"/>
  <c r="BM32" i="310"/>
  <c r="BM64" i="310"/>
  <c r="BO31" i="310"/>
  <c r="BO63" i="310" s="1"/>
  <c r="BD40" i="310"/>
  <c r="BD64" i="310"/>
  <c r="BD62" i="310"/>
  <c r="BD33" i="310"/>
  <c r="AY63" i="310"/>
  <c r="AY62" i="310"/>
  <c r="AY58" i="310"/>
  <c r="AY40" i="310"/>
  <c r="AY42" i="310" s="1"/>
  <c r="BA33" i="310"/>
  <c r="AY33" i="310"/>
  <c r="BO25" i="310"/>
  <c r="BO55" i="310"/>
  <c r="BY28" i="310"/>
  <c r="BJ27" i="310"/>
  <c r="BI29" i="310"/>
  <c r="BD29" i="310"/>
  <c r="BC29" i="310"/>
  <c r="BY84" i="310"/>
  <c r="BE84" i="310"/>
  <c r="BE52" i="310"/>
  <c r="BJ84" i="310"/>
  <c r="CG68" i="310"/>
  <c r="CI68" i="310" s="1"/>
  <c r="AP205" i="310"/>
  <c r="AK176" i="310"/>
  <c r="AU162" i="310"/>
  <c r="AW139" i="310"/>
  <c r="AT55" i="310"/>
  <c r="CA41" i="310"/>
  <c r="AF208" i="310"/>
  <c r="AK205" i="310"/>
  <c r="AZ106" i="310"/>
  <c r="BZ58" i="310"/>
  <c r="CH45" i="310"/>
  <c r="BK153" i="310"/>
  <c r="BN89" i="4"/>
  <c r="CG69" i="310"/>
  <c r="AT199" i="310"/>
  <c r="AO199" i="310"/>
  <c r="AI199" i="310"/>
  <c r="AD199" i="310"/>
  <c r="AF193" i="310"/>
  <c r="AP190" i="310"/>
  <c r="AP182" i="310"/>
  <c r="AP185" i="310" s="1"/>
  <c r="BE138" i="310"/>
  <c r="AZ124" i="310"/>
  <c r="BE133" i="310"/>
  <c r="BZ68" i="310"/>
  <c r="CA70" i="310" s="1"/>
  <c r="AT49" i="310"/>
  <c r="AR31" i="310"/>
  <c r="CD28" i="310"/>
  <c r="BG29" i="310"/>
  <c r="BQ261" i="310"/>
  <c r="T287" i="310"/>
  <c r="T288" i="310" s="1"/>
  <c r="T282" i="310"/>
  <c r="V281" i="310"/>
  <c r="V282" i="310" s="1"/>
  <c r="W287" i="310"/>
  <c r="W288" i="310" s="1"/>
  <c r="W279" i="310"/>
  <c r="Y276" i="310"/>
  <c r="Y287" i="310"/>
  <c r="Y288" i="310" s="1"/>
  <c r="N276" i="310"/>
  <c r="N287" i="310"/>
  <c r="N288" i="310" s="1"/>
  <c r="Q229" i="310"/>
  <c r="R231" i="310"/>
  <c r="P231" i="310"/>
  <c r="U230" i="310"/>
  <c r="P230" i="310"/>
  <c r="P249" i="310"/>
  <c r="P68" i="310"/>
  <c r="P261" i="310"/>
  <c r="P278" i="310"/>
  <c r="P279" i="310" s="1"/>
  <c r="AU193" i="310"/>
  <c r="AU198" i="310"/>
  <c r="CI7" i="310"/>
  <c r="CI8" i="310" s="1"/>
  <c r="BX108" i="4"/>
  <c r="BE72" i="310"/>
  <c r="BA68" i="310"/>
  <c r="BA70" i="310" s="1"/>
  <c r="BA73" i="310"/>
  <c r="BO43" i="310"/>
  <c r="BO44" i="310" s="1"/>
  <c r="BM45" i="310"/>
  <c r="AA246" i="310"/>
  <c r="N285" i="310"/>
  <c r="N282" i="310"/>
  <c r="Q281" i="310"/>
  <c r="Q282" i="310" s="1"/>
  <c r="L278" i="310"/>
  <c r="J287" i="310"/>
  <c r="J288" i="310" s="1"/>
  <c r="J279" i="310"/>
  <c r="BY7" i="310"/>
  <c r="CD14" i="310"/>
  <c r="I59" i="447" s="1"/>
  <c r="I60" i="447" s="1"/>
  <c r="CE42" i="310"/>
  <c r="CC42" i="310"/>
  <c r="CD40" i="310"/>
  <c r="AB70" i="310"/>
  <c r="Z69" i="310"/>
  <c r="Z77" i="310"/>
  <c r="AA76" i="310"/>
  <c r="BS41" i="310"/>
  <c r="Y285" i="310"/>
  <c r="L284" i="310"/>
  <c r="L285" i="310" s="1"/>
  <c r="H285" i="310"/>
  <c r="H282" i="310"/>
  <c r="O287" i="310"/>
  <c r="O288" i="310" s="1"/>
  <c r="O279" i="310"/>
  <c r="S276" i="310"/>
  <c r="S287" i="310"/>
  <c r="S288" i="310" s="1"/>
  <c r="V275" i="310"/>
  <c r="H276" i="310"/>
  <c r="L275" i="310"/>
  <c r="H287" i="310"/>
  <c r="H288" i="310" s="1"/>
  <c r="AC231" i="310"/>
  <c r="AD231" i="310"/>
  <c r="AH229" i="310"/>
  <c r="AF229" i="310"/>
  <c r="AF230" i="310" s="1"/>
  <c r="AC260" i="310"/>
  <c r="AC278" i="310" s="1"/>
  <c r="AC279" i="310" s="1"/>
  <c r="Z216" i="310"/>
  <c r="Z217" i="310" s="1"/>
  <c r="Z193" i="310"/>
  <c r="CI201" i="310"/>
  <c r="BT201" i="310"/>
  <c r="AQ267" i="310"/>
  <c r="U285" i="310"/>
  <c r="CF41" i="310"/>
  <c r="CG42" i="310"/>
  <c r="AE68" i="310"/>
  <c r="AE186" i="310"/>
  <c r="G275" i="310"/>
  <c r="BP14" i="310"/>
  <c r="BQ15" i="310"/>
  <c r="BT13" i="310"/>
  <c r="BY14" i="310" s="1"/>
  <c r="H59" i="447" s="1"/>
  <c r="BO89" i="4"/>
  <c r="BU14" i="310"/>
  <c r="D10" i="447"/>
  <c r="BO64" i="310"/>
  <c r="AF155" i="310"/>
  <c r="AF190" i="310"/>
  <c r="AZ138" i="310"/>
  <c r="AX139" i="310"/>
  <c r="AU133" i="310"/>
  <c r="AU51" i="310"/>
  <c r="AY148" i="310"/>
  <c r="AZ115" i="310"/>
  <c r="AY147" i="310"/>
  <c r="AY146" i="310"/>
  <c r="AT144" i="310"/>
  <c r="AT145" i="310"/>
  <c r="AT147" i="310"/>
  <c r="AT146" i="310"/>
  <c r="AT143" i="310"/>
  <c r="AT148" i="310"/>
  <c r="AT139" i="310"/>
  <c r="AH73" i="310"/>
  <c r="AH68" i="310"/>
  <c r="W73" i="310"/>
  <c r="W68" i="310"/>
  <c r="AA68" i="310" s="1"/>
  <c r="I77" i="310"/>
  <c r="I70" i="310"/>
  <c r="AZ52" i="310"/>
  <c r="AZ57" i="310"/>
  <c r="AR57" i="310"/>
  <c r="AR58" i="310" s="1"/>
  <c r="AR52" i="310"/>
  <c r="CB44" i="310"/>
  <c r="CB45" i="310"/>
  <c r="CC45" i="310"/>
  <c r="BZ45" i="310"/>
  <c r="BY43" i="310"/>
  <c r="BY44" i="310" s="1"/>
  <c r="BX45" i="310"/>
  <c r="BS44" i="310"/>
  <c r="BU45" i="310"/>
  <c r="BU40" i="310"/>
  <c r="BY38" i="310"/>
  <c r="BB64" i="310"/>
  <c r="BC33" i="310"/>
  <c r="BB68" i="310"/>
  <c r="BG69" i="310" s="1"/>
  <c r="BE31" i="310"/>
  <c r="BB33" i="310"/>
  <c r="BB63" i="310"/>
  <c r="BB32" i="310"/>
  <c r="BB40" i="310"/>
  <c r="AW64" i="310"/>
  <c r="AW62" i="310"/>
  <c r="AW40" i="310"/>
  <c r="AZ40" i="310" s="1"/>
  <c r="AW33" i="310"/>
  <c r="AZ31" i="310"/>
  <c r="AX33" i="310"/>
  <c r="AW63" i="310"/>
  <c r="BY25" i="310"/>
  <c r="CD25" i="310"/>
  <c r="BY64" i="310"/>
  <c r="BE25" i="310"/>
  <c r="BE55" i="310"/>
  <c r="BJ25" i="310"/>
  <c r="BO27" i="310"/>
  <c r="BK29" i="310"/>
  <c r="BA21" i="310"/>
  <c r="BB23" i="310" s="1"/>
  <c r="BB29" i="310"/>
  <c r="BE27" i="310"/>
  <c r="BE28" i="310" s="1"/>
  <c r="CD18" i="310"/>
  <c r="BY18" i="310"/>
  <c r="BG41" i="310"/>
  <c r="P258" i="310"/>
  <c r="P275" i="310"/>
  <c r="Q275" i="310" s="1"/>
  <c r="Q276" i="310" s="1"/>
  <c r="X270" i="310"/>
  <c r="X250" i="310"/>
  <c r="X252" i="310"/>
  <c r="R250" i="310"/>
  <c r="W250" i="310"/>
  <c r="Z247" i="310"/>
  <c r="Z284" i="310"/>
  <c r="Z285" i="310" s="1"/>
  <c r="AB245" i="310"/>
  <c r="Z249" i="310"/>
  <c r="Z270" i="310" s="1"/>
  <c r="BB58" i="310"/>
  <c r="AW58" i="310"/>
  <c r="BT57" i="310"/>
  <c r="Q266" i="310"/>
  <c r="Q267" i="310" s="1"/>
  <c r="P267" i="310"/>
  <c r="P284" i="310"/>
  <c r="P285" i="310" s="1"/>
  <c r="V263" i="310"/>
  <c r="V264" i="310" s="1"/>
  <c r="U264" i="310"/>
  <c r="AA260" i="310"/>
  <c r="AA261" i="310" s="1"/>
  <c r="Z278" i="310"/>
  <c r="Z261" i="310"/>
  <c r="AE261" i="310" s="1"/>
  <c r="G260" i="310"/>
  <c r="F261" i="310"/>
  <c r="F278" i="310"/>
  <c r="F269" i="310"/>
  <c r="Y217" i="310"/>
  <c r="AX216" i="310"/>
  <c r="AX214" i="310"/>
  <c r="AE214" i="310"/>
  <c r="AE216" i="310"/>
  <c r="BC115" i="310"/>
  <c r="BC130" i="310"/>
  <c r="BM15" i="310"/>
  <c r="BM14" i="310"/>
  <c r="BH14" i="310"/>
  <c r="BH15" i="310"/>
  <c r="BJ13" i="310"/>
  <c r="BI15" i="310"/>
  <c r="AP199" i="310"/>
  <c r="P270" i="310"/>
  <c r="Z243" i="310"/>
  <c r="AB241" i="310"/>
  <c r="Z242" i="310"/>
  <c r="G241" i="310"/>
  <c r="G249" i="310" s="1"/>
  <c r="F249" i="310"/>
  <c r="F281" i="310"/>
  <c r="AF213" i="310"/>
  <c r="AF205" i="310"/>
  <c r="AD184" i="310"/>
  <c r="AE183" i="310"/>
  <c r="AD214" i="310"/>
  <c r="AF182" i="310"/>
  <c r="AV172" i="310"/>
  <c r="AY173" i="310"/>
  <c r="AT173" i="310"/>
  <c r="AT182" i="310"/>
  <c r="AV173" i="310"/>
  <c r="AQ205" i="310"/>
  <c r="AQ182" i="310"/>
  <c r="AU171" i="310"/>
  <c r="AW164" i="310"/>
  <c r="AV164" i="310"/>
  <c r="AQ165" i="310"/>
  <c r="AR164" i="310"/>
  <c r="AL164" i="310"/>
  <c r="AJ164" i="310"/>
  <c r="AJ165" i="310"/>
  <c r="AO165" i="310"/>
  <c r="AG164" i="310"/>
  <c r="AE165" i="310"/>
  <c r="AE164" i="310"/>
  <c r="Z161" i="310"/>
  <c r="AK159" i="310"/>
  <c r="AP159" i="310"/>
  <c r="BO51" i="310"/>
  <c r="BM52" i="310"/>
  <c r="BM57" i="310"/>
  <c r="BM58" i="310" s="1"/>
  <c r="BE49" i="310"/>
  <c r="AS49" i="310"/>
  <c r="AS57" i="310"/>
  <c r="BW33" i="310"/>
  <c r="BW64" i="310"/>
  <c r="BW62" i="310"/>
  <c r="BW32" i="310"/>
  <c r="BR64" i="310"/>
  <c r="BT31" i="310"/>
  <c r="BR62" i="310"/>
  <c r="BR32" i="310"/>
  <c r="BR63" i="310"/>
  <c r="BR33" i="310"/>
  <c r="BK68" i="310"/>
  <c r="BK70" i="310" s="1"/>
  <c r="BL33" i="310"/>
  <c r="BF62" i="310"/>
  <c r="BF63" i="310"/>
  <c r="BG33" i="310"/>
  <c r="BJ31" i="310"/>
  <c r="AK73" i="310"/>
  <c r="AA267" i="310"/>
  <c r="AZ213" i="310"/>
  <c r="AV199" i="310"/>
  <c r="AQ199" i="310"/>
  <c r="BF103" i="310"/>
  <c r="AZ127" i="310"/>
  <c r="BF73" i="310"/>
  <c r="BY55" i="310"/>
  <c r="AR55" i="310"/>
  <c r="BD22" i="310"/>
  <c r="R270" i="310"/>
  <c r="J270" i="310"/>
  <c r="W217" i="310"/>
  <c r="AE199" i="310"/>
  <c r="AJ199" i="310"/>
  <c r="BE103" i="310"/>
  <c r="BW58" i="310"/>
  <c r="BC28" i="310"/>
  <c r="BC21" i="310"/>
  <c r="BH22" i="310" s="1"/>
  <c r="CB41" i="310"/>
  <c r="CA58" i="310"/>
  <c r="BB22" i="310"/>
  <c r="BM133" i="310"/>
  <c r="AU83" i="310"/>
  <c r="AT31" i="310"/>
  <c r="AT58" i="310" s="1"/>
  <c r="AZ100" i="310"/>
  <c r="BE124" i="310"/>
  <c r="AW25" i="310"/>
  <c r="AR21" i="310"/>
  <c r="AW22" i="310" s="1"/>
  <c r="AS55" i="310"/>
  <c r="AS31" i="310"/>
  <c r="AY145" i="310"/>
  <c r="AY139" i="310"/>
  <c r="BF123" i="310"/>
  <c r="AT52" i="310"/>
  <c r="AQ31" i="310"/>
  <c r="AT68" i="310"/>
  <c r="BG94" i="310"/>
  <c r="AV9" i="310"/>
  <c r="AY144" i="310"/>
  <c r="BA130" i="310"/>
  <c r="BF130" i="310" s="1"/>
  <c r="BF129" i="310" s="1"/>
  <c r="BF80" i="310" s="1"/>
  <c r="BA115" i="310"/>
  <c r="BF96" i="310"/>
  <c r="AQ49" i="310"/>
  <c r="AV26" i="310"/>
  <c r="AT21" i="310"/>
  <c r="AV22" i="310"/>
  <c r="CH89" i="4"/>
  <c r="CI57" i="310"/>
  <c r="CI58" i="310" s="1"/>
  <c r="CD201" i="310"/>
  <c r="BL100" i="310"/>
  <c r="J54" i="447"/>
  <c r="J10" i="447"/>
  <c r="J56" i="447"/>
  <c r="BI105" i="310"/>
  <c r="BN105" i="310" s="1"/>
  <c r="BS105" i="310" s="1"/>
  <c r="BX105" i="310" s="1"/>
  <c r="CC105" i="310" s="1"/>
  <c r="CH105" i="310" s="1"/>
  <c r="CM105" i="310" s="1"/>
  <c r="CR105" i="310" s="1"/>
  <c r="CW105" i="310" s="1"/>
  <c r="AN77" i="310"/>
  <c r="BE201" i="310"/>
  <c r="AZ176" i="310"/>
  <c r="BO49" i="310"/>
  <c r="BO57" i="310"/>
  <c r="BB160" i="310"/>
  <c r="BA163" i="310"/>
  <c r="BA195" i="310"/>
  <c r="BA162" i="310"/>
  <c r="BJ104" i="310"/>
  <c r="AA282" i="310"/>
  <c r="BA204" i="310"/>
  <c r="CT19" i="310"/>
  <c r="BO52" i="310"/>
  <c r="AV216" i="310"/>
  <c r="AJ184" i="310"/>
  <c r="AS217" i="310"/>
  <c r="Q246" i="310"/>
  <c r="AU216" i="310"/>
  <c r="AU138" i="310"/>
  <c r="AU139" i="310" s="1"/>
  <c r="BK58" i="310"/>
  <c r="G276" i="310"/>
  <c r="AR165" i="310"/>
  <c r="AB164" i="310"/>
  <c r="BE136" i="310"/>
  <c r="BD58" i="310"/>
  <c r="BP70" i="310"/>
  <c r="BN69" i="310"/>
  <c r="BZ42" i="310"/>
  <c r="CD68" i="310"/>
  <c r="BD70" i="310"/>
  <c r="BC69" i="310"/>
  <c r="BH69" i="310"/>
  <c r="Z70" i="310"/>
  <c r="Y69" i="310"/>
  <c r="Y70" i="310"/>
  <c r="AD69" i="310"/>
  <c r="Y77" i="310"/>
  <c r="AC69" i="310"/>
  <c r="X77" i="310"/>
  <c r="X69" i="310"/>
  <c r="BQ45" i="310"/>
  <c r="CH70" i="310"/>
  <c r="CC69" i="310"/>
  <c r="BV68" i="310"/>
  <c r="BM40" i="310"/>
  <c r="D11" i="447"/>
  <c r="J58" i="447"/>
  <c r="J60" i="447"/>
  <c r="CK167" i="310"/>
  <c r="BY201" i="310"/>
  <c r="BO201" i="310"/>
  <c r="I58" i="447"/>
  <c r="AB279" i="310"/>
  <c r="BQ41" i="310"/>
  <c r="BI135" i="310"/>
  <c r="BJ135" i="310" s="1"/>
  <c r="BJ136" i="310" s="1"/>
  <c r="BH105" i="310"/>
  <c r="BM105" i="310" s="1"/>
  <c r="BR105" i="310" s="1"/>
  <c r="BW105" i="310" s="1"/>
  <c r="CB105" i="310" s="1"/>
  <c r="CG105" i="310" s="1"/>
  <c r="CL105" i="310" s="1"/>
  <c r="CQ105" i="310" s="1"/>
  <c r="CV105" i="310" s="1"/>
  <c r="BP45" i="310"/>
  <c r="BP44" i="310"/>
  <c r="L258" i="310"/>
  <c r="F10" i="447"/>
  <c r="AM267" i="310"/>
  <c r="BC178" i="310"/>
  <c r="BB180" i="310"/>
  <c r="AP184" i="310"/>
  <c r="BI103" i="310"/>
  <c r="AI264" i="310"/>
  <c r="BJ101" i="310"/>
  <c r="BJ103" i="310" s="1"/>
  <c r="AH264" i="310"/>
  <c r="AA242" i="310"/>
  <c r="V242" i="310"/>
  <c r="AQ147" i="310"/>
  <c r="BU69" i="310"/>
  <c r="BS68" i="310"/>
  <c r="BX69" i="310" s="1"/>
  <c r="BQ68" i="310"/>
  <c r="AW68" i="310"/>
  <c r="BA64" i="310"/>
  <c r="BU63" i="310"/>
  <c r="BD63" i="310"/>
  <c r="BS62" i="310"/>
  <c r="BA62" i="310"/>
  <c r="AQ143" i="310"/>
  <c r="BE104" i="310"/>
  <c r="BK63" i="310"/>
  <c r="BK62" i="310"/>
  <c r="BA40" i="310"/>
  <c r="BW40" i="310"/>
  <c r="AQ146" i="310"/>
  <c r="AQ145" i="310"/>
  <c r="BA58" i="310"/>
  <c r="BF32" i="310"/>
  <c r="AU7" i="310"/>
  <c r="CH40" i="310"/>
  <c r="CK10" i="310"/>
  <c r="J26" i="8"/>
  <c r="E10" i="8"/>
  <c r="CM47" i="8"/>
  <c r="CM49" i="8" s="1"/>
  <c r="CM62" i="8"/>
  <c r="BY76" i="8"/>
  <c r="BT76" i="8"/>
  <c r="BY82" i="8"/>
  <c r="BY58" i="8"/>
  <c r="BY19" i="8" s="1"/>
  <c r="BJ76" i="8"/>
  <c r="BE76" i="8"/>
  <c r="BJ82" i="8"/>
  <c r="BJ58" i="8"/>
  <c r="BJ19" i="8" s="1"/>
  <c r="X30" i="8"/>
  <c r="X14" i="8"/>
  <c r="AP16" i="8"/>
  <c r="AP30" i="8" s="1"/>
  <c r="AP10" i="1"/>
  <c r="AU30" i="8"/>
  <c r="AU25" i="8"/>
  <c r="AP25" i="8"/>
  <c r="AB89" i="8"/>
  <c r="AB31" i="8"/>
  <c r="AA22" i="4" s="1"/>
  <c r="AA24" i="4" s="1"/>
  <c r="Y14" i="8"/>
  <c r="Y30" i="8"/>
  <c r="J89" i="8"/>
  <c r="J31" i="8"/>
  <c r="M30" i="8"/>
  <c r="BJ77" i="8"/>
  <c r="BJ59" i="8"/>
  <c r="BJ20" i="8" s="1"/>
  <c r="BE77" i="8"/>
  <c r="BJ83" i="8"/>
  <c r="BX14" i="8"/>
  <c r="BY14" i="8" s="1"/>
  <c r="BX30" i="8"/>
  <c r="P31" i="8"/>
  <c r="O22" i="4" s="1"/>
  <c r="P89" i="8"/>
  <c r="AP48" i="8"/>
  <c r="AO54" i="8"/>
  <c r="BL62" i="8"/>
  <c r="BL99" i="8"/>
  <c r="AA76" i="8"/>
  <c r="V76" i="8"/>
  <c r="V87" i="8" s="1"/>
  <c r="AA82" i="8"/>
  <c r="AN20" i="8"/>
  <c r="AN63" i="8"/>
  <c r="U9" i="1"/>
  <c r="Z29" i="8"/>
  <c r="V9" i="8"/>
  <c r="Z24" i="8"/>
  <c r="U15" i="8"/>
  <c r="U24" i="8"/>
  <c r="C34" i="8"/>
  <c r="C35" i="8" s="1"/>
  <c r="F10" i="8"/>
  <c r="H30" i="8"/>
  <c r="G11" i="8"/>
  <c r="H26" i="8"/>
  <c r="F34" i="8"/>
  <c r="F35" i="8" s="1"/>
  <c r="CD112" i="3" l="1"/>
  <c r="R120" i="3"/>
  <c r="R114" i="3"/>
  <c r="R117" i="3" s="1"/>
  <c r="R118" i="3" s="1"/>
  <c r="AQ120" i="3"/>
  <c r="CH186" i="1"/>
  <c r="CF120" i="3"/>
  <c r="CA112" i="3"/>
  <c r="CA120" i="3" s="1"/>
  <c r="CA196" i="1"/>
  <c r="CA201" i="1" s="1"/>
  <c r="CX38" i="3"/>
  <c r="CW92" i="3"/>
  <c r="CX92" i="3" s="1"/>
  <c r="AZ44" i="3"/>
  <c r="AY98" i="3"/>
  <c r="AY49" i="3"/>
  <c r="AZ49" i="3" s="1"/>
  <c r="BU120" i="3"/>
  <c r="BU114" i="3"/>
  <c r="BU117" i="3" s="1"/>
  <c r="BO133" i="2"/>
  <c r="BN135" i="2"/>
  <c r="AJ220" i="4"/>
  <c r="BH84" i="2"/>
  <c r="BJ84" i="2" s="1"/>
  <c r="CD136" i="2"/>
  <c r="CH220" i="4"/>
  <c r="CW70" i="3"/>
  <c r="CX16" i="3"/>
  <c r="BE48" i="3"/>
  <c r="BD102" i="3"/>
  <c r="BD103" i="3" s="1"/>
  <c r="BD49" i="3"/>
  <c r="BE49" i="3" s="1"/>
  <c r="BO90" i="3"/>
  <c r="BS104" i="3"/>
  <c r="BT104" i="3" s="1"/>
  <c r="BT50" i="3"/>
  <c r="CG196" i="1"/>
  <c r="CG201" i="1" s="1"/>
  <c r="CG112" i="3"/>
  <c r="BD104" i="3"/>
  <c r="BE104" i="3" s="1"/>
  <c r="BE50" i="3"/>
  <c r="BS98" i="3"/>
  <c r="BS103" i="3" s="1"/>
  <c r="BT44" i="3"/>
  <c r="BS49" i="3"/>
  <c r="BT49" i="3" s="1"/>
  <c r="BO90" i="2"/>
  <c r="AU38" i="3"/>
  <c r="AT40" i="3"/>
  <c r="AU40" i="3" s="1"/>
  <c r="BO135" i="2"/>
  <c r="BT89" i="2"/>
  <c r="BT90" i="2" s="1"/>
  <c r="CI128" i="2"/>
  <c r="CX50" i="3"/>
  <c r="CW104" i="3"/>
  <c r="CX104" i="3" s="1"/>
  <c r="BE102" i="3"/>
  <c r="BE103" i="3" s="1"/>
  <c r="AM120" i="3"/>
  <c r="AM114" i="3"/>
  <c r="AM117" i="3" s="1"/>
  <c r="AU92" i="3"/>
  <c r="AU94" i="3" s="1"/>
  <c r="AS94" i="3"/>
  <c r="BT98" i="3"/>
  <c r="BT103" i="3" s="1"/>
  <c r="BR103" i="3"/>
  <c r="CL25" i="3"/>
  <c r="CK79" i="3"/>
  <c r="CI136" i="2"/>
  <c r="AN103" i="3"/>
  <c r="AP96" i="3"/>
  <c r="AP103" i="3" s="1"/>
  <c r="BT200" i="4"/>
  <c r="BJ82" i="2"/>
  <c r="CI103" i="3"/>
  <c r="BP42" i="310"/>
  <c r="CM161" i="4"/>
  <c r="CM162" i="4" s="1"/>
  <c r="CM169" i="4" s="1"/>
  <c r="BI156" i="4"/>
  <c r="AL24" i="4"/>
  <c r="P33" i="4"/>
  <c r="P37" i="4" s="1"/>
  <c r="CF93" i="4"/>
  <c r="BX109" i="4"/>
  <c r="CR158" i="4"/>
  <c r="BI164" i="4"/>
  <c r="O24" i="4"/>
  <c r="BX173" i="4"/>
  <c r="CC173" i="4" s="1"/>
  <c r="CH173" i="4" s="1"/>
  <c r="CM173" i="4" s="1"/>
  <c r="L42" i="4"/>
  <c r="BS182" i="4"/>
  <c r="BS164" i="4"/>
  <c r="AP214" i="310"/>
  <c r="F54" i="447"/>
  <c r="BA173" i="310"/>
  <c r="AZ208" i="310"/>
  <c r="BK104" i="310"/>
  <c r="BL126" i="310"/>
  <c r="BH132" i="310"/>
  <c r="AU199" i="310"/>
  <c r="AA275" i="310"/>
  <c r="BK100" i="310"/>
  <c r="D18" i="447"/>
  <c r="AH70" i="310"/>
  <c r="BI108" i="310"/>
  <c r="BJ108" i="310" s="1"/>
  <c r="BJ110" i="310" s="1"/>
  <c r="BS42" i="310"/>
  <c r="BR42" i="310"/>
  <c r="BK126" i="310"/>
  <c r="U287" i="310"/>
  <c r="U288" i="310" s="1"/>
  <c r="V278" i="310"/>
  <c r="V279" i="310" s="1"/>
  <c r="AL69" i="310"/>
  <c r="BE190" i="310"/>
  <c r="AG69" i="310"/>
  <c r="AA185" i="310"/>
  <c r="AB187" i="310"/>
  <c r="AB188" i="310" s="1"/>
  <c r="BI69" i="310"/>
  <c r="BH90" i="310"/>
  <c r="BG120" i="310"/>
  <c r="BG92" i="310"/>
  <c r="BJ21" i="310"/>
  <c r="AJ229" i="310"/>
  <c r="AE231" i="310"/>
  <c r="K270" i="310"/>
  <c r="N107" i="1"/>
  <c r="N110" i="1"/>
  <c r="BB110" i="1"/>
  <c r="BB107" i="1"/>
  <c r="AJ64" i="3"/>
  <c r="AK10" i="3"/>
  <c r="AL84" i="1"/>
  <c r="AP80" i="1"/>
  <c r="AP82" i="1" s="1"/>
  <c r="AL82" i="1"/>
  <c r="AA96" i="2"/>
  <c r="AA53" i="1"/>
  <c r="AA33" i="1"/>
  <c r="AF25" i="1"/>
  <c r="AA49" i="1"/>
  <c r="AA171" i="1"/>
  <c r="AA11" i="8"/>
  <c r="AA34" i="8" s="1"/>
  <c r="AA35" i="8" s="1"/>
  <c r="AA95" i="2"/>
  <c r="AA169" i="1"/>
  <c r="AA172" i="1"/>
  <c r="AA170" i="1"/>
  <c r="Z35" i="4"/>
  <c r="AA174" i="1"/>
  <c r="Z55" i="4"/>
  <c r="AA45" i="1"/>
  <c r="AA68" i="1"/>
  <c r="Z195" i="4" s="1"/>
  <c r="AI118" i="1"/>
  <c r="AH119" i="1"/>
  <c r="AM119" i="1"/>
  <c r="BH14" i="8"/>
  <c r="BJ14" i="8" s="1"/>
  <c r="BH30" i="8"/>
  <c r="G40" i="8"/>
  <c r="F10" i="1"/>
  <c r="F92" i="8"/>
  <c r="F53" i="8"/>
  <c r="F55" i="8" s="1"/>
  <c r="G41" i="8"/>
  <c r="F93" i="8"/>
  <c r="F54" i="8"/>
  <c r="K77" i="8"/>
  <c r="BR110" i="1"/>
  <c r="BR107" i="1"/>
  <c r="AA41" i="1"/>
  <c r="Z194" i="4" s="1"/>
  <c r="BE15" i="1"/>
  <c r="BJ16" i="1" s="1"/>
  <c r="BJ13" i="1"/>
  <c r="BI16" i="1"/>
  <c r="BF17" i="1"/>
  <c r="BD17" i="1"/>
  <c r="BJ25" i="8"/>
  <c r="BJ10" i="1"/>
  <c r="BJ16" i="8"/>
  <c r="BJ30" i="8" s="1"/>
  <c r="X105" i="1"/>
  <c r="AA102" i="1"/>
  <c r="AA103" i="1" s="1"/>
  <c r="X103" i="1"/>
  <c r="L40" i="8"/>
  <c r="K92" i="8"/>
  <c r="P76" i="8"/>
  <c r="K10" i="1"/>
  <c r="K76" i="8"/>
  <c r="K53" i="8"/>
  <c r="K55" i="8" s="1"/>
  <c r="K84" i="8" s="1"/>
  <c r="AH74" i="1"/>
  <c r="O84" i="1"/>
  <c r="Q80" i="1"/>
  <c r="Q82" i="1" s="1"/>
  <c r="O82" i="1"/>
  <c r="O188" i="1" s="1"/>
  <c r="O189" i="1" s="1"/>
  <c r="BX92" i="1"/>
  <c r="BX93" i="1" s="1"/>
  <c r="AZ89" i="8"/>
  <c r="AZ64" i="8"/>
  <c r="X73" i="1"/>
  <c r="X74" i="1" s="1"/>
  <c r="BR150" i="1"/>
  <c r="BM150" i="1"/>
  <c r="BR88" i="1"/>
  <c r="BM166" i="1"/>
  <c r="BM88" i="1"/>
  <c r="BN166" i="1"/>
  <c r="AJ176" i="1"/>
  <c r="AJ73" i="1" s="1"/>
  <c r="AJ74" i="1" s="1"/>
  <c r="AI73" i="1"/>
  <c r="AI74" i="1" s="1"/>
  <c r="E10" i="1"/>
  <c r="E92" i="8"/>
  <c r="E53" i="8"/>
  <c r="E55" i="8" s="1"/>
  <c r="J74" i="447"/>
  <c r="J76" i="447"/>
  <c r="J37" i="447"/>
  <c r="I25" i="8"/>
  <c r="CO66" i="4"/>
  <c r="CP69" i="4"/>
  <c r="BH106" i="310"/>
  <c r="BH129" i="310"/>
  <c r="BH80" i="310" s="1"/>
  <c r="BK103" i="310"/>
  <c r="BL101" i="310"/>
  <c r="BL104" i="310"/>
  <c r="AZ139" i="310"/>
  <c r="BQ93" i="4"/>
  <c r="CI103" i="4"/>
  <c r="CJ104" i="4"/>
  <c r="CJ107" i="4" s="1"/>
  <c r="CM92" i="3"/>
  <c r="CN92" i="3" s="1"/>
  <c r="CN38" i="3"/>
  <c r="CM72" i="3"/>
  <c r="CN18" i="3"/>
  <c r="CN72" i="3"/>
  <c r="CX19" i="3"/>
  <c r="CW73" i="3"/>
  <c r="CX73" i="3" s="1"/>
  <c r="BE89" i="3"/>
  <c r="BD195" i="1"/>
  <c r="BD94" i="3"/>
  <c r="BC221" i="4"/>
  <c r="BD126" i="2"/>
  <c r="AY221" i="4"/>
  <c r="AZ177" i="1"/>
  <c r="AZ195" i="1"/>
  <c r="AZ77" i="2"/>
  <c r="AZ79" i="2" s="1"/>
  <c r="BA73" i="2" s="1"/>
  <c r="BA78" i="2" s="1"/>
  <c r="BE78" i="2" s="1"/>
  <c r="BE79" i="2" s="1"/>
  <c r="BF73" i="2" s="1"/>
  <c r="BF78" i="2" s="1"/>
  <c r="BJ78" i="2" s="1"/>
  <c r="BJ79" i="2" s="1"/>
  <c r="BK73" i="2" s="1"/>
  <c r="BK78" i="2" s="1"/>
  <c r="BO78" i="2" s="1"/>
  <c r="BO79" i="2" s="1"/>
  <c r="BP73" i="2" s="1"/>
  <c r="BP78" i="2" s="1"/>
  <c r="BT78" i="2" s="1"/>
  <c r="BT79" i="2" s="1"/>
  <c r="BU73" i="2" s="1"/>
  <c r="BU78" i="2" s="1"/>
  <c r="BY78" i="2" s="1"/>
  <c r="BY79" i="2" s="1"/>
  <c r="BZ73" i="2" s="1"/>
  <c r="BZ78" i="2" s="1"/>
  <c r="CD78" i="2" s="1"/>
  <c r="CD79" i="2" s="1"/>
  <c r="CE73" i="2" s="1"/>
  <c r="CE78" i="2" s="1"/>
  <c r="CI78" i="2" s="1"/>
  <c r="CI79" i="2" s="1"/>
  <c r="CJ73" i="2" s="1"/>
  <c r="CJ78" i="2" s="1"/>
  <c r="CN78" i="2" s="1"/>
  <c r="AO78" i="2"/>
  <c r="AP78" i="2" s="1"/>
  <c r="AZ94" i="3"/>
  <c r="CN50" i="3"/>
  <c r="CM104" i="3"/>
  <c r="CN104" i="3" s="1"/>
  <c r="AP177" i="1"/>
  <c r="AP176" i="1" s="1"/>
  <c r="AP195" i="1"/>
  <c r="AO221" i="4"/>
  <c r="AP94" i="3"/>
  <c r="AU177" i="1"/>
  <c r="CD120" i="3"/>
  <c r="CS45" i="3"/>
  <c r="CR99" i="3"/>
  <c r="AT218" i="4"/>
  <c r="AU197" i="1"/>
  <c r="CI94" i="3"/>
  <c r="CI195" i="1"/>
  <c r="CH221" i="4"/>
  <c r="CI177" i="1"/>
  <c r="BJ103" i="3"/>
  <c r="AE76" i="2"/>
  <c r="AE78" i="2" s="1"/>
  <c r="AA195" i="1"/>
  <c r="Z221" i="4"/>
  <c r="CW71" i="3"/>
  <c r="CX71" i="3" s="1"/>
  <c r="CW45" i="3"/>
  <c r="CX17" i="3"/>
  <c r="AB220" i="4"/>
  <c r="AF75" i="3"/>
  <c r="AP8" i="3"/>
  <c r="AP33" i="3" s="1"/>
  <c r="AO62" i="3"/>
  <c r="AO87" i="3" s="1"/>
  <c r="AO33" i="3"/>
  <c r="AO51" i="3" s="1"/>
  <c r="AP51" i="3" s="1"/>
  <c r="AG84" i="2"/>
  <c r="AK84" i="2" s="1"/>
  <c r="AU78" i="2"/>
  <c r="AU79" i="2" s="1"/>
  <c r="BO89" i="3"/>
  <c r="BM195" i="1"/>
  <c r="BM94" i="3"/>
  <c r="BL221" i="4"/>
  <c r="BM126" i="2"/>
  <c r="AN130" i="2"/>
  <c r="AP126" i="2"/>
  <c r="CN99" i="3"/>
  <c r="CL76" i="2"/>
  <c r="CN76" i="2" s="1"/>
  <c r="CL219" i="4"/>
  <c r="CN70" i="3"/>
  <c r="CM219" i="4" s="1"/>
  <c r="AF78" i="2"/>
  <c r="BY84" i="2"/>
  <c r="BO84" i="2"/>
  <c r="CX15" i="3"/>
  <c r="CW69" i="3"/>
  <c r="CX69" i="3" s="1"/>
  <c r="BX87" i="3"/>
  <c r="BY66" i="3"/>
  <c r="BY87" i="3" s="1"/>
  <c r="AU76" i="2"/>
  <c r="AQ78" i="2"/>
  <c r="CI129" i="2"/>
  <c r="BC84" i="2"/>
  <c r="BE84" i="2" s="1"/>
  <c r="AN218" i="4"/>
  <c r="AP64" i="3"/>
  <c r="AO197" i="1"/>
  <c r="CM29" i="3"/>
  <c r="CP127" i="2"/>
  <c r="CO140" i="2"/>
  <c r="CO10" i="3" s="1"/>
  <c r="BN52" i="2"/>
  <c r="BO51" i="2"/>
  <c r="BO52" i="2" s="1"/>
  <c r="AZ27" i="3"/>
  <c r="BA27" i="3"/>
  <c r="AY81" i="3"/>
  <c r="AZ81" i="3" s="1"/>
  <c r="AY30" i="3"/>
  <c r="AW200" i="4"/>
  <c r="J199" i="4"/>
  <c r="L24" i="2"/>
  <c r="W84" i="2"/>
  <c r="AA84" i="2" s="1"/>
  <c r="AA81" i="2"/>
  <c r="K52" i="2"/>
  <c r="CO32" i="2"/>
  <c r="CN32" i="2"/>
  <c r="CM30" i="2"/>
  <c r="CN30" i="2" s="1"/>
  <c r="BC199" i="4"/>
  <c r="BE24" i="2"/>
  <c r="BD52" i="2"/>
  <c r="BX199" i="4"/>
  <c r="BY52" i="2"/>
  <c r="AQ103" i="3"/>
  <c r="AQ105" i="3" s="1"/>
  <c r="CI200" i="1"/>
  <c r="CN132" i="2"/>
  <c r="CN136" i="2" s="1"/>
  <c r="CM136" i="2"/>
  <c r="BW57" i="2"/>
  <c r="BY57" i="2" s="1"/>
  <c r="BY70" i="2"/>
  <c r="BY69" i="2" s="1"/>
  <c r="CQ97" i="3"/>
  <c r="CR43" i="3"/>
  <c r="AR101" i="3"/>
  <c r="AR103" i="3" s="1"/>
  <c r="AS47" i="3"/>
  <c r="AR49" i="3"/>
  <c r="CJ68" i="3"/>
  <c r="CK14" i="3"/>
  <c r="CP37" i="2"/>
  <c r="CP44" i="3" s="1"/>
  <c r="CP98" i="3" s="1"/>
  <c r="CP119" i="2"/>
  <c r="CP79" i="1" s="1"/>
  <c r="CQ117" i="2"/>
  <c r="BH199" i="4"/>
  <c r="BJ24" i="2"/>
  <c r="BI52" i="2"/>
  <c r="CO98" i="3"/>
  <c r="CT13" i="2"/>
  <c r="CU13" i="2" s="1"/>
  <c r="CV13" i="2" s="1"/>
  <c r="CW13" i="2" s="1"/>
  <c r="CX13" i="2" s="1"/>
  <c r="CS13" i="2"/>
  <c r="AY24" i="3"/>
  <c r="AX78" i="3"/>
  <c r="AX31" i="3"/>
  <c r="AX85" i="3" s="1"/>
  <c r="AX32" i="3"/>
  <c r="AX86" i="3" s="1"/>
  <c r="CD200" i="1"/>
  <c r="AA200" i="4"/>
  <c r="CO14" i="3"/>
  <c r="CO68" i="3" s="1"/>
  <c r="CA103" i="3"/>
  <c r="CA105" i="3" s="1"/>
  <c r="CD105" i="3" s="1"/>
  <c r="CD96" i="3"/>
  <c r="CD103" i="3" s="1"/>
  <c r="CU93" i="3"/>
  <c r="CV39" i="3"/>
  <c r="CP93" i="3"/>
  <c r="CQ39" i="3"/>
  <c r="Q24" i="2"/>
  <c r="O199" i="4"/>
  <c r="P52" i="2"/>
  <c r="Q200" i="4"/>
  <c r="CC43" i="2"/>
  <c r="CD34" i="2"/>
  <c r="BA200" i="4"/>
  <c r="CN28" i="3"/>
  <c r="CM82" i="3"/>
  <c r="CN82" i="3" s="1"/>
  <c r="CQ42" i="3"/>
  <c r="CQ96" i="3" s="1"/>
  <c r="CR44" i="2"/>
  <c r="CQ56" i="2"/>
  <c r="AQ186" i="1"/>
  <c r="BY63" i="8"/>
  <c r="CI87" i="3"/>
  <c r="K39" i="4"/>
  <c r="G9" i="8"/>
  <c r="AF121" i="1"/>
  <c r="AF188" i="1"/>
  <c r="AF189" i="1" s="1"/>
  <c r="CE39" i="1"/>
  <c r="CJ157" i="1"/>
  <c r="CH98" i="2"/>
  <c r="CH99" i="2"/>
  <c r="CH33" i="1"/>
  <c r="CH141" i="1"/>
  <c r="CH157" i="1"/>
  <c r="CG24" i="1"/>
  <c r="CH155" i="1" s="1"/>
  <c r="CG137" i="1"/>
  <c r="CG20" i="1"/>
  <c r="CG153" i="1"/>
  <c r="CG19" i="1"/>
  <c r="CH153" i="1"/>
  <c r="CI18" i="1"/>
  <c r="CT13" i="3"/>
  <c r="CT227" i="1"/>
  <c r="CX59" i="1"/>
  <c r="CX227" i="1" s="1"/>
  <c r="CD65" i="1"/>
  <c r="BZ146" i="1"/>
  <c r="BZ162" i="1"/>
  <c r="CE66" i="1"/>
  <c r="BZ66" i="1"/>
  <c r="BZ181" i="1"/>
  <c r="BZ113" i="2" s="1"/>
  <c r="CE146" i="1"/>
  <c r="BZ98" i="2"/>
  <c r="BY215" i="4" s="1"/>
  <c r="BZ99" i="2"/>
  <c r="CA181" i="1"/>
  <c r="CA113" i="2" s="1"/>
  <c r="CB181" i="1"/>
  <c r="CB113" i="2" s="1"/>
  <c r="BZ172" i="1"/>
  <c r="CC181" i="1"/>
  <c r="CC113" i="2" s="1"/>
  <c r="E25" i="447"/>
  <c r="BO146" i="1"/>
  <c r="BO66" i="1"/>
  <c r="BJ99" i="2"/>
  <c r="BJ172" i="1"/>
  <c r="BJ66" i="1"/>
  <c r="BJ146" i="1"/>
  <c r="AX98" i="2"/>
  <c r="AW215" i="4" s="1"/>
  <c r="AY157" i="1"/>
  <c r="AX141" i="1"/>
  <c r="BC141" i="1"/>
  <c r="AX33" i="1"/>
  <c r="AX157" i="1"/>
  <c r="AX99" i="2"/>
  <c r="AX38" i="1"/>
  <c r="AA104" i="1"/>
  <c r="Y73" i="1"/>
  <c r="Y74" i="1" s="1"/>
  <c r="Z176" i="1"/>
  <c r="Z73" i="1" s="1"/>
  <c r="Z74" i="1" s="1"/>
  <c r="AK146" i="1"/>
  <c r="AF99" i="2"/>
  <c r="AF146" i="1"/>
  <c r="AF172" i="1"/>
  <c r="AW98" i="2"/>
  <c r="AV215" i="4" s="1"/>
  <c r="BB141" i="1"/>
  <c r="AW99" i="2"/>
  <c r="AW33" i="1"/>
  <c r="AW38" i="1"/>
  <c r="AZ32" i="1"/>
  <c r="AW141" i="1"/>
  <c r="AW157" i="1"/>
  <c r="X82" i="1"/>
  <c r="X188" i="1" s="1"/>
  <c r="X189" i="1" s="1"/>
  <c r="X84" i="1"/>
  <c r="AA80" i="1"/>
  <c r="AA82" i="1" s="1"/>
  <c r="BC103" i="1"/>
  <c r="BC105" i="1"/>
  <c r="AC74" i="1"/>
  <c r="AF73" i="1"/>
  <c r="AF74" i="1" s="1"/>
  <c r="AR14" i="8"/>
  <c r="AU14" i="8" s="1"/>
  <c r="AR30" i="8"/>
  <c r="AZ10" i="1"/>
  <c r="AZ25" i="8"/>
  <c r="AZ16" i="8"/>
  <c r="AZ30" i="8" s="1"/>
  <c r="BE25" i="8"/>
  <c r="BO75" i="8"/>
  <c r="BO86" i="8" s="1"/>
  <c r="E15" i="8"/>
  <c r="J24" i="8"/>
  <c r="O107" i="1"/>
  <c r="O110" i="1"/>
  <c r="Q105" i="1"/>
  <c r="Q107" i="1" s="1"/>
  <c r="BJ46" i="1"/>
  <c r="CF98" i="2"/>
  <c r="CF141" i="1"/>
  <c r="CF99" i="2"/>
  <c r="CF157" i="1"/>
  <c r="CF33" i="1"/>
  <c r="CG157" i="1"/>
  <c r="CI32" i="1"/>
  <c r="CA98" i="2"/>
  <c r="BZ215" i="4" s="1"/>
  <c r="CA99" i="2"/>
  <c r="CA66" i="1"/>
  <c r="CF146" i="1"/>
  <c r="CF66" i="1"/>
  <c r="CA146" i="1"/>
  <c r="CA172" i="1"/>
  <c r="CA162" i="1"/>
  <c r="CA67" i="1"/>
  <c r="CC182" i="1" s="1"/>
  <c r="CF181" i="1"/>
  <c r="CF113" i="2" s="1"/>
  <c r="CK113" i="2" s="1"/>
  <c r="CP113" i="2" s="1"/>
  <c r="CU113" i="2" s="1"/>
  <c r="CB98" i="2"/>
  <c r="CA215" i="4" s="1"/>
  <c r="CB162" i="1"/>
  <c r="CB66" i="1"/>
  <c r="CC162" i="1"/>
  <c r="CG146" i="1"/>
  <c r="CB146" i="1"/>
  <c r="CB99" i="2"/>
  <c r="CB67" i="1"/>
  <c r="CB172" i="1"/>
  <c r="CG66" i="1"/>
  <c r="BT50" i="1"/>
  <c r="BT144" i="1"/>
  <c r="BT49" i="1"/>
  <c r="BT170" i="1"/>
  <c r="BY50" i="1"/>
  <c r="BT98" i="2"/>
  <c r="BS215" i="4" s="1"/>
  <c r="BY144" i="1"/>
  <c r="AK144" i="1"/>
  <c r="AK50" i="1"/>
  <c r="AK49" i="1"/>
  <c r="AP50" i="1"/>
  <c r="AP144" i="1"/>
  <c r="AK98" i="2"/>
  <c r="AJ215" i="4" s="1"/>
  <c r="AD102" i="1"/>
  <c r="AF102" i="1" s="1"/>
  <c r="AF103" i="1" s="1"/>
  <c r="AF56" i="1"/>
  <c r="BJ67" i="1"/>
  <c r="BG102" i="1"/>
  <c r="BI183" i="1"/>
  <c r="BG69" i="1"/>
  <c r="BG164" i="1"/>
  <c r="BG68" i="1"/>
  <c r="BF195" i="4" s="1"/>
  <c r="BG80" i="1"/>
  <c r="BI182" i="1"/>
  <c r="BG148" i="1"/>
  <c r="BG174" i="1"/>
  <c r="BL69" i="1"/>
  <c r="BH164" i="1"/>
  <c r="BL148" i="1"/>
  <c r="BG71" i="1"/>
  <c r="BG182" i="1"/>
  <c r="BK183" i="1"/>
  <c r="BK182" i="1"/>
  <c r="BH182" i="1"/>
  <c r="BG183" i="1"/>
  <c r="BH183" i="1"/>
  <c r="BE56" i="1"/>
  <c r="BA102" i="1"/>
  <c r="BH72" i="1"/>
  <c r="BE71" i="1"/>
  <c r="BR30" i="8"/>
  <c r="BR14" i="8"/>
  <c r="BT14" i="8" s="1"/>
  <c r="AC103" i="1"/>
  <c r="AC105" i="1"/>
  <c r="BO83" i="8"/>
  <c r="BO59" i="8"/>
  <c r="BO20" i="8" s="1"/>
  <c r="AF34" i="8"/>
  <c r="AF35" i="8" s="1"/>
  <c r="AF26" i="8"/>
  <c r="AK26" i="8"/>
  <c r="AU10" i="1"/>
  <c r="K10" i="8"/>
  <c r="K15" i="8"/>
  <c r="K29" i="8" s="1"/>
  <c r="P29" i="8"/>
  <c r="K34" i="8"/>
  <c r="K35" i="8" s="1"/>
  <c r="K24" i="8"/>
  <c r="L9" i="8"/>
  <c r="P24" i="8"/>
  <c r="F41" i="1"/>
  <c r="F67" i="1"/>
  <c r="G38" i="1"/>
  <c r="G41" i="1" s="1"/>
  <c r="CH25" i="1"/>
  <c r="CH171" i="1"/>
  <c r="CH11" i="8"/>
  <c r="CH170" i="1"/>
  <c r="CH172" i="1"/>
  <c r="CH139" i="1"/>
  <c r="CG9" i="4"/>
  <c r="CH169" i="1"/>
  <c r="CH43" i="8"/>
  <c r="CM100" i="8" s="1"/>
  <c r="CG39" i="1"/>
  <c r="CK95" i="2"/>
  <c r="CF198" i="1"/>
  <c r="CE197" i="4"/>
  <c r="CD215" i="4"/>
  <c r="W107" i="1"/>
  <c r="W110" i="1"/>
  <c r="AA105" i="1"/>
  <c r="AA107" i="1" s="1"/>
  <c r="AP53" i="1"/>
  <c r="AP171" i="1"/>
  <c r="AU54" i="1"/>
  <c r="AU145" i="1"/>
  <c r="AP98" i="2"/>
  <c r="AO215" i="4" s="1"/>
  <c r="AP145" i="1"/>
  <c r="AP54" i="1"/>
  <c r="T105" i="1"/>
  <c r="V104" i="1"/>
  <c r="AS141" i="1"/>
  <c r="AS33" i="1"/>
  <c r="AS38" i="1"/>
  <c r="AS99" i="2"/>
  <c r="AT157" i="1"/>
  <c r="AS98" i="2"/>
  <c r="AR215" i="4" s="1"/>
  <c r="AU32" i="1"/>
  <c r="AS157" i="1"/>
  <c r="AP104" i="1"/>
  <c r="AL105" i="1"/>
  <c r="BZ174" i="1"/>
  <c r="BZ80" i="1"/>
  <c r="BZ229" i="1"/>
  <c r="BZ102" i="1"/>
  <c r="BZ164" i="1"/>
  <c r="CB183" i="1"/>
  <c r="BZ148" i="1"/>
  <c r="BZ71" i="1"/>
  <c r="CA182" i="1"/>
  <c r="BZ183" i="1"/>
  <c r="BZ68" i="1"/>
  <c r="CA183" i="1"/>
  <c r="BZ182" i="1"/>
  <c r="BZ69" i="1"/>
  <c r="AC82" i="1"/>
  <c r="AC84" i="1"/>
  <c r="BE143" i="1"/>
  <c r="BE46" i="1"/>
  <c r="BE98" i="2"/>
  <c r="BD215" i="4" s="1"/>
  <c r="BE45" i="1"/>
  <c r="BE169" i="1"/>
  <c r="AF145" i="1"/>
  <c r="AF98" i="2"/>
  <c r="AE215" i="4" s="1"/>
  <c r="AF171" i="1"/>
  <c r="AF53" i="1"/>
  <c r="AK54" i="1"/>
  <c r="AK145" i="1"/>
  <c r="AF104" i="1"/>
  <c r="AB105" i="1"/>
  <c r="AV145" i="1"/>
  <c r="AV171" i="1"/>
  <c r="AW55" i="1"/>
  <c r="BA145" i="1"/>
  <c r="BA54" i="1"/>
  <c r="AZ52" i="1"/>
  <c r="AV161" i="1"/>
  <c r="AV65" i="1"/>
  <c r="AV55" i="1"/>
  <c r="AW161" i="1"/>
  <c r="AV53" i="1"/>
  <c r="AV54" i="1"/>
  <c r="BT65" i="1"/>
  <c r="BQ146" i="1"/>
  <c r="BQ99" i="2"/>
  <c r="BU181" i="1"/>
  <c r="BU113" i="2" s="1"/>
  <c r="BQ162" i="1"/>
  <c r="BQ98" i="2"/>
  <c r="BP215" i="4" s="1"/>
  <c r="BS181" i="1"/>
  <c r="BS113" i="2" s="1"/>
  <c r="BR181" i="1"/>
  <c r="BR113" i="2" s="1"/>
  <c r="BV66" i="1"/>
  <c r="BQ172" i="1"/>
  <c r="BR162" i="1"/>
  <c r="BQ181" i="1"/>
  <c r="BQ113" i="2" s="1"/>
  <c r="BQ66" i="1"/>
  <c r="Z110" i="1"/>
  <c r="Z107" i="1"/>
  <c r="W74" i="1"/>
  <c r="AA73" i="1"/>
  <c r="AA74" i="1" s="1"/>
  <c r="D22" i="447"/>
  <c r="BD194" i="4"/>
  <c r="BE81" i="310"/>
  <c r="L93" i="8"/>
  <c r="Q83" i="8"/>
  <c r="Q77" i="8"/>
  <c r="Q59" i="8"/>
  <c r="Q20" i="8" s="1"/>
  <c r="BC82" i="1"/>
  <c r="BC84" i="1"/>
  <c r="BE80" i="1"/>
  <c r="BE82" i="1" s="1"/>
  <c r="BW120" i="3"/>
  <c r="BW114" i="3"/>
  <c r="BW117" i="3" s="1"/>
  <c r="AK77" i="8"/>
  <c r="AF77" i="8"/>
  <c r="AF93" i="8"/>
  <c r="AF54" i="8"/>
  <c r="AK59" i="8"/>
  <c r="AK20" i="8" s="1"/>
  <c r="AK83" i="8"/>
  <c r="AF198" i="1"/>
  <c r="AE197" i="4"/>
  <c r="AK25" i="8"/>
  <c r="AF25" i="8"/>
  <c r="AF10" i="1"/>
  <c r="Y115" i="1"/>
  <c r="Y112" i="1" s="1"/>
  <c r="Y97" i="1"/>
  <c r="Y98" i="1" s="1"/>
  <c r="Y111" i="1"/>
  <c r="AT21" i="4"/>
  <c r="AT23" i="4" s="1"/>
  <c r="AG218" i="4"/>
  <c r="AH197" i="1"/>
  <c r="AZ64" i="3"/>
  <c r="AX218" i="4"/>
  <c r="AY197" i="1"/>
  <c r="CI140" i="2"/>
  <c r="CH138" i="2"/>
  <c r="CI138" i="2" s="1"/>
  <c r="S120" i="3"/>
  <c r="S114" i="3"/>
  <c r="CK67" i="3"/>
  <c r="CL13" i="3"/>
  <c r="CX12" i="3"/>
  <c r="CW66" i="3"/>
  <c r="AF218" i="4"/>
  <c r="AG197" i="1"/>
  <c r="AG87" i="3"/>
  <c r="AK64" i="3"/>
  <c r="BO16" i="8"/>
  <c r="BO30" i="8" s="1"/>
  <c r="BT25" i="8"/>
  <c r="Q16" i="8"/>
  <c r="CJ186" i="1"/>
  <c r="CH196" i="1"/>
  <c r="CH201" i="1" s="1"/>
  <c r="CL186" i="1"/>
  <c r="CH105" i="3"/>
  <c r="CI105" i="3" s="1"/>
  <c r="CK186" i="1"/>
  <c r="CH112" i="3"/>
  <c r="AO69" i="310"/>
  <c r="CX66" i="3"/>
  <c r="BZ52" i="3"/>
  <c r="BX55" i="3"/>
  <c r="BY53" i="3"/>
  <c r="BT30" i="8"/>
  <c r="AN105" i="3"/>
  <c r="AN196" i="1"/>
  <c r="AN201" i="1" s="1"/>
  <c r="AN112" i="3"/>
  <c r="BK14" i="8"/>
  <c r="BO14" i="8" s="1"/>
  <c r="BK30" i="8"/>
  <c r="CI90" i="2"/>
  <c r="CN58" i="1"/>
  <c r="CP58" i="1"/>
  <c r="CQ58" i="1" s="1"/>
  <c r="CR58" i="1" s="1"/>
  <c r="CT58" i="1" s="1"/>
  <c r="CT40" i="1"/>
  <c r="CO40" i="1"/>
  <c r="CQ13" i="3"/>
  <c r="CP67" i="3"/>
  <c r="CP77" i="2" s="1"/>
  <c r="S21" i="8"/>
  <c r="N16" i="8" s="1"/>
  <c r="S64" i="8"/>
  <c r="C107" i="3"/>
  <c r="AH87" i="3"/>
  <c r="I31" i="8"/>
  <c r="CE69" i="310"/>
  <c r="BF69" i="310"/>
  <c r="AQ70" i="310"/>
  <c r="CM95" i="2"/>
  <c r="CH198" i="1"/>
  <c r="CG197" i="4"/>
  <c r="BQ67" i="1"/>
  <c r="BQ41" i="1"/>
  <c r="BP194" i="4" s="1"/>
  <c r="BT38" i="1"/>
  <c r="BT41" i="1" s="1"/>
  <c r="CF100" i="8"/>
  <c r="CA91" i="8"/>
  <c r="CA93" i="8"/>
  <c r="CA92" i="8"/>
  <c r="CA94" i="8"/>
  <c r="CA79" i="8"/>
  <c r="CF79" i="8"/>
  <c r="CD43" i="8"/>
  <c r="CD10" i="1" s="1"/>
  <c r="AG61" i="4"/>
  <c r="AH63" i="4" s="1"/>
  <c r="O30" i="8"/>
  <c r="O25" i="8"/>
  <c r="J16" i="8"/>
  <c r="J14" i="8" s="1"/>
  <c r="L10" i="8"/>
  <c r="S89" i="8"/>
  <c r="S31" i="8"/>
  <c r="R22" i="4" s="1"/>
  <c r="R24" i="4" s="1"/>
  <c r="BI150" i="1"/>
  <c r="BI166" i="1"/>
  <c r="BI88" i="1"/>
  <c r="BN88" i="1"/>
  <c r="BK166" i="1"/>
  <c r="BN150" i="1"/>
  <c r="BM185" i="1"/>
  <c r="BI99" i="1"/>
  <c r="BN99" i="1"/>
  <c r="H150" i="1"/>
  <c r="H88" i="1"/>
  <c r="D166" i="1"/>
  <c r="BU99" i="1"/>
  <c r="BL185" i="1"/>
  <c r="CV82" i="1"/>
  <c r="CU91" i="1"/>
  <c r="CH119" i="1"/>
  <c r="CI118" i="1"/>
  <c r="CI119" i="1" s="1"/>
  <c r="AE110" i="1"/>
  <c r="AE107" i="1"/>
  <c r="BH107" i="1"/>
  <c r="BH110" i="1"/>
  <c r="BY97" i="1"/>
  <c r="BY98" i="1" s="1"/>
  <c r="BZ69" i="310"/>
  <c r="BZ70" i="310"/>
  <c r="AS69" i="310"/>
  <c r="AO77" i="310"/>
  <c r="CF67" i="1"/>
  <c r="CF41" i="1"/>
  <c r="CE194" i="4" s="1"/>
  <c r="V19" i="1"/>
  <c r="AA19" i="1"/>
  <c r="V137" i="1"/>
  <c r="V24" i="1"/>
  <c r="AA137" i="1"/>
  <c r="L145" i="1"/>
  <c r="Q145" i="1"/>
  <c r="Q54" i="1"/>
  <c r="L54" i="1"/>
  <c r="L53" i="1"/>
  <c r="L171" i="1"/>
  <c r="L172" i="1"/>
  <c r="H111" i="1"/>
  <c r="H115" i="1"/>
  <c r="H112" i="1" s="1"/>
  <c r="H97" i="1"/>
  <c r="H8" i="3"/>
  <c r="BN113" i="1"/>
  <c r="BI113" i="1"/>
  <c r="BN94" i="1"/>
  <c r="CH67" i="1"/>
  <c r="CH41" i="1"/>
  <c r="CG194" i="4" s="1"/>
  <c r="T55" i="4"/>
  <c r="U25" i="1"/>
  <c r="U26" i="1"/>
  <c r="U105" i="2"/>
  <c r="U45" i="1"/>
  <c r="U11" i="8"/>
  <c r="U110" i="2"/>
  <c r="U109" i="2"/>
  <c r="U155" i="1"/>
  <c r="U95" i="2"/>
  <c r="T35" i="4"/>
  <c r="W26" i="1"/>
  <c r="U43" i="8"/>
  <c r="U96" i="2"/>
  <c r="T9" i="4"/>
  <c r="U38" i="1"/>
  <c r="Y180" i="1"/>
  <c r="W180" i="1"/>
  <c r="U49" i="1"/>
  <c r="U180" i="1"/>
  <c r="U139" i="1"/>
  <c r="U170" i="1"/>
  <c r="X180" i="1"/>
  <c r="U171" i="1"/>
  <c r="W155" i="1"/>
  <c r="U33" i="1"/>
  <c r="U172" i="1"/>
  <c r="U169" i="1"/>
  <c r="Z25" i="1"/>
  <c r="Z139" i="1"/>
  <c r="BC70" i="310"/>
  <c r="AO70" i="310"/>
  <c r="CE45" i="1"/>
  <c r="CE110" i="2"/>
  <c r="CE38" i="1"/>
  <c r="CE95" i="2"/>
  <c r="CE105" i="2"/>
  <c r="CE49" i="1"/>
  <c r="CE53" i="1"/>
  <c r="CE109" i="2"/>
  <c r="CE106" i="2"/>
  <c r="CE171" i="1"/>
  <c r="CE43" i="8"/>
  <c r="CE180" i="1"/>
  <c r="CE130" i="2" s="1"/>
  <c r="CE11" i="8"/>
  <c r="CE26" i="1"/>
  <c r="CF180" i="1"/>
  <c r="CF130" i="2" s="1"/>
  <c r="CE96" i="2"/>
  <c r="CD9" i="4"/>
  <c r="CF155" i="1"/>
  <c r="CE33" i="1"/>
  <c r="CE169" i="1"/>
  <c r="CE139" i="1"/>
  <c r="CF26" i="1"/>
  <c r="CE209" i="1"/>
  <c r="CE210" i="1"/>
  <c r="CE170" i="1"/>
  <c r="CE211" i="1"/>
  <c r="CE155" i="1"/>
  <c r="CE25" i="1"/>
  <c r="CE172" i="1"/>
  <c r="CK56" i="1"/>
  <c r="CL57" i="1"/>
  <c r="CO77" i="2"/>
  <c r="AT146" i="1"/>
  <c r="AV162" i="1"/>
  <c r="AW181" i="1"/>
  <c r="AW113" i="2" s="1"/>
  <c r="AY146" i="1"/>
  <c r="AT172" i="1"/>
  <c r="AX181" i="1"/>
  <c r="AX113" i="2" s="1"/>
  <c r="AT162" i="1"/>
  <c r="AT99" i="2"/>
  <c r="AV181" i="1"/>
  <c r="AV113" i="2" s="1"/>
  <c r="AU65" i="1"/>
  <c r="AT98" i="2"/>
  <c r="AS215" i="4" s="1"/>
  <c r="AT181" i="1"/>
  <c r="AT113" i="2" s="1"/>
  <c r="AT67" i="1"/>
  <c r="I80" i="1"/>
  <c r="I68" i="1"/>
  <c r="H195" i="4" s="1"/>
  <c r="I164" i="1"/>
  <c r="N148" i="1"/>
  <c r="I102" i="1"/>
  <c r="I174" i="1"/>
  <c r="I69" i="1"/>
  <c r="N69" i="1"/>
  <c r="I148" i="1"/>
  <c r="J182" i="1"/>
  <c r="J164" i="1"/>
  <c r="K183" i="1"/>
  <c r="L67" i="1"/>
  <c r="I183" i="1"/>
  <c r="I182" i="1"/>
  <c r="K182" i="1"/>
  <c r="M183" i="1"/>
  <c r="J183" i="1"/>
  <c r="M182" i="1"/>
  <c r="Q50" i="1"/>
  <c r="L98" i="2"/>
  <c r="K215" i="4" s="1"/>
  <c r="Q144" i="1"/>
  <c r="L50" i="1"/>
  <c r="L144" i="1"/>
  <c r="L170" i="1"/>
  <c r="L49" i="1"/>
  <c r="L46" i="1"/>
  <c r="G45" i="1"/>
  <c r="G169" i="1"/>
  <c r="L143" i="1"/>
  <c r="CF60" i="8"/>
  <c r="CF21" i="8" s="1"/>
  <c r="G33" i="447"/>
  <c r="BL91" i="1"/>
  <c r="BL188" i="1"/>
  <c r="BL189" i="1" s="1"/>
  <c r="AR103" i="1"/>
  <c r="AR105" i="1"/>
  <c r="AJ8" i="3"/>
  <c r="AI62" i="3"/>
  <c r="AI87" i="3" s="1"/>
  <c r="AI33" i="3"/>
  <c r="AI51" i="3" s="1"/>
  <c r="AQ117" i="3"/>
  <c r="BY112" i="1"/>
  <c r="BY111" i="1"/>
  <c r="CF69" i="2"/>
  <c r="CI68" i="2"/>
  <c r="CI69" i="2" s="1"/>
  <c r="CW158" i="4"/>
  <c r="CW92" i="4" s="1"/>
  <c r="P38" i="4"/>
  <c r="P43" i="4"/>
  <c r="BX128" i="4"/>
  <c r="BX136" i="4"/>
  <c r="BX138" i="4"/>
  <c r="BX132" i="4"/>
  <c r="CH185" i="4"/>
  <c r="BK93" i="4"/>
  <c r="BM93" i="4"/>
  <c r="CK76" i="4"/>
  <c r="CK66" i="4"/>
  <c r="BI170" i="4"/>
  <c r="BI171" i="4" s="1"/>
  <c r="BI167" i="4"/>
  <c r="BS23" i="4"/>
  <c r="BS24" i="4" s="1"/>
  <c r="CA105" i="4"/>
  <c r="BZ108" i="4"/>
  <c r="BP93" i="4"/>
  <c r="CC132" i="4"/>
  <c r="CC138" i="4"/>
  <c r="CC136" i="4"/>
  <c r="U27" i="4"/>
  <c r="U30" i="4"/>
  <c r="BS70" i="4"/>
  <c r="BX70" i="4"/>
  <c r="Z27" i="4"/>
  <c r="Z30" i="4"/>
  <c r="CC70" i="4"/>
  <c r="BQ97" i="4"/>
  <c r="BJ93" i="4"/>
  <c r="BJ96" i="4"/>
  <c r="CU69" i="4"/>
  <c r="CT66" i="4"/>
  <c r="CT76" i="4"/>
  <c r="CF115" i="4"/>
  <c r="CK116" i="4" s="1"/>
  <c r="CG115" i="4"/>
  <c r="CL116" i="4" s="1"/>
  <c r="BN128" i="4"/>
  <c r="BS138" i="4"/>
  <c r="BN136" i="4"/>
  <c r="BF80" i="4"/>
  <c r="BG81" i="4" s="1"/>
  <c r="BH81" i="4" s="1"/>
  <c r="BJ81" i="4" s="1"/>
  <c r="BK81" i="4" s="1"/>
  <c r="BL81" i="4" s="1"/>
  <c r="BM81" i="4" s="1"/>
  <c r="BO81" i="4" s="1"/>
  <c r="BP81" i="4" s="1"/>
  <c r="BQ81" i="4" s="1"/>
  <c r="BR81" i="4" s="1"/>
  <c r="BT81" i="4" s="1"/>
  <c r="BU81" i="4" s="1"/>
  <c r="BI69" i="4"/>
  <c r="BN70" i="4" s="1"/>
  <c r="BR93" i="4"/>
  <c r="BW79" i="4"/>
  <c r="BV80" i="4"/>
  <c r="CM83" i="3"/>
  <c r="CN83" i="3" s="1"/>
  <c r="CN29" i="3"/>
  <c r="CP91" i="3"/>
  <c r="CQ37" i="3"/>
  <c r="CJ119" i="1"/>
  <c r="CS12" i="2"/>
  <c r="CT12" i="2"/>
  <c r="CU12" i="2" s="1"/>
  <c r="CV12" i="2" s="1"/>
  <c r="CW12" i="2" s="1"/>
  <c r="CX12" i="2" s="1"/>
  <c r="CS9" i="2"/>
  <c r="CT9" i="2"/>
  <c r="CU9" i="2" s="1"/>
  <c r="CV9" i="2" s="1"/>
  <c r="CW9" i="2" s="1"/>
  <c r="CX9" i="2" s="1"/>
  <c r="CH52" i="2"/>
  <c r="CZ52" i="2" s="1"/>
  <c r="CI51" i="2"/>
  <c r="CI52" i="2" s="1"/>
  <c r="CK102" i="3"/>
  <c r="CL48" i="3"/>
  <c r="AT52" i="2"/>
  <c r="AU51" i="2"/>
  <c r="AU52" i="2" s="1"/>
  <c r="CK37" i="3"/>
  <c r="CJ91" i="3"/>
  <c r="CD129" i="2"/>
  <c r="AZ79" i="3"/>
  <c r="BJ93" i="3"/>
  <c r="BJ94" i="3" s="1"/>
  <c r="BH94" i="3"/>
  <c r="CN46" i="2"/>
  <c r="CO46" i="2"/>
  <c r="CO29" i="3"/>
  <c r="CP41" i="2"/>
  <c r="CQ41" i="2" s="1"/>
  <c r="CR41" i="2" s="1"/>
  <c r="CL59" i="2"/>
  <c r="CK61" i="2"/>
  <c r="CK68" i="2" s="1"/>
  <c r="CK70" i="2" s="1"/>
  <c r="CK83" i="2" s="1"/>
  <c r="CL63" i="2"/>
  <c r="CK118" i="1"/>
  <c r="CK93" i="3"/>
  <c r="CL39" i="3"/>
  <c r="BJ90" i="2"/>
  <c r="CL193" i="1"/>
  <c r="CL47" i="3"/>
  <c r="CM29" i="2"/>
  <c r="CK212" i="4"/>
  <c r="CO28" i="3"/>
  <c r="CP40" i="2"/>
  <c r="CQ40" i="2" s="1"/>
  <c r="CR40" i="2" s="1"/>
  <c r="CU33" i="2"/>
  <c r="CL96" i="3"/>
  <c r="CM42" i="3"/>
  <c r="CS21" i="2"/>
  <c r="CT21" i="2"/>
  <c r="CU21" i="2" s="1"/>
  <c r="CV21" i="2" s="1"/>
  <c r="CW21" i="2" s="1"/>
  <c r="CX21" i="2" s="1"/>
  <c r="CM25" i="3"/>
  <c r="CL79" i="3"/>
  <c r="CL98" i="3"/>
  <c r="CM44" i="3"/>
  <c r="CI49" i="310"/>
  <c r="AI186" i="310"/>
  <c r="AI68" i="310"/>
  <c r="AJ187" i="310"/>
  <c r="AJ188" i="310" s="1"/>
  <c r="AI217" i="310"/>
  <c r="CJ23" i="310"/>
  <c r="CJ22" i="310"/>
  <c r="G264" i="310"/>
  <c r="BL69" i="310"/>
  <c r="AN186" i="310"/>
  <c r="CH128" i="4"/>
  <c r="CH132" i="4"/>
  <c r="CG128" i="4"/>
  <c r="CG138" i="4"/>
  <c r="CG140" i="4"/>
  <c r="CG139" i="4"/>
  <c r="BZ86" i="4"/>
  <c r="CA86" i="4" s="1"/>
  <c r="CB86" i="4" s="1"/>
  <c r="CG136" i="4"/>
  <c r="BX163" i="4"/>
  <c r="BX164" i="4"/>
  <c r="BX182" i="4"/>
  <c r="BX156" i="4"/>
  <c r="CM143" i="4"/>
  <c r="CQ69" i="4"/>
  <c r="CP76" i="4"/>
  <c r="CP66" i="4"/>
  <c r="CG76" i="4"/>
  <c r="CG66" i="4"/>
  <c r="CI76" i="4"/>
  <c r="CH69" i="4"/>
  <c r="CG93" i="4" s="1"/>
  <c r="CO143" i="4"/>
  <c r="CP143" i="4" s="1"/>
  <c r="CQ143" i="4" s="1"/>
  <c r="CS143" i="4" s="1"/>
  <c r="CA94" i="4"/>
  <c r="CH136" i="4"/>
  <c r="CH134" i="4"/>
  <c r="BN182" i="4"/>
  <c r="BN164" i="4"/>
  <c r="BS156" i="4"/>
  <c r="BN156" i="4"/>
  <c r="BN163" i="4"/>
  <c r="CA67" i="4"/>
  <c r="BS45" i="310"/>
  <c r="BR44" i="310"/>
  <c r="CH21" i="8"/>
  <c r="AS21" i="8"/>
  <c r="AS64" i="8"/>
  <c r="BP31" i="8"/>
  <c r="BP89" i="8"/>
  <c r="AE60" i="8"/>
  <c r="AE84" i="8"/>
  <c r="AE16" i="8"/>
  <c r="AF55" i="8"/>
  <c r="BT88" i="8"/>
  <c r="BT63" i="8"/>
  <c r="AS31" i="8"/>
  <c r="AR22" i="4" s="1"/>
  <c r="AR24" i="4" s="1"/>
  <c r="AS89" i="8"/>
  <c r="BP64" i="8"/>
  <c r="BP21" i="8"/>
  <c r="BN84" i="8"/>
  <c r="BN60" i="8"/>
  <c r="BO55" i="8"/>
  <c r="CF31" i="8"/>
  <c r="CF89" i="8"/>
  <c r="AK53" i="8"/>
  <c r="AJ82" i="8"/>
  <c r="AJ87" i="8" s="1"/>
  <c r="AJ58" i="8"/>
  <c r="AJ19" i="8" s="1"/>
  <c r="AJ16" i="8"/>
  <c r="AJ55" i="8"/>
  <c r="BO88" i="8"/>
  <c r="BO63" i="8"/>
  <c r="AU60" i="8"/>
  <c r="AU84" i="8"/>
  <c r="BO58" i="8"/>
  <c r="BO19" i="8" s="1"/>
  <c r="BO82" i="8"/>
  <c r="BO87" i="8" s="1"/>
  <c r="CH31" i="8"/>
  <c r="CA84" i="8"/>
  <c r="CA60" i="8"/>
  <c r="BT60" i="8"/>
  <c r="BT84" i="8"/>
  <c r="BK114" i="310"/>
  <c r="BK135" i="310"/>
  <c r="F270" i="310"/>
  <c r="AJ76" i="310"/>
  <c r="AJ217" i="310"/>
  <c r="AK216" i="310"/>
  <c r="BL129" i="310"/>
  <c r="BL106" i="310"/>
  <c r="BP32" i="310"/>
  <c r="BK32" i="310"/>
  <c r="BK33" i="310"/>
  <c r="BK40" i="310"/>
  <c r="BK64" i="310"/>
  <c r="BL64" i="310"/>
  <c r="BL63" i="310"/>
  <c r="BL40" i="310"/>
  <c r="BL32" i="310"/>
  <c r="BL58" i="310"/>
  <c r="BL62" i="310"/>
  <c r="BL70" i="310"/>
  <c r="BO58" i="310"/>
  <c r="BO62" i="310"/>
  <c r="BP69" i="310"/>
  <c r="CD41" i="310"/>
  <c r="BF22" i="310"/>
  <c r="BO22" i="310"/>
  <c r="BI23" i="310"/>
  <c r="BI22" i="310"/>
  <c r="BN22" i="310"/>
  <c r="AA216" i="310"/>
  <c r="AA217" i="310" s="1"/>
  <c r="AA276" i="310"/>
  <c r="AU165" i="310"/>
  <c r="BD41" i="310"/>
  <c r="BJ14" i="310"/>
  <c r="E59" i="447" s="1"/>
  <c r="L269" i="310"/>
  <c r="BJ73" i="310"/>
  <c r="CD58" i="310"/>
  <c r="V77" i="310"/>
  <c r="H12" i="447"/>
  <c r="H58" i="447"/>
  <c r="AZ193" i="310"/>
  <c r="AZ159" i="310"/>
  <c r="I12" i="447"/>
  <c r="BP41" i="310"/>
  <c r="L281" i="310"/>
  <c r="L282" i="310" s="1"/>
  <c r="L279" i="310"/>
  <c r="AA249" i="310"/>
  <c r="BD42" i="310"/>
  <c r="Q226" i="310"/>
  <c r="L249" i="310"/>
  <c r="AL229" i="310"/>
  <c r="AG231" i="310"/>
  <c r="AG260" i="310"/>
  <c r="AG278" i="310" s="1"/>
  <c r="AG279" i="310" s="1"/>
  <c r="AM186" i="310"/>
  <c r="AK185" i="310"/>
  <c r="AI187" i="310"/>
  <c r="AI188" i="310" s="1"/>
  <c r="AH187" i="310"/>
  <c r="AH188" i="310" s="1"/>
  <c r="AH217" i="310"/>
  <c r="AH186" i="310"/>
  <c r="BF42" i="310"/>
  <c r="AS70" i="310"/>
  <c r="AS77" i="310"/>
  <c r="AX69" i="310"/>
  <c r="AS261" i="310"/>
  <c r="AN260" i="310"/>
  <c r="AN278" i="310" s="1"/>
  <c r="AN279" i="310" s="1"/>
  <c r="BD143" i="310"/>
  <c r="BF116" i="310"/>
  <c r="BD147" i="310"/>
  <c r="BD144" i="310"/>
  <c r="BD146" i="310"/>
  <c r="BD145" i="310"/>
  <c r="BD148" i="310"/>
  <c r="F62" i="447"/>
  <c r="F15" i="447"/>
  <c r="G15" i="447" s="1"/>
  <c r="F64" i="447"/>
  <c r="F9" i="447"/>
  <c r="G9" i="447" s="1"/>
  <c r="H9" i="447" s="1"/>
  <c r="I9" i="447" s="1"/>
  <c r="J9" i="447" s="1"/>
  <c r="BT40" i="310"/>
  <c r="BT41" i="310" s="1"/>
  <c r="BM70" i="310"/>
  <c r="BN70" i="310"/>
  <c r="BL112" i="310"/>
  <c r="BD139" i="310"/>
  <c r="AA258" i="310"/>
  <c r="BL153" i="310"/>
  <c r="BK189" i="310"/>
  <c r="BK155" i="310"/>
  <c r="AC225" i="310"/>
  <c r="AB257" i="310"/>
  <c r="AB275" i="310" s="1"/>
  <c r="AB276" i="310" s="1"/>
  <c r="AB226" i="310"/>
  <c r="AM76" i="310"/>
  <c r="AM217" i="310"/>
  <c r="AP216" i="310"/>
  <c r="AP217" i="310" s="1"/>
  <c r="BR69" i="310"/>
  <c r="BB157" i="310"/>
  <c r="BA192" i="310"/>
  <c r="BA159" i="310"/>
  <c r="BY63" i="310"/>
  <c r="BY58" i="310"/>
  <c r="CB69" i="310"/>
  <c r="BW69" i="310"/>
  <c r="AT76" i="310"/>
  <c r="AU79" i="310"/>
  <c r="AU80" i="310" s="1"/>
  <c r="AX183" i="310"/>
  <c r="AW184" i="310"/>
  <c r="AW185" i="310"/>
  <c r="AW214" i="310"/>
  <c r="AW183" i="310"/>
  <c r="BX89" i="4"/>
  <c r="BA182" i="310"/>
  <c r="AY183" i="310"/>
  <c r="AY214" i="310"/>
  <c r="X70" i="310"/>
  <c r="BO68" i="310"/>
  <c r="BO69" i="310" s="1"/>
  <c r="BD117" i="310"/>
  <c r="BJ28" i="310"/>
  <c r="AR62" i="310"/>
  <c r="AR63" i="310"/>
  <c r="AR40" i="310"/>
  <c r="AR64" i="310"/>
  <c r="AW32" i="310"/>
  <c r="D16" i="447"/>
  <c r="E16" i="447"/>
  <c r="CG70" i="310"/>
  <c r="K279" i="310"/>
  <c r="K287" i="310"/>
  <c r="K288" i="310" s="1"/>
  <c r="AK214" i="310"/>
  <c r="AY199" i="310"/>
  <c r="AY165" i="310"/>
  <c r="AZ163" i="310"/>
  <c r="AY164" i="310"/>
  <c r="CD32" i="310"/>
  <c r="CD62" i="310"/>
  <c r="CD64" i="310"/>
  <c r="CI32" i="310"/>
  <c r="CD63" i="310"/>
  <c r="CA42" i="310"/>
  <c r="BZ41" i="310"/>
  <c r="L77" i="310"/>
  <c r="BF138" i="310"/>
  <c r="BF139" i="310" s="1"/>
  <c r="AB246" i="310"/>
  <c r="AB249" i="310"/>
  <c r="AC245" i="310"/>
  <c r="AB266" i="310"/>
  <c r="AB284" i="310" s="1"/>
  <c r="H60" i="447"/>
  <c r="BC22" i="310"/>
  <c r="BC23" i="310"/>
  <c r="BJ64" i="310"/>
  <c r="BJ32" i="310"/>
  <c r="BJ63" i="310"/>
  <c r="AZ173" i="310"/>
  <c r="AU182" i="310"/>
  <c r="AZ184" i="310" s="1"/>
  <c r="AU173" i="310"/>
  <c r="AU205" i="310"/>
  <c r="AV183" i="310"/>
  <c r="AT183" i="310"/>
  <c r="AT185" i="310"/>
  <c r="AT184" i="310"/>
  <c r="AT214" i="310"/>
  <c r="AY184" i="310"/>
  <c r="AK184" i="310"/>
  <c r="AF184" i="310"/>
  <c r="BC145" i="310"/>
  <c r="BC139" i="310"/>
  <c r="BC143" i="310"/>
  <c r="BC147" i="310"/>
  <c r="BC144" i="310"/>
  <c r="BC148" i="310"/>
  <c r="BC117" i="310"/>
  <c r="BD116" i="310"/>
  <c r="BC146" i="310"/>
  <c r="BC116" i="310"/>
  <c r="AX76" i="310"/>
  <c r="AX77" i="310" s="1"/>
  <c r="AX217" i="310"/>
  <c r="G278" i="310"/>
  <c r="G279" i="310" s="1"/>
  <c r="F279" i="310"/>
  <c r="Z279" i="310"/>
  <c r="Z287" i="310"/>
  <c r="Z288" i="310" s="1"/>
  <c r="D19" i="447"/>
  <c r="D21" i="447"/>
  <c r="D28" i="447" s="1"/>
  <c r="D29" i="447" s="1"/>
  <c r="AZ63" i="310"/>
  <c r="AZ62" i="310"/>
  <c r="AZ64" i="310"/>
  <c r="Q269" i="310"/>
  <c r="BS89" i="4"/>
  <c r="BJ58" i="310"/>
  <c r="V276" i="310"/>
  <c r="V287" i="310"/>
  <c r="V288" i="310" s="1"/>
  <c r="BY49" i="310"/>
  <c r="CD8" i="310"/>
  <c r="BY62" i="310"/>
  <c r="BE73" i="310"/>
  <c r="R70" i="310"/>
  <c r="U69" i="310"/>
  <c r="Q68" i="310"/>
  <c r="P69" i="310"/>
  <c r="P77" i="310"/>
  <c r="P70" i="310"/>
  <c r="AA278" i="310"/>
  <c r="AB242" i="310"/>
  <c r="AB263" i="310"/>
  <c r="AB281" i="310" s="1"/>
  <c r="AB282" i="310" s="1"/>
  <c r="AC241" i="310"/>
  <c r="AJ261" i="310"/>
  <c r="AE260" i="310"/>
  <c r="AE278" i="310" s="1"/>
  <c r="P276" i="310"/>
  <c r="P287" i="310"/>
  <c r="P288" i="310" s="1"/>
  <c r="AB69" i="310"/>
  <c r="W77" i="310"/>
  <c r="W69" i="310"/>
  <c r="W70" i="310"/>
  <c r="AU57" i="310"/>
  <c r="AV267" i="310"/>
  <c r="V269" i="310"/>
  <c r="V270" i="310" s="1"/>
  <c r="BJ129" i="310"/>
  <c r="BJ130" i="310" s="1"/>
  <c r="AU21" i="310"/>
  <c r="AZ22" i="310" s="1"/>
  <c r="AQ183" i="310"/>
  <c r="AV184" i="310"/>
  <c r="AQ185" i="310"/>
  <c r="AQ214" i="310"/>
  <c r="AR183" i="310"/>
  <c r="AQ184" i="310"/>
  <c r="BO14" i="310"/>
  <c r="F59" i="447" s="1"/>
  <c r="BJ7" i="310"/>
  <c r="AE217" i="310"/>
  <c r="AF216" i="310"/>
  <c r="AF217" i="310" s="1"/>
  <c r="BT58" i="310"/>
  <c r="BT28" i="310"/>
  <c r="BO28" i="310"/>
  <c r="BC42" i="310"/>
  <c r="BB41" i="310"/>
  <c r="BE32" i="310"/>
  <c r="BE62" i="310"/>
  <c r="BE64" i="310"/>
  <c r="BE58" i="310"/>
  <c r="BE63" i="310"/>
  <c r="AM69" i="310"/>
  <c r="AH69" i="310"/>
  <c r="AK68" i="310"/>
  <c r="AP69" i="310" s="1"/>
  <c r="AZ143" i="310"/>
  <c r="AZ117" i="310"/>
  <c r="BO32" i="310"/>
  <c r="BJ41" i="310"/>
  <c r="BT7" i="310"/>
  <c r="BT14" i="310"/>
  <c r="G59" i="447" s="1"/>
  <c r="G12" i="447" s="1"/>
  <c r="F287" i="310"/>
  <c r="F288" i="310" s="1"/>
  <c r="AM229" i="310"/>
  <c r="AH231" i="310"/>
  <c r="AI231" i="310"/>
  <c r="AK229" i="310"/>
  <c r="AK230" i="310" s="1"/>
  <c r="AH260" i="310"/>
  <c r="AH278" i="310" s="1"/>
  <c r="J64" i="447"/>
  <c r="J62" i="447"/>
  <c r="Q284" i="310"/>
  <c r="Q285" i="310" s="1"/>
  <c r="R251" i="310"/>
  <c r="P251" i="310"/>
  <c r="U250" i="310"/>
  <c r="P250" i="310"/>
  <c r="Q249" i="310"/>
  <c r="V230" i="310"/>
  <c r="Q230" i="310"/>
  <c r="Q261" i="310"/>
  <c r="BV261" i="310"/>
  <c r="G281" i="310"/>
  <c r="G282" i="310" s="1"/>
  <c r="F282" i="310"/>
  <c r="BA23" i="310"/>
  <c r="BA22" i="310"/>
  <c r="BE21" i="310"/>
  <c r="BE22" i="310" s="1"/>
  <c r="AA250" i="310"/>
  <c r="AA252" i="310"/>
  <c r="BE68" i="310"/>
  <c r="BJ69" i="310" s="1"/>
  <c r="BA69" i="310"/>
  <c r="BD23" i="310"/>
  <c r="BT64" i="310"/>
  <c r="BT32" i="310"/>
  <c r="BY32" i="310"/>
  <c r="BT63" i="310"/>
  <c r="AF214" i="310"/>
  <c r="BK69" i="310"/>
  <c r="G269" i="310"/>
  <c r="G270" i="310" s="1"/>
  <c r="G261" i="310"/>
  <c r="Z251" i="310"/>
  <c r="Z250" i="310"/>
  <c r="Z252" i="310"/>
  <c r="AX42" i="310"/>
  <c r="AW42" i="310"/>
  <c r="BU41" i="310"/>
  <c r="BV42" i="310"/>
  <c r="BU42" i="310"/>
  <c r="AZ58" i="310"/>
  <c r="AE77" i="310"/>
  <c r="AE70" i="310"/>
  <c r="AE69" i="310"/>
  <c r="AF68" i="310"/>
  <c r="AF77" i="310" s="1"/>
  <c r="AG70" i="310"/>
  <c r="BK108" i="310"/>
  <c r="BI132" i="310"/>
  <c r="BJ132" i="310" s="1"/>
  <c r="BJ133" i="310" s="1"/>
  <c r="BI110" i="310"/>
  <c r="AH77" i="310"/>
  <c r="L276" i="310"/>
  <c r="L287" i="310"/>
  <c r="L288" i="310" s="1"/>
  <c r="AA284" i="310"/>
  <c r="AA285" i="310" s="1"/>
  <c r="AA269" i="310"/>
  <c r="AA270" i="310" s="1"/>
  <c r="AJ69" i="310"/>
  <c r="CI62" i="310"/>
  <c r="AW41" i="310"/>
  <c r="Q278" i="310"/>
  <c r="BH94" i="310"/>
  <c r="BG123" i="310"/>
  <c r="BG138" i="310" s="1"/>
  <c r="BG96" i="310"/>
  <c r="BG115" i="310"/>
  <c r="BG144" i="310" s="1"/>
  <c r="AV32" i="310"/>
  <c r="AQ40" i="310"/>
  <c r="AQ64" i="310"/>
  <c r="AU31" i="310"/>
  <c r="AU63" i="310" s="1"/>
  <c r="AQ63" i="310"/>
  <c r="AQ62" i="310"/>
  <c r="AQ58" i="310"/>
  <c r="AT70" i="310"/>
  <c r="AU68" i="310"/>
  <c r="AW70" i="310" s="1"/>
  <c r="AY69" i="310"/>
  <c r="AX32" i="310"/>
  <c r="AS63" i="310"/>
  <c r="AS62" i="310"/>
  <c r="AS40" i="310"/>
  <c r="AX41" i="310" s="1"/>
  <c r="AS58" i="310"/>
  <c r="AS64" i="310"/>
  <c r="AV70" i="310"/>
  <c r="AT40" i="310"/>
  <c r="AV33" i="310"/>
  <c r="AT63" i="310"/>
  <c r="AY32" i="310"/>
  <c r="AT64" i="310"/>
  <c r="AT62" i="310"/>
  <c r="AV23" i="310"/>
  <c r="AY22" i="310"/>
  <c r="BA144" i="310"/>
  <c r="BA117" i="310"/>
  <c r="BA139" i="310"/>
  <c r="BB116" i="310"/>
  <c r="BA143" i="310"/>
  <c r="BA146" i="310"/>
  <c r="BA116" i="310"/>
  <c r="BF117" i="310"/>
  <c r="BA145" i="310"/>
  <c r="BA147" i="310"/>
  <c r="BA148" i="310"/>
  <c r="BE115" i="310"/>
  <c r="AT69" i="310"/>
  <c r="AU52" i="310"/>
  <c r="AZ84" i="310"/>
  <c r="BR133" i="310"/>
  <c r="BC160" i="310"/>
  <c r="BB162" i="310"/>
  <c r="BB195" i="310"/>
  <c r="BM112" i="310"/>
  <c r="BL135" i="310"/>
  <c r="BL114" i="310"/>
  <c r="BC171" i="310"/>
  <c r="BB204" i="310"/>
  <c r="BB173" i="310"/>
  <c r="BA198" i="310"/>
  <c r="BA199" i="310" s="1"/>
  <c r="AZ185" i="310"/>
  <c r="BK106" i="310"/>
  <c r="BK129" i="310"/>
  <c r="BK80" i="310" s="1"/>
  <c r="BM126" i="310"/>
  <c r="BN98" i="310"/>
  <c r="BO98" i="310" s="1"/>
  <c r="BO100" i="310" s="1"/>
  <c r="BM100" i="310"/>
  <c r="CJ18" i="310"/>
  <c r="CK17" i="310"/>
  <c r="CK18" i="310" s="1"/>
  <c r="AZ216" i="310"/>
  <c r="AV76" i="310"/>
  <c r="AV217" i="310"/>
  <c r="BA165" i="310"/>
  <c r="BA164" i="310"/>
  <c r="AZ214" i="310"/>
  <c r="BN42" i="310"/>
  <c r="BO40" i="310"/>
  <c r="BO41" i="310" s="1"/>
  <c r="BM41" i="310"/>
  <c r="BM42" i="310"/>
  <c r="AF69" i="310"/>
  <c r="AA77" i="310"/>
  <c r="AA69" i="310"/>
  <c r="D12" i="447"/>
  <c r="BV70" i="310"/>
  <c r="CA69" i="310"/>
  <c r="BW70" i="310"/>
  <c r="BY68" i="310"/>
  <c r="CD69" i="310" s="1"/>
  <c r="CI69" i="310"/>
  <c r="CH41" i="310"/>
  <c r="CH42" i="310"/>
  <c r="CI40" i="310"/>
  <c r="CI41" i="310" s="1"/>
  <c r="AW77" i="310"/>
  <c r="AW69" i="310"/>
  <c r="AZ68" i="310"/>
  <c r="BB69" i="310"/>
  <c r="AY70" i="310"/>
  <c r="AM264" i="310"/>
  <c r="BW41" i="310"/>
  <c r="BX42" i="310"/>
  <c r="BY40" i="310"/>
  <c r="BY41" i="310" s="1"/>
  <c r="BW42" i="310"/>
  <c r="BE130" i="310"/>
  <c r="BE106" i="310"/>
  <c r="BJ106" i="310"/>
  <c r="AN264" i="310"/>
  <c r="AR267" i="310"/>
  <c r="CT261" i="310"/>
  <c r="CL10" i="310"/>
  <c r="CK11" i="310"/>
  <c r="AU49" i="310"/>
  <c r="AZ8" i="310"/>
  <c r="BQ69" i="310"/>
  <c r="BR70" i="310"/>
  <c r="BQ70" i="310"/>
  <c r="BT68" i="310"/>
  <c r="BV69" i="310"/>
  <c r="BC180" i="310"/>
  <c r="BD178" i="310"/>
  <c r="BD267" i="310"/>
  <c r="CK201" i="310"/>
  <c r="CL167" i="310"/>
  <c r="BB42" i="310"/>
  <c r="BE40" i="310"/>
  <c r="BE41" i="310" s="1"/>
  <c r="BA41" i="310"/>
  <c r="BA42" i="310"/>
  <c r="BS69" i="310"/>
  <c r="BU70" i="310"/>
  <c r="BS70" i="310"/>
  <c r="AP186" i="310"/>
  <c r="J25" i="8"/>
  <c r="J30" i="8"/>
  <c r="V15" i="8"/>
  <c r="V29" i="8" s="1"/>
  <c r="V24" i="8"/>
  <c r="V9" i="1"/>
  <c r="V10" i="1" s="1"/>
  <c r="AA24" i="8"/>
  <c r="AA29" i="8"/>
  <c r="AA87" i="8"/>
  <c r="BE63" i="8"/>
  <c r="BE88" i="8"/>
  <c r="BE62" i="8"/>
  <c r="BE87" i="8"/>
  <c r="BY87" i="8"/>
  <c r="BY62" i="8"/>
  <c r="U29" i="8"/>
  <c r="BJ87" i="8"/>
  <c r="BJ62" i="8"/>
  <c r="BJ88" i="8"/>
  <c r="BJ63" i="8"/>
  <c r="AP54" i="8"/>
  <c r="AO59" i="8"/>
  <c r="AO83" i="8"/>
  <c r="AO88" i="8" s="1"/>
  <c r="AO55" i="8"/>
  <c r="BT87" i="8"/>
  <c r="BT62" i="8"/>
  <c r="G10" i="8"/>
  <c r="K25" i="8"/>
  <c r="L26" i="8"/>
  <c r="G34" i="8"/>
  <c r="G35" i="8" s="1"/>
  <c r="R115" i="3" l="1"/>
  <c r="CV219" i="4"/>
  <c r="CX70" i="3"/>
  <c r="CW219" i="4" s="1"/>
  <c r="AZ98" i="3"/>
  <c r="AZ103" i="3" s="1"/>
  <c r="AY103" i="3"/>
  <c r="AF76" i="2"/>
  <c r="CG120" i="3"/>
  <c r="AY32" i="3"/>
  <c r="AY86" i="3" s="1"/>
  <c r="P42" i="4"/>
  <c r="CR92" i="4"/>
  <c r="CR93" i="4" s="1"/>
  <c r="CR161" i="4"/>
  <c r="CR162" i="4" s="1"/>
  <c r="CD93" i="4"/>
  <c r="P39" i="4"/>
  <c r="CE93" i="4"/>
  <c r="BH120" i="310"/>
  <c r="BH92" i="310"/>
  <c r="BI90" i="310"/>
  <c r="BJ90" i="310"/>
  <c r="BJ92" i="310" s="1"/>
  <c r="AA186" i="310"/>
  <c r="AF186" i="310"/>
  <c r="AO229" i="310"/>
  <c r="AJ231" i="310"/>
  <c r="K31" i="8"/>
  <c r="K89" i="8"/>
  <c r="CB182" i="1"/>
  <c r="CD67" i="1"/>
  <c r="CC94" i="1"/>
  <c r="BX94" i="1"/>
  <c r="AK73" i="1"/>
  <c r="AK74" i="1" s="1"/>
  <c r="L76" i="8"/>
  <c r="L92" i="8"/>
  <c r="J60" i="8" s="1"/>
  <c r="J21" i="8" s="1"/>
  <c r="E16" i="8" s="1"/>
  <c r="E14" i="8" s="1"/>
  <c r="Q82" i="8"/>
  <c r="Q58" i="8"/>
  <c r="Q19" i="8" s="1"/>
  <c r="Q76" i="8"/>
  <c r="Q87" i="8" s="1"/>
  <c r="AN119" i="1"/>
  <c r="AJ118" i="1"/>
  <c r="AI119" i="1"/>
  <c r="AL165" i="1"/>
  <c r="AL89" i="1"/>
  <c r="AP89" i="1" s="1"/>
  <c r="AL149" i="1"/>
  <c r="AP84" i="1"/>
  <c r="AL87" i="1"/>
  <c r="AQ149" i="1"/>
  <c r="AM165" i="1"/>
  <c r="AL175" i="1"/>
  <c r="BB115" i="1"/>
  <c r="BB112" i="1" s="1"/>
  <c r="BB97" i="1"/>
  <c r="BB98" i="1" s="1"/>
  <c r="BB111" i="1"/>
  <c r="Z34" i="4"/>
  <c r="Y34" i="4" s="1"/>
  <c r="Y38" i="4" s="1"/>
  <c r="Z33" i="4"/>
  <c r="Y33" i="4" s="1"/>
  <c r="Y37" i="4" s="1"/>
  <c r="Y39" i="4" s="1"/>
  <c r="Q121" i="1"/>
  <c r="Q188" i="1"/>
  <c r="Q189" i="1" s="1"/>
  <c r="BR97" i="1"/>
  <c r="BR98" i="1" s="1"/>
  <c r="BR115" i="1"/>
  <c r="BR112" i="1" s="1"/>
  <c r="BR111" i="1"/>
  <c r="G93" i="8"/>
  <c r="L77" i="8"/>
  <c r="G54" i="8"/>
  <c r="Z197" i="4"/>
  <c r="AA198" i="1"/>
  <c r="AL114" i="3"/>
  <c r="AL91" i="1"/>
  <c r="AP91" i="1" s="1"/>
  <c r="AL188" i="1"/>
  <c r="AL189" i="1" s="1"/>
  <c r="AJ197" i="1"/>
  <c r="AI218" i="4"/>
  <c r="O89" i="1"/>
  <c r="Q89" i="1" s="1"/>
  <c r="T149" i="1"/>
  <c r="O87" i="1"/>
  <c r="O149" i="1"/>
  <c r="O175" i="1"/>
  <c r="P165" i="1"/>
  <c r="O165" i="1"/>
  <c r="Q84" i="1"/>
  <c r="X107" i="1"/>
  <c r="X110" i="1"/>
  <c r="G53" i="8"/>
  <c r="G92" i="8"/>
  <c r="AP121" i="1"/>
  <c r="AP188" i="1"/>
  <c r="AP189" i="1" s="1"/>
  <c r="N111" i="1"/>
  <c r="N115" i="1"/>
  <c r="N112" i="1" s="1"/>
  <c r="S113" i="1" s="1"/>
  <c r="N8" i="3"/>
  <c r="N97" i="1"/>
  <c r="N98" i="1" s="1"/>
  <c r="S99" i="1" s="1"/>
  <c r="CL17" i="310"/>
  <c r="BL103" i="310"/>
  <c r="BM101" i="310"/>
  <c r="BO93" i="4"/>
  <c r="BO97" i="4" s="1"/>
  <c r="CJ103" i="4"/>
  <c r="CK104" i="4"/>
  <c r="CK107" i="4" s="1"/>
  <c r="AF86" i="3"/>
  <c r="AE220" i="4"/>
  <c r="AP62" i="3"/>
  <c r="AP87" i="3" s="1"/>
  <c r="CR76" i="2"/>
  <c r="CS76" i="2" s="1"/>
  <c r="CS99" i="3"/>
  <c r="BD221" i="4"/>
  <c r="BE94" i="3"/>
  <c r="BE195" i="1"/>
  <c r="BJ177" i="1"/>
  <c r="BE177" i="1"/>
  <c r="CD88" i="3"/>
  <c r="BY196" i="1"/>
  <c r="BY201" i="1" s="1"/>
  <c r="BY112" i="3"/>
  <c r="AO218" i="4"/>
  <c r="AP197" i="1"/>
  <c r="BX105" i="3"/>
  <c r="BY105" i="3" s="1"/>
  <c r="CB186" i="1"/>
  <c r="BX112" i="3"/>
  <c r="BX196" i="1"/>
  <c r="BX201" i="1" s="1"/>
  <c r="BZ186" i="1"/>
  <c r="CA186" i="1"/>
  <c r="AO112" i="3"/>
  <c r="AO105" i="3"/>
  <c r="AO196" i="1"/>
  <c r="AO201" i="1" s="1"/>
  <c r="AP105" i="3"/>
  <c r="BM128" i="2"/>
  <c r="BO126" i="2"/>
  <c r="BO128" i="2" s="1"/>
  <c r="BM130" i="2"/>
  <c r="BO195" i="1"/>
  <c r="BN221" i="4"/>
  <c r="BT177" i="1"/>
  <c r="BO177" i="1"/>
  <c r="BO94" i="3"/>
  <c r="AO186" i="1"/>
  <c r="CW99" i="3"/>
  <c r="CX45" i="3"/>
  <c r="AU176" i="1"/>
  <c r="AL176" i="1"/>
  <c r="BE126" i="2"/>
  <c r="BD130" i="2"/>
  <c r="CT14" i="3"/>
  <c r="CT68" i="3" s="1"/>
  <c r="CP14" i="3"/>
  <c r="AY78" i="3"/>
  <c r="AY31" i="3"/>
  <c r="AZ24" i="3"/>
  <c r="AZ31" i="3" s="1"/>
  <c r="CQ37" i="2"/>
  <c r="CQ44" i="3" s="1"/>
  <c r="CQ119" i="2"/>
  <c r="CQ79" i="1" s="1"/>
  <c r="CR117" i="2"/>
  <c r="CM19" i="2"/>
  <c r="CN19" i="2" s="1"/>
  <c r="CO132" i="2"/>
  <c r="CO136" i="2" s="1"/>
  <c r="CW39" i="3"/>
  <c r="CV93" i="3"/>
  <c r="BA24" i="3"/>
  <c r="BB27" i="3"/>
  <c r="BA81" i="3"/>
  <c r="CO64" i="3"/>
  <c r="CD43" i="2"/>
  <c r="CC200" i="4" s="1"/>
  <c r="CC51" i="2"/>
  <c r="CB200" i="4"/>
  <c r="Q52" i="2"/>
  <c r="P199" i="4"/>
  <c r="BI199" i="4"/>
  <c r="BJ52" i="2"/>
  <c r="AT47" i="3"/>
  <c r="AS101" i="3"/>
  <c r="AS103" i="3" s="1"/>
  <c r="AS49" i="3"/>
  <c r="CQ127" i="2"/>
  <c r="CP140" i="2"/>
  <c r="CP10" i="3" s="1"/>
  <c r="CS43" i="3"/>
  <c r="CR97" i="3"/>
  <c r="CS97" i="3" s="1"/>
  <c r="CT44" i="2"/>
  <c r="CR42" i="3"/>
  <c r="CR56" i="2"/>
  <c r="CS56" i="2" s="1"/>
  <c r="CS44" i="2"/>
  <c r="CQ93" i="3"/>
  <c r="CR39" i="3"/>
  <c r="AZ78" i="3"/>
  <c r="AZ85" i="3" s="1"/>
  <c r="AW220" i="4"/>
  <c r="CL14" i="3"/>
  <c r="CK68" i="3"/>
  <c r="BD199" i="4"/>
  <c r="BE52" i="2"/>
  <c r="CP32" i="2"/>
  <c r="CO30" i="2"/>
  <c r="CO25" i="3" s="1"/>
  <c r="K199" i="4"/>
  <c r="L52" i="2"/>
  <c r="AY84" i="3"/>
  <c r="AZ84" i="3" s="1"/>
  <c r="AZ86" i="3" s="1"/>
  <c r="AZ30" i="3"/>
  <c r="AK88" i="8"/>
  <c r="L54" i="8"/>
  <c r="G15" i="8"/>
  <c r="Q88" i="8"/>
  <c r="CI88" i="3"/>
  <c r="CI112" i="3"/>
  <c r="CI196" i="1"/>
  <c r="CI201" i="1" s="1"/>
  <c r="H60" i="8"/>
  <c r="H21" i="8" s="1"/>
  <c r="C16" i="8" s="1"/>
  <c r="C14" i="8" s="1"/>
  <c r="I60" i="8"/>
  <c r="I21" i="8" s="1"/>
  <c r="D16" i="8" s="1"/>
  <c r="D14" i="8" s="1"/>
  <c r="K60" i="8"/>
  <c r="K21" i="8" s="1"/>
  <c r="F16" i="8" s="1"/>
  <c r="F14" i="8" s="1"/>
  <c r="L60" i="8"/>
  <c r="L21" i="8" s="1"/>
  <c r="Z97" i="1"/>
  <c r="Z98" i="1" s="1"/>
  <c r="Z111" i="1"/>
  <c r="Z115" i="1"/>
  <c r="Z112" i="1" s="1"/>
  <c r="AZ53" i="1"/>
  <c r="AZ171" i="1"/>
  <c r="AZ54" i="1"/>
  <c r="AZ145" i="1"/>
  <c r="BE145" i="1"/>
  <c r="BE54" i="1"/>
  <c r="AC149" i="1"/>
  <c r="AC175" i="1"/>
  <c r="AC89" i="1"/>
  <c r="AF89" i="1" s="1"/>
  <c r="AC87" i="1"/>
  <c r="AD165" i="1"/>
  <c r="AC165" i="1"/>
  <c r="AH149" i="1"/>
  <c r="AF84" i="1"/>
  <c r="CD174" i="1"/>
  <c r="CD148" i="1"/>
  <c r="CD229" i="1"/>
  <c r="CD69" i="1"/>
  <c r="CD68" i="1"/>
  <c r="BZ105" i="1"/>
  <c r="BZ103" i="1"/>
  <c r="AZ141" i="1"/>
  <c r="AU33" i="1"/>
  <c r="AU98" i="2"/>
  <c r="AT215" i="4" s="1"/>
  <c r="AU141" i="1"/>
  <c r="AS41" i="1"/>
  <c r="AR194" i="4" s="1"/>
  <c r="AS67" i="1"/>
  <c r="AU38" i="1"/>
  <c r="AU41" i="1" s="1"/>
  <c r="T107" i="1"/>
  <c r="T110" i="1"/>
  <c r="CL39" i="1"/>
  <c r="P25" i="8"/>
  <c r="K16" i="8"/>
  <c r="BG72" i="1"/>
  <c r="BJ71" i="1"/>
  <c r="BO72" i="1" s="1"/>
  <c r="BL72" i="1"/>
  <c r="BJ102" i="1"/>
  <c r="BJ103" i="1" s="1"/>
  <c r="BG105" i="1"/>
  <c r="BG103" i="1"/>
  <c r="CA148" i="1"/>
  <c r="CA229" i="1"/>
  <c r="CA174" i="1"/>
  <c r="CA102" i="1"/>
  <c r="CA69" i="1"/>
  <c r="CA80" i="1"/>
  <c r="CA164" i="1"/>
  <c r="CA71" i="1"/>
  <c r="CA72" i="1" s="1"/>
  <c r="CA68" i="1"/>
  <c r="CC183" i="1"/>
  <c r="O8" i="3"/>
  <c r="O111" i="1"/>
  <c r="Q110" i="1"/>
  <c r="O115" i="1"/>
  <c r="Q115" i="1" s="1"/>
  <c r="P8" i="3"/>
  <c r="O97" i="1"/>
  <c r="X89" i="1"/>
  <c r="AA89" i="1" s="1"/>
  <c r="X165" i="1"/>
  <c r="X87" i="1"/>
  <c r="X175" i="1"/>
  <c r="X149" i="1"/>
  <c r="Y165" i="1"/>
  <c r="AA84" i="1"/>
  <c r="AZ33" i="1"/>
  <c r="BE141" i="1"/>
  <c r="AZ98" i="2"/>
  <c r="AY215" i="4" s="1"/>
  <c r="E71" i="447"/>
  <c r="E26" i="447"/>
  <c r="D33" i="447"/>
  <c r="BE121" i="1"/>
  <c r="BE188" i="1"/>
  <c r="BE189" i="1" s="1"/>
  <c r="L83" i="8"/>
  <c r="L88" i="8" s="1"/>
  <c r="BY146" i="1"/>
  <c r="BT146" i="1"/>
  <c r="BY66" i="1"/>
  <c r="BT172" i="1"/>
  <c r="G71" i="447" s="1"/>
  <c r="G26" i="447" s="1"/>
  <c r="BT66" i="1"/>
  <c r="BT99" i="2"/>
  <c r="AC91" i="1"/>
  <c r="AF91" i="1" s="1"/>
  <c r="AC188" i="1"/>
  <c r="AC189" i="1" s="1"/>
  <c r="AP105" i="1"/>
  <c r="AP107" i="1" s="1"/>
  <c r="AL110" i="1"/>
  <c r="AL107" i="1"/>
  <c r="W97" i="1"/>
  <c r="W8" i="3"/>
  <c r="W115" i="1"/>
  <c r="W112" i="1" s="1"/>
  <c r="W113" i="1" s="1"/>
  <c r="W111" i="1"/>
  <c r="AA110" i="1"/>
  <c r="AC110" i="1"/>
  <c r="AC107" i="1"/>
  <c r="BJ72" i="1"/>
  <c r="BJ68" i="1"/>
  <c r="BI195" i="4" s="1"/>
  <c r="BJ174" i="1"/>
  <c r="BJ148" i="1"/>
  <c r="BO148" i="1"/>
  <c r="BJ69" i="1"/>
  <c r="BO69" i="1"/>
  <c r="CI141" i="1"/>
  <c r="CI98" i="2"/>
  <c r="CH215" i="4" s="1"/>
  <c r="CI99" i="2"/>
  <c r="BC110" i="1"/>
  <c r="BC107" i="1"/>
  <c r="AW67" i="1"/>
  <c r="AW41" i="1"/>
  <c r="AV194" i="4" s="1"/>
  <c r="AZ38" i="1"/>
  <c r="AZ41" i="1" s="1"/>
  <c r="CG139" i="1"/>
  <c r="CG26" i="1"/>
  <c r="CG155" i="1"/>
  <c r="CG25" i="1"/>
  <c r="CF9" i="4"/>
  <c r="CG43" i="8"/>
  <c r="CG11" i="8"/>
  <c r="CG33" i="1"/>
  <c r="CG180" i="1"/>
  <c r="CG130" i="2" s="1"/>
  <c r="CG49" i="1"/>
  <c r="CL49" i="1" s="1"/>
  <c r="CQ49" i="1" s="1"/>
  <c r="CV49" i="1" s="1"/>
  <c r="CG211" i="1"/>
  <c r="CG170" i="1"/>
  <c r="CG110" i="2"/>
  <c r="CL110" i="2" s="1"/>
  <c r="CQ110" i="2" s="1"/>
  <c r="CV110" i="2" s="1"/>
  <c r="CG45" i="1"/>
  <c r="CL45" i="1" s="1"/>
  <c r="CQ45" i="1" s="1"/>
  <c r="CV45" i="1" s="1"/>
  <c r="CG95" i="2"/>
  <c r="CG109" i="2"/>
  <c r="CL109" i="2" s="1"/>
  <c r="CQ109" i="2" s="1"/>
  <c r="CV109" i="2" s="1"/>
  <c r="CG172" i="1"/>
  <c r="CG210" i="1"/>
  <c r="CH26" i="1"/>
  <c r="CG171" i="1"/>
  <c r="CG105" i="2"/>
  <c r="CL105" i="2" s="1"/>
  <c r="CQ105" i="2" s="1"/>
  <c r="CV105" i="2" s="1"/>
  <c r="CG106" i="2"/>
  <c r="CL106" i="2" s="1"/>
  <c r="CQ106" i="2" s="1"/>
  <c r="CV106" i="2" s="1"/>
  <c r="CG38" i="1"/>
  <c r="CG96" i="2"/>
  <c r="CG169" i="1"/>
  <c r="CG209" i="1"/>
  <c r="CF140" i="4"/>
  <c r="CG53" i="1"/>
  <c r="CL53" i="1" s="1"/>
  <c r="CQ53" i="1" s="1"/>
  <c r="CV53" i="1" s="1"/>
  <c r="CT39" i="1"/>
  <c r="CO39" i="1"/>
  <c r="BC175" i="1"/>
  <c r="BE84" i="1"/>
  <c r="BH149" i="1"/>
  <c r="BC87" i="1"/>
  <c r="BC165" i="1"/>
  <c r="BC89" i="1"/>
  <c r="BE89" i="1" s="1"/>
  <c r="BD165" i="1"/>
  <c r="AY181" i="1"/>
  <c r="AY113" i="2" s="1"/>
  <c r="AV172" i="1"/>
  <c r="AV98" i="2"/>
  <c r="AU215" i="4" s="1"/>
  <c r="AZ65" i="1"/>
  <c r="AZ99" i="2" s="1"/>
  <c r="AV146" i="1"/>
  <c r="AW162" i="1"/>
  <c r="AV67" i="1"/>
  <c r="AV99" i="2"/>
  <c r="BA146" i="1"/>
  <c r="BA66" i="1"/>
  <c r="AB107" i="1"/>
  <c r="AB110" i="1"/>
  <c r="BY195" i="4"/>
  <c r="BZ72" i="1"/>
  <c r="BZ82" i="1"/>
  <c r="BZ84" i="1"/>
  <c r="CM39" i="1"/>
  <c r="CG8" i="4"/>
  <c r="CG11" i="4"/>
  <c r="CG21" i="4" s="1"/>
  <c r="CG23" i="4" s="1"/>
  <c r="CG24" i="4" s="1"/>
  <c r="CH34" i="8"/>
  <c r="CH35" i="8" s="1"/>
  <c r="CH26" i="8"/>
  <c r="CH10" i="8"/>
  <c r="L15" i="8"/>
  <c r="L29" i="8" s="1"/>
  <c r="Q24" i="8"/>
  <c r="Q29" i="8"/>
  <c r="L34" i="8"/>
  <c r="L35" i="8" s="1"/>
  <c r="L24" i="8"/>
  <c r="AX41" i="1"/>
  <c r="AW194" i="4" s="1"/>
  <c r="AX67" i="1"/>
  <c r="CT67" i="3"/>
  <c r="CT77" i="2" s="1"/>
  <c r="CU13" i="3"/>
  <c r="CM98" i="2"/>
  <c r="CG215" i="4"/>
  <c r="AF59" i="8"/>
  <c r="AF20" i="8" s="1"/>
  <c r="AF16" i="8"/>
  <c r="AF30" i="8" s="1"/>
  <c r="AF83" i="8"/>
  <c r="AF88" i="8" s="1"/>
  <c r="BC188" i="1"/>
  <c r="BC189" i="1" s="1"/>
  <c r="BC91" i="1"/>
  <c r="CP95" i="2"/>
  <c r="CJ197" i="4"/>
  <c r="CK198" i="1"/>
  <c r="CH94" i="8"/>
  <c r="CH92" i="8"/>
  <c r="CH79" i="8"/>
  <c r="CH91" i="8"/>
  <c r="CH93" i="8"/>
  <c r="CM93" i="8" s="1"/>
  <c r="G67" i="1"/>
  <c r="F80" i="1"/>
  <c r="K69" i="1"/>
  <c r="F174" i="1"/>
  <c r="F164" i="1"/>
  <c r="K148" i="1"/>
  <c r="F68" i="1"/>
  <c r="H164" i="1"/>
  <c r="H182" i="1"/>
  <c r="H183" i="1"/>
  <c r="F102" i="1"/>
  <c r="BA103" i="1"/>
  <c r="BA105" i="1"/>
  <c r="BE102" i="1"/>
  <c r="BE103" i="1" s="1"/>
  <c r="BJ80" i="1"/>
  <c r="BJ82" i="1" s="1"/>
  <c r="BJ188" i="1" s="1"/>
  <c r="BJ189" i="1" s="1"/>
  <c r="BG82" i="1"/>
  <c r="BG84" i="1"/>
  <c r="AD103" i="1"/>
  <c r="AD105" i="1"/>
  <c r="CB102" i="1"/>
  <c r="CC164" i="1"/>
  <c r="CB164" i="1"/>
  <c r="CB68" i="1"/>
  <c r="CB71" i="1"/>
  <c r="CB72" i="1" s="1"/>
  <c r="CB174" i="1"/>
  <c r="CB148" i="1"/>
  <c r="CB80" i="1"/>
  <c r="CD80" i="1" s="1"/>
  <c r="CD82" i="1" s="1"/>
  <c r="CB229" i="1"/>
  <c r="CB69" i="1"/>
  <c r="CK98" i="2"/>
  <c r="CE215" i="4"/>
  <c r="AA188" i="1"/>
  <c r="AA189" i="1" s="1"/>
  <c r="AA121" i="1"/>
  <c r="CD146" i="1"/>
  <c r="CD99" i="2"/>
  <c r="CD66" i="1"/>
  <c r="CI66" i="1"/>
  <c r="CI146" i="1"/>
  <c r="CH181" i="1"/>
  <c r="CH113" i="2" s="1"/>
  <c r="CM113" i="2" s="1"/>
  <c r="CR113" i="2" s="1"/>
  <c r="CW113" i="2" s="1"/>
  <c r="CG181" i="1"/>
  <c r="CG113" i="2" s="1"/>
  <c r="CL113" i="2" s="1"/>
  <c r="CQ113" i="2" s="1"/>
  <c r="CV113" i="2" s="1"/>
  <c r="CD172" i="1"/>
  <c r="I71" i="447" s="1"/>
  <c r="CI137" i="1"/>
  <c r="CI19" i="1"/>
  <c r="CI24" i="1"/>
  <c r="CI33" i="1" s="1"/>
  <c r="CI35" i="1"/>
  <c r="CI39" i="1" s="1"/>
  <c r="CH180" i="1"/>
  <c r="CH130" i="2" s="1"/>
  <c r="AG105" i="3"/>
  <c r="AG112" i="3"/>
  <c r="AG196" i="1"/>
  <c r="AG201" i="1" s="1"/>
  <c r="AN120" i="3"/>
  <c r="AN114" i="3"/>
  <c r="AN117" i="3" s="1"/>
  <c r="CA52" i="3"/>
  <c r="BZ53" i="3"/>
  <c r="BZ55" i="3" s="1"/>
  <c r="BZ106" i="3"/>
  <c r="CH120" i="3"/>
  <c r="CL67" i="3"/>
  <c r="CL77" i="2" s="1"/>
  <c r="CM13" i="3"/>
  <c r="AY218" i="4"/>
  <c r="AZ197" i="1"/>
  <c r="AK197" i="1"/>
  <c r="AJ218" i="4"/>
  <c r="CK77" i="2"/>
  <c r="S117" i="3"/>
  <c r="CS58" i="1"/>
  <c r="CU58" i="1"/>
  <c r="CV58" i="1" s="1"/>
  <c r="CW58" i="1" s="1"/>
  <c r="AI105" i="3"/>
  <c r="AI112" i="3"/>
  <c r="AI196" i="1"/>
  <c r="AI201" i="1" s="1"/>
  <c r="I82" i="1"/>
  <c r="I188" i="1" s="1"/>
  <c r="I189" i="1" s="1"/>
  <c r="I84" i="1"/>
  <c r="L80" i="1"/>
  <c r="L82" i="1" s="1"/>
  <c r="L121" i="1" s="1"/>
  <c r="U92" i="8"/>
  <c r="U93" i="8"/>
  <c r="V43" i="8"/>
  <c r="U55" i="8"/>
  <c r="U79" i="8"/>
  <c r="U94" i="8"/>
  <c r="U91" i="8"/>
  <c r="Z79" i="8"/>
  <c r="Z60" i="8"/>
  <c r="Z21" i="8" s="1"/>
  <c r="Z84" i="8"/>
  <c r="Z31" i="8" s="1"/>
  <c r="U26" i="8"/>
  <c r="Z26" i="8"/>
  <c r="U10" i="8"/>
  <c r="U34" i="8"/>
  <c r="U35" i="8" s="1"/>
  <c r="AJ33" i="3"/>
  <c r="AJ51" i="3" s="1"/>
  <c r="AJ62" i="3"/>
  <c r="AJ87" i="3" s="1"/>
  <c r="AK8" i="3"/>
  <c r="AK33" i="3" s="1"/>
  <c r="BL92" i="1"/>
  <c r="BL93" i="1" s="1"/>
  <c r="BO91" i="1"/>
  <c r="BO92" i="1" s="1"/>
  <c r="BO93" i="1" s="1"/>
  <c r="AY69" i="1"/>
  <c r="AY148" i="1"/>
  <c r="AV164" i="1"/>
  <c r="AX182" i="1"/>
  <c r="AX183" i="1"/>
  <c r="AT68" i="1"/>
  <c r="AS195" i="4" s="1"/>
  <c r="AT102" i="1"/>
  <c r="AT148" i="1"/>
  <c r="AW183" i="1"/>
  <c r="AW182" i="1"/>
  <c r="AT69" i="1"/>
  <c r="AT164" i="1"/>
  <c r="AT174" i="1"/>
  <c r="AT80" i="1"/>
  <c r="AV182" i="1"/>
  <c r="AT182" i="1"/>
  <c r="AV183" i="1"/>
  <c r="AT183" i="1"/>
  <c r="CM57" i="1"/>
  <c r="CL56" i="1"/>
  <c r="U67" i="1"/>
  <c r="V38" i="1"/>
  <c r="V41" i="1" s="1"/>
  <c r="U194" i="4" s="1"/>
  <c r="U41" i="1"/>
  <c r="T194" i="4" s="1"/>
  <c r="CH102" i="1"/>
  <c r="CH148" i="1"/>
  <c r="CH80" i="1"/>
  <c r="CH71" i="1"/>
  <c r="CH72" i="1" s="1"/>
  <c r="CH68" i="1"/>
  <c r="CH229" i="1"/>
  <c r="CH69" i="1"/>
  <c r="CH174" i="1"/>
  <c r="H98" i="1"/>
  <c r="CF102" i="1"/>
  <c r="CF68" i="1"/>
  <c r="CF174" i="1"/>
  <c r="CF69" i="1"/>
  <c r="CF229" i="1"/>
  <c r="CF71" i="1"/>
  <c r="CF72" i="1" s="1"/>
  <c r="CF80" i="1"/>
  <c r="CF148" i="1"/>
  <c r="CF99" i="8"/>
  <c r="BS194" i="4"/>
  <c r="BT81" i="310"/>
  <c r="G67" i="447"/>
  <c r="CR95" i="2"/>
  <c r="CL197" i="4"/>
  <c r="CM198" i="1"/>
  <c r="CQ67" i="3"/>
  <c r="CQ77" i="2" s="1"/>
  <c r="CR13" i="3"/>
  <c r="AR110" i="1"/>
  <c r="AU172" i="1"/>
  <c r="AU146" i="1"/>
  <c r="AU99" i="2"/>
  <c r="AU67" i="1"/>
  <c r="AZ146" i="1"/>
  <c r="CE92" i="8"/>
  <c r="CE94" i="8"/>
  <c r="CE93" i="8"/>
  <c r="CJ93" i="8" s="1"/>
  <c r="CE91" i="8"/>
  <c r="CE79" i="8"/>
  <c r="CI43" i="8"/>
  <c r="CI10" i="1" s="1"/>
  <c r="CJ100" i="8"/>
  <c r="H113" i="1"/>
  <c r="M113" i="1"/>
  <c r="AA25" i="1"/>
  <c r="V11" i="8"/>
  <c r="V45" i="1"/>
  <c r="V25" i="1"/>
  <c r="U35" i="4"/>
  <c r="V96" i="2"/>
  <c r="V95" i="2"/>
  <c r="V33" i="1"/>
  <c r="U55" i="4"/>
  <c r="V139" i="1"/>
  <c r="V170" i="1"/>
  <c r="V49" i="1"/>
  <c r="V172" i="1"/>
  <c r="V53" i="1"/>
  <c r="V171" i="1"/>
  <c r="V169" i="1"/>
  <c r="AA139" i="1"/>
  <c r="CV91" i="1"/>
  <c r="CW82" i="1"/>
  <c r="CW91" i="1" s="1"/>
  <c r="CD11" i="4"/>
  <c r="CD21" i="4" s="1"/>
  <c r="CD23" i="4" s="1"/>
  <c r="CD24" i="4" s="1"/>
  <c r="CD8" i="4"/>
  <c r="CH9" i="4"/>
  <c r="CE26" i="8"/>
  <c r="CE10" i="8"/>
  <c r="CE34" i="8"/>
  <c r="CE35" i="8" s="1"/>
  <c r="T11" i="4"/>
  <c r="T8" i="4"/>
  <c r="U9" i="4"/>
  <c r="Y8" i="4"/>
  <c r="T33" i="4"/>
  <c r="T34" i="4"/>
  <c r="T44" i="4"/>
  <c r="Y44" i="4"/>
  <c r="BH115" i="1"/>
  <c r="BH97" i="1"/>
  <c r="BH111" i="1"/>
  <c r="AE97" i="1"/>
  <c r="AE115" i="1"/>
  <c r="AE111" i="1"/>
  <c r="Q25" i="8"/>
  <c r="L16" i="8"/>
  <c r="Q30" i="8"/>
  <c r="CF64" i="8"/>
  <c r="CE67" i="1"/>
  <c r="CF164" i="1" s="1"/>
  <c r="CE41" i="1"/>
  <c r="CD194" i="4" s="1"/>
  <c r="CI38" i="1"/>
  <c r="CI41" i="1" s="1"/>
  <c r="D106" i="3"/>
  <c r="D107" i="3" s="1"/>
  <c r="C108" i="3"/>
  <c r="Q148" i="1"/>
  <c r="L68" i="1"/>
  <c r="K195" i="4" s="1"/>
  <c r="L69" i="1"/>
  <c r="Q69" i="1"/>
  <c r="L174" i="1"/>
  <c r="L148" i="1"/>
  <c r="K226" i="4"/>
  <c r="K227" i="4" s="1"/>
  <c r="L188" i="1"/>
  <c r="L189" i="1" s="1"/>
  <c r="I105" i="1"/>
  <c r="I103" i="1"/>
  <c r="L102" i="1"/>
  <c r="L103" i="1" s="1"/>
  <c r="CE198" i="1"/>
  <c r="CD197" i="4"/>
  <c r="T197" i="4"/>
  <c r="U198" i="1"/>
  <c r="H33" i="3"/>
  <c r="H51" i="3" s="1"/>
  <c r="H62" i="3"/>
  <c r="AG63" i="4"/>
  <c r="BQ80" i="1"/>
  <c r="BQ102" i="1"/>
  <c r="BQ71" i="1"/>
  <c r="BQ68" i="1"/>
  <c r="BP195" i="4" s="1"/>
  <c r="BQ229" i="1"/>
  <c r="BQ174" i="1"/>
  <c r="BR164" i="1"/>
  <c r="BQ69" i="1"/>
  <c r="BQ183" i="1"/>
  <c r="BR182" i="1"/>
  <c r="BQ182" i="1"/>
  <c r="BQ148" i="1"/>
  <c r="BQ164" i="1"/>
  <c r="BR183" i="1"/>
  <c r="BT67" i="1"/>
  <c r="BV148" i="1"/>
  <c r="BU182" i="1"/>
  <c r="BS182" i="1"/>
  <c r="BS183" i="1"/>
  <c r="BV69" i="1"/>
  <c r="BU183" i="1"/>
  <c r="AH112" i="3"/>
  <c r="AH105" i="3"/>
  <c r="AH196" i="1"/>
  <c r="AH201" i="1" s="1"/>
  <c r="N14" i="8"/>
  <c r="N30" i="8"/>
  <c r="BR97" i="4"/>
  <c r="BJ97" i="4"/>
  <c r="BP97" i="4"/>
  <c r="CL76" i="4"/>
  <c r="CL66" i="4"/>
  <c r="CN76" i="4"/>
  <c r="CM69" i="4"/>
  <c r="CL93" i="4" s="1"/>
  <c r="BM97" i="4"/>
  <c r="BV81" i="4"/>
  <c r="CV69" i="4"/>
  <c r="CU76" i="4"/>
  <c r="CU66" i="4"/>
  <c r="BZ109" i="4"/>
  <c r="BK97" i="4"/>
  <c r="BY79" i="4"/>
  <c r="BW80" i="4"/>
  <c r="BJ87" i="4"/>
  <c r="BJ86" i="4" s="1"/>
  <c r="CA108" i="4"/>
  <c r="CA109" i="4" s="1"/>
  <c r="CB105" i="4"/>
  <c r="BL93" i="4"/>
  <c r="CN44" i="3"/>
  <c r="CM98" i="3"/>
  <c r="CN98" i="3" s="1"/>
  <c r="CM96" i="3"/>
  <c r="CN96" i="3" s="1"/>
  <c r="CN42" i="3"/>
  <c r="CS41" i="2"/>
  <c r="CT41" i="2"/>
  <c r="CM48" i="3"/>
  <c r="CL102" i="3"/>
  <c r="CM193" i="1"/>
  <c r="CN29" i="2"/>
  <c r="CM212" i="4" s="1"/>
  <c r="CO29" i="2"/>
  <c r="CL212" i="4"/>
  <c r="CK119" i="1"/>
  <c r="CP29" i="3"/>
  <c r="CO83" i="3"/>
  <c r="CL37" i="3"/>
  <c r="CK91" i="3"/>
  <c r="CK116" i="1"/>
  <c r="CK114" i="1" s="1"/>
  <c r="CQ14" i="3"/>
  <c r="CP68" i="3"/>
  <c r="CT40" i="2"/>
  <c r="CS40" i="2"/>
  <c r="CL101" i="3"/>
  <c r="CM47" i="3"/>
  <c r="CL61" i="2"/>
  <c r="CL68" i="2" s="1"/>
  <c r="CL70" i="2" s="1"/>
  <c r="CL83" i="2" s="1"/>
  <c r="CL118" i="1"/>
  <c r="CM59" i="2"/>
  <c r="CM63" i="2"/>
  <c r="CT37" i="3"/>
  <c r="CR37" i="3"/>
  <c r="CQ91" i="3"/>
  <c r="CM79" i="3"/>
  <c r="CN79" i="3" s="1"/>
  <c r="CN25" i="3"/>
  <c r="CV33" i="2"/>
  <c r="CP28" i="3"/>
  <c r="CO82" i="3"/>
  <c r="CM39" i="3"/>
  <c r="CL93" i="3"/>
  <c r="CO48" i="3"/>
  <c r="CP46" i="2"/>
  <c r="CQ46" i="2" s="1"/>
  <c r="CR46" i="2" s="1"/>
  <c r="CJ57" i="2"/>
  <c r="AU62" i="310"/>
  <c r="AI77" i="310"/>
  <c r="AI69" i="310"/>
  <c r="AJ70" i="310"/>
  <c r="AI70" i="310"/>
  <c r="AN69" i="310"/>
  <c r="BS167" i="4"/>
  <c r="BS170" i="4"/>
  <c r="BS171" i="4" s="1"/>
  <c r="BX167" i="4"/>
  <c r="BX170" i="4"/>
  <c r="BX171" i="4" s="1"/>
  <c r="CC86" i="4"/>
  <c r="CD86" i="4" s="1"/>
  <c r="CQ66" i="4"/>
  <c r="CQ76" i="4"/>
  <c r="CS76" i="4"/>
  <c r="CB67" i="4"/>
  <c r="CT143" i="4"/>
  <c r="CU143" i="4" s="1"/>
  <c r="CV143" i="4" s="1"/>
  <c r="CH70" i="4"/>
  <c r="BN170" i="4"/>
  <c r="BN167" i="4"/>
  <c r="CR169" i="4"/>
  <c r="CB94" i="4"/>
  <c r="CR143" i="4"/>
  <c r="CR69" i="4"/>
  <c r="CQ93" i="4" s="1"/>
  <c r="BT31" i="8"/>
  <c r="BT89" i="8"/>
  <c r="AU31" i="8"/>
  <c r="AT22" i="4" s="1"/>
  <c r="AT24" i="4" s="1"/>
  <c r="AU89" i="8"/>
  <c r="AJ84" i="8"/>
  <c r="AJ60" i="8"/>
  <c r="AK55" i="8"/>
  <c r="AK82" i="8"/>
  <c r="AK87" i="8" s="1"/>
  <c r="AK16" i="8"/>
  <c r="AK30" i="8" s="1"/>
  <c r="AK58" i="8"/>
  <c r="AK19" i="8" s="1"/>
  <c r="BN21" i="8"/>
  <c r="BN64" i="8"/>
  <c r="AF60" i="8"/>
  <c r="AF84" i="8"/>
  <c r="BT21" i="8"/>
  <c r="BT64" i="8"/>
  <c r="AU21" i="8"/>
  <c r="AU64" i="8"/>
  <c r="AJ30" i="8"/>
  <c r="AJ14" i="8"/>
  <c r="AK14" i="8" s="1"/>
  <c r="BN31" i="8"/>
  <c r="BN89" i="8"/>
  <c r="AE14" i="8"/>
  <c r="AF14" i="8" s="1"/>
  <c r="AE30" i="8"/>
  <c r="BO62" i="8"/>
  <c r="CA21" i="8"/>
  <c r="CA64" i="8"/>
  <c r="AE31" i="8"/>
  <c r="AD22" i="4" s="1"/>
  <c r="AD24" i="4" s="1"/>
  <c r="AE89" i="8"/>
  <c r="CA31" i="8"/>
  <c r="CA89" i="8"/>
  <c r="BO84" i="8"/>
  <c r="BO60" i="8"/>
  <c r="AE21" i="8"/>
  <c r="Z16" i="8" s="1"/>
  <c r="AE64" i="8"/>
  <c r="AK76" i="310"/>
  <c r="AK77" i="310" s="1"/>
  <c r="AJ77" i="310"/>
  <c r="BG70" i="310"/>
  <c r="BL41" i="310"/>
  <c r="BL42" i="310"/>
  <c r="BK41" i="310"/>
  <c r="BK42" i="310"/>
  <c r="BJ22" i="310"/>
  <c r="L270" i="310"/>
  <c r="AX187" i="310"/>
  <c r="AX188" i="310" s="1"/>
  <c r="AW187" i="310"/>
  <c r="AW188" i="310" s="1"/>
  <c r="AW186" i="310"/>
  <c r="AW217" i="310"/>
  <c r="AU76" i="310"/>
  <c r="AT77" i="310"/>
  <c r="BB192" i="310"/>
  <c r="BB198" i="310" s="1"/>
  <c r="BC157" i="310"/>
  <c r="BB159" i="310"/>
  <c r="BB163" i="310"/>
  <c r="AM77" i="310"/>
  <c r="AP76" i="310"/>
  <c r="AP77" i="310" s="1"/>
  <c r="AL231" i="310"/>
  <c r="AL260" i="310"/>
  <c r="AL278" i="310" s="1"/>
  <c r="AL279" i="310" s="1"/>
  <c r="AQ229" i="310"/>
  <c r="D35" i="447"/>
  <c r="D39" i="447" s="1"/>
  <c r="AF260" i="310"/>
  <c r="AF261" i="310" s="1"/>
  <c r="BL189" i="310"/>
  <c r="BL155" i="310"/>
  <c r="BM153" i="310"/>
  <c r="AS260" i="310"/>
  <c r="AS278" i="310" s="1"/>
  <c r="AS279" i="310" s="1"/>
  <c r="AX261" i="310"/>
  <c r="AK217" i="310"/>
  <c r="AK186" i="310"/>
  <c r="H64" i="447"/>
  <c r="H62" i="447"/>
  <c r="H16" i="447"/>
  <c r="H15" i="447" s="1"/>
  <c r="I15" i="447" s="1"/>
  <c r="J15" i="447" s="1"/>
  <c r="AZ199" i="310"/>
  <c r="AZ165" i="310"/>
  <c r="BB182" i="310"/>
  <c r="BA174" i="310"/>
  <c r="BA184" i="310"/>
  <c r="BA185" i="310"/>
  <c r="BA186" i="310" s="1"/>
  <c r="AD225" i="310"/>
  <c r="AC226" i="310"/>
  <c r="AC257" i="310"/>
  <c r="AH279" i="310"/>
  <c r="BT62" i="310"/>
  <c r="BT49" i="310"/>
  <c r="BT8" i="310"/>
  <c r="AE279" i="310"/>
  <c r="AF278" i="310"/>
  <c r="AF279" i="310" s="1"/>
  <c r="AB251" i="310"/>
  <c r="AB250" i="310"/>
  <c r="Q287" i="310"/>
  <c r="Q288" i="310" s="1"/>
  <c r="Q279" i="310"/>
  <c r="G287" i="310"/>
  <c r="G288" i="310" s="1"/>
  <c r="Q250" i="310"/>
  <c r="V250" i="310"/>
  <c r="AK69" i="310"/>
  <c r="BJ8" i="310"/>
  <c r="BJ62" i="310"/>
  <c r="BJ49" i="310"/>
  <c r="BO8" i="310"/>
  <c r="E13" i="447"/>
  <c r="AO261" i="310"/>
  <c r="AJ260" i="310"/>
  <c r="AJ278" i="310" s="1"/>
  <c r="AJ279" i="310" s="1"/>
  <c r="BY8" i="310"/>
  <c r="AY186" i="310"/>
  <c r="AT187" i="310"/>
  <c r="AT188" i="310" s="1"/>
  <c r="AT217" i="310"/>
  <c r="AT186" i="310"/>
  <c r="AV187" i="310"/>
  <c r="AV188" i="310" s="1"/>
  <c r="AB285" i="310"/>
  <c r="AB287" i="310"/>
  <c r="AB288" i="310" s="1"/>
  <c r="F12" i="447"/>
  <c r="F60" i="447"/>
  <c r="F58" i="447"/>
  <c r="AQ187" i="310"/>
  <c r="AQ188" i="310" s="1"/>
  <c r="AQ217" i="310"/>
  <c r="AR187" i="310"/>
  <c r="AR188" i="310" s="1"/>
  <c r="AV186" i="310"/>
  <c r="AQ186" i="310"/>
  <c r="AC242" i="310"/>
  <c r="AD241" i="310"/>
  <c r="AC263" i="310"/>
  <c r="AC281" i="310" s="1"/>
  <c r="AA279" i="310"/>
  <c r="AA287" i="310"/>
  <c r="AA288" i="310" s="1"/>
  <c r="Q77" i="310"/>
  <c r="Q69" i="310"/>
  <c r="V69" i="310"/>
  <c r="Q270" i="310"/>
  <c r="AU185" i="310"/>
  <c r="AZ186" i="310" s="1"/>
  <c r="AU184" i="310"/>
  <c r="AU214" i="310"/>
  <c r="AC246" i="310"/>
  <c r="AC266" i="310"/>
  <c r="AC284" i="310" s="1"/>
  <c r="AC285" i="310" s="1"/>
  <c r="AD245" i="310"/>
  <c r="AC249" i="310"/>
  <c r="BK110" i="310"/>
  <c r="BK132" i="310"/>
  <c r="BL108" i="310"/>
  <c r="CA261" i="310"/>
  <c r="AR229" i="310"/>
  <c r="AN231" i="310"/>
  <c r="AP229" i="310"/>
  <c r="AP230" i="310" s="1"/>
  <c r="AM260" i="310"/>
  <c r="AM231" i="310"/>
  <c r="BA267" i="310"/>
  <c r="BF267" i="310" s="1"/>
  <c r="BK267" i="310" s="1"/>
  <c r="BP267" i="310" s="1"/>
  <c r="BU267" i="310" s="1"/>
  <c r="BZ267" i="310" s="1"/>
  <c r="CE267" i="310" s="1"/>
  <c r="CJ267" i="310" s="1"/>
  <c r="CO267" i="310" s="1"/>
  <c r="CT267" i="310" s="1"/>
  <c r="AB269" i="310"/>
  <c r="AB270" i="310" s="1"/>
  <c r="AV42" i="310"/>
  <c r="AY41" i="310"/>
  <c r="AV41" i="310"/>
  <c r="AU40" i="310"/>
  <c r="AZ41" i="310" s="1"/>
  <c r="BE117" i="310"/>
  <c r="BE139" i="310"/>
  <c r="AU69" i="310"/>
  <c r="AU77" i="310"/>
  <c r="AU64" i="310"/>
  <c r="AU58" i="310"/>
  <c r="AZ32" i="310"/>
  <c r="BG147" i="310"/>
  <c r="BG148" i="310"/>
  <c r="BG145" i="310"/>
  <c r="BG116" i="310"/>
  <c r="BG143" i="310"/>
  <c r="BG117" i="310"/>
  <c r="BG146" i="310"/>
  <c r="BG139" i="310"/>
  <c r="BW133" i="310"/>
  <c r="CB133" i="310" s="1"/>
  <c r="CG133" i="310" s="1"/>
  <c r="CL133" i="310" s="1"/>
  <c r="CQ133" i="310" s="1"/>
  <c r="CV133" i="310" s="1"/>
  <c r="BH96" i="310"/>
  <c r="BI94" i="310"/>
  <c r="BJ94" i="310" s="1"/>
  <c r="BJ96" i="310" s="1"/>
  <c r="BH123" i="310"/>
  <c r="BH115" i="310"/>
  <c r="BN112" i="310"/>
  <c r="BO112" i="310" s="1"/>
  <c r="BM114" i="310"/>
  <c r="BM135" i="310"/>
  <c r="AZ217" i="310"/>
  <c r="BN100" i="310"/>
  <c r="BP98" i="310"/>
  <c r="BN126" i="310"/>
  <c r="BO126" i="310" s="1"/>
  <c r="BO127" i="310" s="1"/>
  <c r="BD160" i="310"/>
  <c r="BC162" i="310"/>
  <c r="BC195" i="310"/>
  <c r="AZ76" i="310"/>
  <c r="AZ77" i="310" s="1"/>
  <c r="AV77" i="310"/>
  <c r="BD171" i="310"/>
  <c r="BC204" i="310"/>
  <c r="BC173" i="310"/>
  <c r="CM10" i="310"/>
  <c r="CN10" i="310" s="1"/>
  <c r="CL11" i="310"/>
  <c r="BF178" i="310"/>
  <c r="BD180" i="310"/>
  <c r="BE178" i="310"/>
  <c r="AR264" i="310"/>
  <c r="BE69" i="310"/>
  <c r="BB70" i="310"/>
  <c r="AZ69" i="310"/>
  <c r="CL201" i="310"/>
  <c r="CM167" i="310"/>
  <c r="CN167" i="310" s="1"/>
  <c r="BT69" i="310"/>
  <c r="BY69" i="310"/>
  <c r="AS264" i="310"/>
  <c r="BI267" i="310"/>
  <c r="CM17" i="310"/>
  <c r="CL18" i="310"/>
  <c r="AW267" i="310"/>
  <c r="AO63" i="8"/>
  <c r="AO20" i="8"/>
  <c r="AO60" i="8"/>
  <c r="AP55" i="8"/>
  <c r="AO84" i="8"/>
  <c r="AP59" i="8"/>
  <c r="AP83" i="8"/>
  <c r="AP88" i="8" s="1"/>
  <c r="L30" i="8"/>
  <c r="G16" i="8"/>
  <c r="L25" i="8"/>
  <c r="AL186" i="1" l="1"/>
  <c r="CU14" i="3"/>
  <c r="AU101" i="3"/>
  <c r="AU103" i="3" s="1"/>
  <c r="CW93" i="4"/>
  <c r="BK90" i="310"/>
  <c r="BI92" i="310"/>
  <c r="BI120" i="310"/>
  <c r="BJ120" i="310" s="1"/>
  <c r="BJ121" i="310" s="1"/>
  <c r="AO231" i="310"/>
  <c r="AT229" i="310"/>
  <c r="BR113" i="1"/>
  <c r="BW113" i="1"/>
  <c r="Q87" i="1"/>
  <c r="P207" i="4"/>
  <c r="Q175" i="1"/>
  <c r="AL92" i="1"/>
  <c r="AL93" i="1" s="1"/>
  <c r="AO119" i="1"/>
  <c r="AK118" i="1"/>
  <c r="AJ119" i="1"/>
  <c r="L53" i="8"/>
  <c r="P185" i="1"/>
  <c r="T150" i="1"/>
  <c r="O185" i="1"/>
  <c r="O166" i="1"/>
  <c r="R185" i="1"/>
  <c r="O88" i="1"/>
  <c r="T88" i="1"/>
  <c r="P166" i="1"/>
  <c r="O150" i="1"/>
  <c r="S185" i="1"/>
  <c r="AL117" i="3"/>
  <c r="AQ118" i="3" s="1"/>
  <c r="AQ115" i="3"/>
  <c r="G55" i="8"/>
  <c r="O112" i="1"/>
  <c r="N62" i="3"/>
  <c r="N87" i="3" s="1"/>
  <c r="N33" i="3"/>
  <c r="N51" i="3" s="1"/>
  <c r="X97" i="1"/>
  <c r="X98" i="1" s="1"/>
  <c r="X99" i="1" s="1"/>
  <c r="X115" i="1"/>
  <c r="X112" i="1" s="1"/>
  <c r="X113" i="1" s="1"/>
  <c r="X111" i="1"/>
  <c r="AQ88" i="1"/>
  <c r="AM185" i="1"/>
  <c r="AO185" i="1"/>
  <c r="AL150" i="1"/>
  <c r="AL88" i="1"/>
  <c r="AL166" i="1"/>
  <c r="AM166" i="1"/>
  <c r="AN185" i="1"/>
  <c r="AQ150" i="1"/>
  <c r="AL185" i="1"/>
  <c r="CX91" i="1"/>
  <c r="AC92" i="1"/>
  <c r="AC93" i="1" s="1"/>
  <c r="AH94" i="1" s="1"/>
  <c r="BR99" i="1"/>
  <c r="BW99" i="1"/>
  <c r="AP92" i="1"/>
  <c r="AP93" i="1" s="1"/>
  <c r="AP94" i="1" s="1"/>
  <c r="AO207" i="4"/>
  <c r="AP149" i="1"/>
  <c r="AP175" i="1"/>
  <c r="AP87" i="1"/>
  <c r="CM70" i="4"/>
  <c r="CN93" i="4"/>
  <c r="CO93" i="4"/>
  <c r="CI93" i="4"/>
  <c r="CJ93" i="4"/>
  <c r="CK93" i="4"/>
  <c r="CP93" i="4"/>
  <c r="BS93" i="4"/>
  <c r="BM103" i="310"/>
  <c r="BM104" i="310"/>
  <c r="BN101" i="310"/>
  <c r="CK103" i="4"/>
  <c r="CL104" i="4"/>
  <c r="CL107" i="4" s="1"/>
  <c r="AZ176" i="1"/>
  <c r="AQ176" i="1"/>
  <c r="CW76" i="2"/>
  <c r="CX76" i="2" s="1"/>
  <c r="CX99" i="3"/>
  <c r="AO120" i="3"/>
  <c r="AO114" i="3"/>
  <c r="AO117" i="3" s="1"/>
  <c r="BX120" i="3"/>
  <c r="BX114" i="3"/>
  <c r="BY120" i="3"/>
  <c r="BY114" i="3"/>
  <c r="AP196" i="1"/>
  <c r="AP201" i="1" s="1"/>
  <c r="AP112" i="3"/>
  <c r="AL73" i="1"/>
  <c r="AL74" i="1" s="1"/>
  <c r="AM176" i="1"/>
  <c r="CP64" i="3"/>
  <c r="CP30" i="2"/>
  <c r="CP25" i="3" s="1"/>
  <c r="CQ32" i="2"/>
  <c r="AU47" i="3"/>
  <c r="AT49" i="3"/>
  <c r="AU49" i="3" s="1"/>
  <c r="BC27" i="3"/>
  <c r="BB81" i="3"/>
  <c r="BB24" i="3"/>
  <c r="CW93" i="3"/>
  <c r="CX93" i="3" s="1"/>
  <c r="CX39" i="3"/>
  <c r="AY85" i="3"/>
  <c r="AX220" i="4"/>
  <c r="CS39" i="3"/>
  <c r="CR93" i="3"/>
  <c r="CS93" i="3" s="1"/>
  <c r="CS42" i="3"/>
  <c r="CR96" i="3"/>
  <c r="CS96" i="3" s="1"/>
  <c r="BA31" i="3"/>
  <c r="BA85" i="3" s="1"/>
  <c r="BA78" i="3"/>
  <c r="BA32" i="3"/>
  <c r="CO19" i="2"/>
  <c r="CP132" i="2"/>
  <c r="CP136" i="2" s="1"/>
  <c r="CQ98" i="3"/>
  <c r="CL68" i="3"/>
  <c r="CM14" i="3"/>
  <c r="CT42" i="3"/>
  <c r="CT96" i="3" s="1"/>
  <c r="CT56" i="2"/>
  <c r="CU44" i="2"/>
  <c r="CR127" i="2"/>
  <c r="CQ140" i="2"/>
  <c r="CQ10" i="3" s="1"/>
  <c r="CD51" i="2"/>
  <c r="CD52" i="2" s="1"/>
  <c r="CC52" i="2"/>
  <c r="CO197" i="1"/>
  <c r="CN218" i="4"/>
  <c r="AY220" i="4"/>
  <c r="AZ32" i="3"/>
  <c r="CO79" i="3"/>
  <c r="CT117" i="2"/>
  <c r="CR119" i="2"/>
  <c r="CR79" i="1" s="1"/>
  <c r="CS79" i="1" s="1"/>
  <c r="CR37" i="2"/>
  <c r="CS37" i="2" s="1"/>
  <c r="AJ186" i="1"/>
  <c r="AK62" i="3"/>
  <c r="AK87" i="3" s="1"/>
  <c r="AK112" i="3" s="1"/>
  <c r="CI120" i="3"/>
  <c r="I33" i="447"/>
  <c r="CD114" i="3"/>
  <c r="CD121" i="1"/>
  <c r="CD188" i="1"/>
  <c r="CD189" i="1" s="1"/>
  <c r="BC92" i="1"/>
  <c r="BC93" i="1" s="1"/>
  <c r="BE91" i="1"/>
  <c r="BE92" i="1" s="1"/>
  <c r="BE93" i="1" s="1"/>
  <c r="CR98" i="2"/>
  <c r="CL215" i="4"/>
  <c r="BZ175" i="1"/>
  <c r="BZ87" i="1"/>
  <c r="BZ149" i="1"/>
  <c r="BZ165" i="1"/>
  <c r="BZ89" i="1"/>
  <c r="CD71" i="1"/>
  <c r="CD72" i="1" s="1"/>
  <c r="AV188" i="1"/>
  <c r="AV189" i="1" s="1"/>
  <c r="AV174" i="1"/>
  <c r="AY182" i="1"/>
  <c r="BA148" i="1"/>
  <c r="BA69" i="1"/>
  <c r="AY183" i="1"/>
  <c r="AV69" i="1"/>
  <c r="AZ67" i="1"/>
  <c r="AV102" i="1"/>
  <c r="AV80" i="1"/>
  <c r="AV68" i="1"/>
  <c r="AU195" i="4" s="1"/>
  <c r="AV148" i="1"/>
  <c r="BE87" i="1"/>
  <c r="BE175" i="1"/>
  <c r="BD207" i="4"/>
  <c r="CF8" i="4"/>
  <c r="CF11" i="4"/>
  <c r="CF21" i="4" s="1"/>
  <c r="CF23" i="4" s="1"/>
  <c r="CF24" i="4" s="1"/>
  <c r="AC111" i="1"/>
  <c r="AC115" i="1"/>
  <c r="AC97" i="1"/>
  <c r="AC98" i="1" s="1"/>
  <c r="AC112" i="1"/>
  <c r="W33" i="3"/>
  <c r="W51" i="3" s="1"/>
  <c r="W53" i="3" s="1"/>
  <c r="W62" i="3"/>
  <c r="X8" i="3"/>
  <c r="AL111" i="1"/>
  <c r="AL115" i="1"/>
  <c r="AL112" i="1" s="1"/>
  <c r="AP110" i="1"/>
  <c r="AL97" i="1"/>
  <c r="AS102" i="1"/>
  <c r="AS174" i="1"/>
  <c r="AS148" i="1"/>
  <c r="AS80" i="1"/>
  <c r="AS68" i="1"/>
  <c r="AR195" i="4" s="1"/>
  <c r="AS69" i="1"/>
  <c r="AS183" i="1"/>
  <c r="AS164" i="1"/>
  <c r="AS182" i="1"/>
  <c r="CH84" i="1"/>
  <c r="CH82" i="1"/>
  <c r="CB105" i="1"/>
  <c r="CB103" i="1"/>
  <c r="BG87" i="1"/>
  <c r="BG149" i="1"/>
  <c r="BG175" i="1"/>
  <c r="BJ84" i="1"/>
  <c r="BG89" i="1"/>
  <c r="BJ89" i="1" s="1"/>
  <c r="BG165" i="1"/>
  <c r="BL149" i="1"/>
  <c r="BH165" i="1"/>
  <c r="BA107" i="1"/>
  <c r="BA110" i="1"/>
  <c r="BE105" i="1"/>
  <c r="BE107" i="1" s="1"/>
  <c r="F84" i="1"/>
  <c r="G80" i="1"/>
  <c r="G82" i="1" s="1"/>
  <c r="G188" i="1" s="1"/>
  <c r="G189" i="1" s="1"/>
  <c r="F82" i="1"/>
  <c r="F188" i="1" s="1"/>
  <c r="F189" i="1" s="1"/>
  <c r="CH64" i="8"/>
  <c r="CH89" i="8"/>
  <c r="CV13" i="3"/>
  <c r="CU67" i="3"/>
  <c r="CU77" i="2" s="1"/>
  <c r="BC69" i="1"/>
  <c r="AX69" i="1"/>
  <c r="AX174" i="1"/>
  <c r="AY164" i="1"/>
  <c r="AX68" i="1"/>
  <c r="AW195" i="4" s="1"/>
  <c r="AX80" i="1"/>
  <c r="BC148" i="1"/>
  <c r="AX148" i="1"/>
  <c r="BB183" i="1"/>
  <c r="BB182" i="1"/>
  <c r="AX164" i="1"/>
  <c r="CH16" i="8"/>
  <c r="CH25" i="8"/>
  <c r="CG67" i="1"/>
  <c r="CG41" i="1"/>
  <c r="CF194" i="4" s="1"/>
  <c r="CL95" i="2"/>
  <c r="CG198" i="1"/>
  <c r="CF197" i="4"/>
  <c r="AZ81" i="310"/>
  <c r="C22" i="447"/>
  <c r="C21" i="447" s="1"/>
  <c r="AY194" i="4"/>
  <c r="BC97" i="1"/>
  <c r="BC98" i="1" s="1"/>
  <c r="BC99" i="1" s="1"/>
  <c r="BC115" i="1"/>
  <c r="BC112" i="1" s="1"/>
  <c r="BC113" i="1" s="1"/>
  <c r="BC111" i="1"/>
  <c r="AA111" i="1"/>
  <c r="W98" i="1"/>
  <c r="W99" i="1" s="1"/>
  <c r="AA97" i="1"/>
  <c r="AA98" i="1" s="1"/>
  <c r="O113" i="1"/>
  <c r="Q111" i="1"/>
  <c r="Q112" i="1"/>
  <c r="CA84" i="1"/>
  <c r="CA82" i="1"/>
  <c r="BG110" i="1"/>
  <c r="BG107" i="1"/>
  <c r="BJ105" i="1"/>
  <c r="BJ107" i="1" s="1"/>
  <c r="T111" i="1"/>
  <c r="T112" i="1"/>
  <c r="Y113" i="1" s="1"/>
  <c r="T97" i="1"/>
  <c r="T98" i="1" s="1"/>
  <c r="Y99" i="1" s="1"/>
  <c r="T8" i="3"/>
  <c r="T115" i="1"/>
  <c r="BZ110" i="1"/>
  <c r="BZ107" i="1"/>
  <c r="G14" i="8"/>
  <c r="I26" i="447"/>
  <c r="I72" i="447"/>
  <c r="I70" i="447"/>
  <c r="CP98" i="2"/>
  <c r="CJ215" i="4"/>
  <c r="CB82" i="1"/>
  <c r="CB84" i="1"/>
  <c r="CA195" i="4"/>
  <c r="BG91" i="1"/>
  <c r="BJ91" i="1" s="1"/>
  <c r="BG188" i="1"/>
  <c r="BG189" i="1" s="1"/>
  <c r="G68" i="1"/>
  <c r="G174" i="1"/>
  <c r="CJ92" i="8"/>
  <c r="CK92" i="8" s="1"/>
  <c r="CM99" i="8"/>
  <c r="CU95" i="2"/>
  <c r="CO197" i="4"/>
  <c r="CP198" i="1"/>
  <c r="BZ91" i="1"/>
  <c r="BZ114" i="3"/>
  <c r="BZ188" i="1"/>
  <c r="BZ189" i="1" s="1"/>
  <c r="BC166" i="1"/>
  <c r="BD166" i="1"/>
  <c r="BD185" i="1"/>
  <c r="BH88" i="1"/>
  <c r="BH150" i="1"/>
  <c r="BF185" i="1"/>
  <c r="BC185" i="1"/>
  <c r="CG26" i="8"/>
  <c r="CG34" i="8"/>
  <c r="CG35" i="8" s="1"/>
  <c r="CG10" i="8"/>
  <c r="Z207" i="4"/>
  <c r="AA87" i="1"/>
  <c r="AA175" i="1"/>
  <c r="X166" i="1"/>
  <c r="X88" i="1"/>
  <c r="Y166" i="1"/>
  <c r="X150" i="1"/>
  <c r="Z185" i="1"/>
  <c r="AB185" i="1"/>
  <c r="O98" i="1"/>
  <c r="Q97" i="1"/>
  <c r="Q98" i="1" s="1"/>
  <c r="BZ195" i="4"/>
  <c r="K14" i="8"/>
  <c r="L14" i="8" s="1"/>
  <c r="K30" i="8"/>
  <c r="CV39" i="1"/>
  <c r="CQ39" i="1"/>
  <c r="CC195" i="4"/>
  <c r="AF87" i="1"/>
  <c r="AF92" i="1"/>
  <c r="AF93" i="1" s="1"/>
  <c r="AK94" i="1" s="1"/>
  <c r="AE207" i="4"/>
  <c r="AF175" i="1"/>
  <c r="AF149" i="1"/>
  <c r="AK149" i="1"/>
  <c r="Y22" i="4"/>
  <c r="CI25" i="1"/>
  <c r="CI49" i="1"/>
  <c r="CI172" i="1"/>
  <c r="J71" i="447" s="1"/>
  <c r="CI171" i="1"/>
  <c r="CI170" i="1"/>
  <c r="CH122" i="4"/>
  <c r="CH123" i="4" s="1"/>
  <c r="CI95" i="2"/>
  <c r="CI139" i="1"/>
  <c r="CI53" i="1"/>
  <c r="CI96" i="2"/>
  <c r="CI169" i="1"/>
  <c r="CI45" i="1"/>
  <c r="CH142" i="4"/>
  <c r="AD110" i="1"/>
  <c r="AD107" i="1"/>
  <c r="AF105" i="1"/>
  <c r="AF107" i="1" s="1"/>
  <c r="BJ121" i="1"/>
  <c r="E33" i="447"/>
  <c r="F105" i="1"/>
  <c r="F103" i="1"/>
  <c r="G102" i="1"/>
  <c r="G103" i="1" s="1"/>
  <c r="CW39" i="1"/>
  <c r="CR39" i="1"/>
  <c r="AB111" i="1"/>
  <c r="AB8" i="3"/>
  <c r="AB97" i="1"/>
  <c r="AB98" i="1" s="1"/>
  <c r="AB115" i="1"/>
  <c r="AB112" i="1" s="1"/>
  <c r="C25" i="447"/>
  <c r="AZ172" i="1"/>
  <c r="BE66" i="1"/>
  <c r="BE146" i="1"/>
  <c r="CG94" i="8"/>
  <c r="CG91" i="8"/>
  <c r="CG93" i="8"/>
  <c r="CL93" i="8" s="1"/>
  <c r="CG92" i="8"/>
  <c r="CG79" i="8"/>
  <c r="CL100" i="8"/>
  <c r="AW68" i="1"/>
  <c r="AV195" i="4" s="1"/>
  <c r="BB69" i="1"/>
  <c r="AW188" i="1"/>
  <c r="AW189" i="1" s="1"/>
  <c r="AW174" i="1"/>
  <c r="BB148" i="1"/>
  <c r="AW102" i="1"/>
  <c r="AW80" i="1"/>
  <c r="AW148" i="1"/>
  <c r="BA183" i="1"/>
  <c r="BA182" i="1"/>
  <c r="AW164" i="1"/>
  <c r="AW69" i="1"/>
  <c r="P62" i="3"/>
  <c r="P87" i="3" s="1"/>
  <c r="P33" i="3"/>
  <c r="Q8" i="3"/>
  <c r="O62" i="3"/>
  <c r="O33" i="3"/>
  <c r="O51" i="3" s="1"/>
  <c r="CA103" i="1"/>
  <c r="CA105" i="1"/>
  <c r="AU81" i="310"/>
  <c r="AT194" i="4"/>
  <c r="CD102" i="1"/>
  <c r="CD103" i="1" s="1"/>
  <c r="AD166" i="1"/>
  <c r="AH150" i="1"/>
  <c r="AE185" i="1"/>
  <c r="AC166" i="1"/>
  <c r="AC150" i="1"/>
  <c r="AC88" i="1"/>
  <c r="AH88" i="1"/>
  <c r="AC185" i="1"/>
  <c r="AD185" i="1"/>
  <c r="AG185" i="1"/>
  <c r="CB52" i="3"/>
  <c r="CA53" i="3"/>
  <c r="CA55" i="3" s="1"/>
  <c r="CK79" i="2"/>
  <c r="CM67" i="3"/>
  <c r="CN13" i="3"/>
  <c r="CD106" i="3"/>
  <c r="CD107" i="3" s="1"/>
  <c r="BZ107" i="3"/>
  <c r="CA106" i="3" s="1"/>
  <c r="CA107" i="3" s="1"/>
  <c r="CB106" i="3" s="1"/>
  <c r="CB107" i="3" s="1"/>
  <c r="CC106" i="3" s="1"/>
  <c r="CC107" i="3" s="1"/>
  <c r="AG114" i="3"/>
  <c r="AG120" i="3"/>
  <c r="CX58" i="1"/>
  <c r="AH120" i="3"/>
  <c r="AH114" i="3"/>
  <c r="BT174" i="1"/>
  <c r="BT148" i="1"/>
  <c r="BT69" i="1"/>
  <c r="BT229" i="1"/>
  <c r="BY148" i="1"/>
  <c r="BT68" i="1"/>
  <c r="BS195" i="4" s="1"/>
  <c r="BY69" i="1"/>
  <c r="I110" i="1"/>
  <c r="I107" i="1"/>
  <c r="L105" i="1"/>
  <c r="L107" i="1" s="1"/>
  <c r="CI81" i="310"/>
  <c r="CH194" i="4"/>
  <c r="J67" i="447"/>
  <c r="AE112" i="1"/>
  <c r="U11" i="4"/>
  <c r="U8" i="4"/>
  <c r="Z8" i="4"/>
  <c r="AA26" i="8"/>
  <c r="V26" i="8"/>
  <c r="U22" i="4" s="1"/>
  <c r="V34" i="8"/>
  <c r="V35" i="8" s="1"/>
  <c r="CE64" i="8"/>
  <c r="CE89" i="8"/>
  <c r="CJ99" i="8"/>
  <c r="AR111" i="1"/>
  <c r="AR97" i="1"/>
  <c r="AR112" i="1"/>
  <c r="AR8" i="3"/>
  <c r="G22" i="447"/>
  <c r="G68" i="447"/>
  <c r="G66" i="447"/>
  <c r="CE195" i="4"/>
  <c r="H99" i="1"/>
  <c r="M99" i="1"/>
  <c r="CM56" i="1"/>
  <c r="CN56" i="1" s="1"/>
  <c r="CO57" i="1"/>
  <c r="CN57" i="1"/>
  <c r="AJ196" i="1"/>
  <c r="AJ201" i="1" s="1"/>
  <c r="AN186" i="1"/>
  <c r="AJ112" i="3"/>
  <c r="AJ105" i="3"/>
  <c r="V10" i="8"/>
  <c r="U10" i="1"/>
  <c r="U16" i="8"/>
  <c r="U25" i="8"/>
  <c r="Z25" i="8"/>
  <c r="AI114" i="3"/>
  <c r="AI120" i="3"/>
  <c r="BQ72" i="1"/>
  <c r="BV72" i="1"/>
  <c r="BT71" i="1"/>
  <c r="H87" i="3"/>
  <c r="BH98" i="1"/>
  <c r="U34" i="4"/>
  <c r="T43" i="4"/>
  <c r="Y43" i="4"/>
  <c r="CH11" i="4"/>
  <c r="CH21" i="4" s="1"/>
  <c r="CH23" i="4" s="1"/>
  <c r="CH24" i="4" s="1"/>
  <c r="CH8" i="4"/>
  <c r="Z44" i="4"/>
  <c r="U44" i="4"/>
  <c r="CF105" i="1"/>
  <c r="CF103" i="1"/>
  <c r="AK51" i="3"/>
  <c r="Z64" i="8"/>
  <c r="Z89" i="8"/>
  <c r="U84" i="8"/>
  <c r="U31" i="8" s="1"/>
  <c r="T22" i="4" s="1"/>
  <c r="U60" i="8"/>
  <c r="U21" i="8" s="1"/>
  <c r="P16" i="8" s="1"/>
  <c r="AM186" i="1"/>
  <c r="BQ103" i="1"/>
  <c r="BQ105" i="1"/>
  <c r="BT102" i="1"/>
  <c r="BT103" i="1" s="1"/>
  <c r="K228" i="4"/>
  <c r="K233" i="4" s="1"/>
  <c r="K234" i="4" s="1"/>
  <c r="K229" i="4"/>
  <c r="CE102" i="1"/>
  <c r="CE182" i="1"/>
  <c r="CE174" i="1"/>
  <c r="CE68" i="1"/>
  <c r="CE183" i="1"/>
  <c r="CE69" i="1"/>
  <c r="CE164" i="1"/>
  <c r="CE229" i="1"/>
  <c r="CF182" i="1"/>
  <c r="CF183" i="1"/>
  <c r="CE80" i="1"/>
  <c r="CE148" i="1"/>
  <c r="CI67" i="1"/>
  <c r="CE71" i="1"/>
  <c r="AE98" i="1"/>
  <c r="BH112" i="1"/>
  <c r="T42" i="4"/>
  <c r="Y42" i="4"/>
  <c r="U33" i="4"/>
  <c r="T21" i="4"/>
  <c r="T23" i="4" s="1"/>
  <c r="Y23" i="4"/>
  <c r="Y24" i="4" s="1"/>
  <c r="CH105" i="1"/>
  <c r="CH103" i="1"/>
  <c r="U102" i="1"/>
  <c r="W183" i="1"/>
  <c r="W164" i="1"/>
  <c r="Y182" i="1"/>
  <c r="X182" i="1"/>
  <c r="Y183" i="1"/>
  <c r="U183" i="1"/>
  <c r="U164" i="1"/>
  <c r="X183" i="1"/>
  <c r="U182" i="1"/>
  <c r="U148" i="1"/>
  <c r="V67" i="1"/>
  <c r="U68" i="1"/>
  <c r="T195" i="4" s="1"/>
  <c r="U174" i="1"/>
  <c r="U69" i="1"/>
  <c r="W182" i="1"/>
  <c r="U80" i="1"/>
  <c r="Z148" i="1"/>
  <c r="Z69" i="1"/>
  <c r="AT103" i="1"/>
  <c r="AT105" i="1"/>
  <c r="AU102" i="1"/>
  <c r="AU103" i="1" s="1"/>
  <c r="V93" i="8"/>
  <c r="AA84" i="8"/>
  <c r="AA31" i="8" s="1"/>
  <c r="V79" i="8"/>
  <c r="V91" i="8"/>
  <c r="AA60" i="8"/>
  <c r="AA21" i="8" s="1"/>
  <c r="V92" i="8"/>
  <c r="V94" i="8"/>
  <c r="AA79" i="8"/>
  <c r="I87" i="1"/>
  <c r="N149" i="1"/>
  <c r="I89" i="1"/>
  <c r="L89" i="1" s="1"/>
  <c r="I175" i="1"/>
  <c r="I165" i="1"/>
  <c r="I149" i="1"/>
  <c r="J165" i="1"/>
  <c r="L84" i="1"/>
  <c r="BQ82" i="1"/>
  <c r="BQ84" i="1"/>
  <c r="BT80" i="1"/>
  <c r="BT82" i="1" s="1"/>
  <c r="D108" i="3"/>
  <c r="E106" i="3"/>
  <c r="E107" i="3" s="1"/>
  <c r="CE16" i="8"/>
  <c r="CE25" i="8"/>
  <c r="V198" i="1"/>
  <c r="U197" i="4"/>
  <c r="AU80" i="1"/>
  <c r="AU174" i="1"/>
  <c r="AU69" i="1"/>
  <c r="AZ69" i="1"/>
  <c r="AU68" i="1"/>
  <c r="AT195" i="4" s="1"/>
  <c r="AU148" i="1"/>
  <c r="AZ148" i="1"/>
  <c r="CR67" i="3"/>
  <c r="CS13" i="3"/>
  <c r="CW95" i="2"/>
  <c r="CQ197" i="4"/>
  <c r="CR198" i="1"/>
  <c r="CF84" i="1"/>
  <c r="CF82" i="1"/>
  <c r="CG195" i="4"/>
  <c r="CH149" i="1"/>
  <c r="CH175" i="1"/>
  <c r="CH89" i="1"/>
  <c r="CH87" i="1"/>
  <c r="AT84" i="1"/>
  <c r="AT82" i="1"/>
  <c r="BY80" i="4"/>
  <c r="BZ79" i="4"/>
  <c r="BW81" i="4"/>
  <c r="CM63" i="4"/>
  <c r="CD105" i="4"/>
  <c r="CB108" i="4"/>
  <c r="BL97" i="4"/>
  <c r="BN97" i="4" s="1"/>
  <c r="BS97" i="4"/>
  <c r="BJ98" i="4"/>
  <c r="CV66" i="4"/>
  <c r="CV76" i="4"/>
  <c r="CW69" i="4"/>
  <c r="CC105" i="4"/>
  <c r="BN93" i="4"/>
  <c r="CT46" i="2"/>
  <c r="CS46" i="2"/>
  <c r="CM118" i="1"/>
  <c r="CM116" i="1" s="1"/>
  <c r="CM114" i="1" s="1"/>
  <c r="CO59" i="2"/>
  <c r="CN63" i="2"/>
  <c r="CO63" i="2" s="1"/>
  <c r="CM61" i="2"/>
  <c r="CS59" i="2"/>
  <c r="CV14" i="3"/>
  <c r="CU68" i="3"/>
  <c r="CO47" i="3"/>
  <c r="CP29" i="2"/>
  <c r="CO193" i="1"/>
  <c r="CN212" i="4"/>
  <c r="CO102" i="3"/>
  <c r="CP48" i="3"/>
  <c r="CP82" i="3"/>
  <c r="CQ28" i="3"/>
  <c r="CU40" i="2"/>
  <c r="CV40" i="2" s="1"/>
  <c r="CW40" i="2" s="1"/>
  <c r="CX40" i="2" s="1"/>
  <c r="CT28" i="3"/>
  <c r="CR14" i="3"/>
  <c r="CQ68" i="3"/>
  <c r="CM102" i="3"/>
  <c r="CN102" i="3" s="1"/>
  <c r="CN48" i="3"/>
  <c r="CU41" i="2"/>
  <c r="CV41" i="2" s="1"/>
  <c r="CW41" i="2" s="1"/>
  <c r="CX41" i="2" s="1"/>
  <c r="CT29" i="3"/>
  <c r="CU37" i="3"/>
  <c r="CT91" i="3"/>
  <c r="CL119" i="1"/>
  <c r="CM101" i="3"/>
  <c r="CN101" i="3" s="1"/>
  <c r="CN47" i="3"/>
  <c r="CQ29" i="3"/>
  <c r="CP83" i="3"/>
  <c r="CL116" i="1"/>
  <c r="CM93" i="3"/>
  <c r="CN93" i="3" s="1"/>
  <c r="CN39" i="3"/>
  <c r="CW33" i="2"/>
  <c r="CS37" i="3"/>
  <c r="CR91" i="3"/>
  <c r="CS91" i="3" s="1"/>
  <c r="CL91" i="3"/>
  <c r="CM37" i="3"/>
  <c r="BN174" i="4"/>
  <c r="BN171" i="4"/>
  <c r="CD67" i="4"/>
  <c r="CC67" i="4"/>
  <c r="CE86" i="4"/>
  <c r="CF86" i="4" s="1"/>
  <c r="CG86" i="4" s="1"/>
  <c r="CW143" i="4"/>
  <c r="CR70" i="4"/>
  <c r="CW70" i="4"/>
  <c r="CD94" i="4"/>
  <c r="CR173" i="4"/>
  <c r="Z14" i="8"/>
  <c r="AA14" i="8" s="1"/>
  <c r="Z30" i="8"/>
  <c r="AK84" i="8"/>
  <c r="AK60" i="8"/>
  <c r="BO21" i="8"/>
  <c r="BO64" i="8"/>
  <c r="AF31" i="8"/>
  <c r="AE22" i="4" s="1"/>
  <c r="AE24" i="4" s="1"/>
  <c r="AF89" i="8"/>
  <c r="AJ64" i="8"/>
  <c r="AJ21" i="8"/>
  <c r="BO31" i="8"/>
  <c r="BO89" i="8"/>
  <c r="AF21" i="8"/>
  <c r="AF64" i="8"/>
  <c r="AJ89" i="8"/>
  <c r="AJ31" i="8"/>
  <c r="AI22" i="4" s="1"/>
  <c r="AI24" i="4" s="1"/>
  <c r="BB199" i="310"/>
  <c r="AK260" i="310"/>
  <c r="AK261" i="310" s="1"/>
  <c r="AC275" i="310"/>
  <c r="AQ260" i="310"/>
  <c r="AQ278" i="310" s="1"/>
  <c r="AQ279" i="310" s="1"/>
  <c r="AQ231" i="310"/>
  <c r="AV229" i="310"/>
  <c r="BC163" i="310"/>
  <c r="BC159" i="310"/>
  <c r="BD157" i="310"/>
  <c r="BE157" i="310" s="1"/>
  <c r="BE159" i="310" s="1"/>
  <c r="BC192" i="310"/>
  <c r="BC198" i="310"/>
  <c r="BC199" i="310" s="1"/>
  <c r="BA207" i="310"/>
  <c r="BA213" i="310" s="1"/>
  <c r="BA175" i="310"/>
  <c r="BA176" i="310"/>
  <c r="BN153" i="310"/>
  <c r="BO153" i="310" s="1"/>
  <c r="BO155" i="310" s="1"/>
  <c r="BM189" i="310"/>
  <c r="BM155" i="310"/>
  <c r="AE225" i="310"/>
  <c r="AD257" i="310"/>
  <c r="AD275" i="310" s="1"/>
  <c r="AD276" i="310" s="1"/>
  <c r="AD226" i="310"/>
  <c r="AF225" i="310"/>
  <c r="AF226" i="310" s="1"/>
  <c r="BC182" i="310"/>
  <c r="BC185" i="310" s="1"/>
  <c r="BC186" i="310" s="1"/>
  <c r="BB184" i="310"/>
  <c r="BB174" i="310"/>
  <c r="BB185" i="310"/>
  <c r="BB186" i="310" s="1"/>
  <c r="BB164" i="310"/>
  <c r="BB165" i="310"/>
  <c r="BC261" i="310"/>
  <c r="AX260" i="310"/>
  <c r="AX278" i="310" s="1"/>
  <c r="AX279" i="310" s="1"/>
  <c r="AC250" i="310"/>
  <c r="AC251" i="310"/>
  <c r="AC282" i="310"/>
  <c r="AS231" i="310"/>
  <c r="AW229" i="310"/>
  <c r="AR260" i="310"/>
  <c r="AR231" i="310"/>
  <c r="AU229" i="310"/>
  <c r="AU230" i="310" s="1"/>
  <c r="BM108" i="310"/>
  <c r="BL110" i="310"/>
  <c r="BL132" i="310"/>
  <c r="AE245" i="310"/>
  <c r="AD249" i="310"/>
  <c r="AD266" i="310"/>
  <c r="AD246" i="310"/>
  <c r="AF245" i="310"/>
  <c r="AF246" i="310" s="1"/>
  <c r="E18" i="447"/>
  <c r="E14" i="447"/>
  <c r="E11" i="447"/>
  <c r="E12" i="447" s="1"/>
  <c r="AM278" i="310"/>
  <c r="AC269" i="310"/>
  <c r="AC270" i="310" s="1"/>
  <c r="F11" i="447"/>
  <c r="AU217" i="310"/>
  <c r="AU186" i="310"/>
  <c r="AT261" i="310"/>
  <c r="AO260" i="310"/>
  <c r="AO278" i="310" s="1"/>
  <c r="AO279" i="310" s="1"/>
  <c r="AE241" i="310"/>
  <c r="AD242" i="310"/>
  <c r="AD263" i="310"/>
  <c r="AD281" i="310" s="1"/>
  <c r="AD282" i="310" s="1"/>
  <c r="CF261" i="310"/>
  <c r="AK278" i="310"/>
  <c r="AK279" i="310" s="1"/>
  <c r="BI96" i="310"/>
  <c r="BK94" i="310"/>
  <c r="BI123" i="310"/>
  <c r="BI138" i="310" s="1"/>
  <c r="BI115" i="310"/>
  <c r="BI144" i="310" s="1"/>
  <c r="BH148" i="310"/>
  <c r="BH146" i="310"/>
  <c r="BH147" i="310"/>
  <c r="BH145" i="310"/>
  <c r="BH116" i="310"/>
  <c r="BH117" i="310"/>
  <c r="BH144" i="310"/>
  <c r="BH143" i="310"/>
  <c r="BH138" i="310"/>
  <c r="BJ123" i="310"/>
  <c r="BJ124" i="310" s="1"/>
  <c r="BO114" i="310"/>
  <c r="BF160" i="310"/>
  <c r="BD162" i="310"/>
  <c r="BD195" i="310"/>
  <c r="BE195" i="310" s="1"/>
  <c r="BE160" i="310"/>
  <c r="BE162" i="310" s="1"/>
  <c r="BP100" i="310"/>
  <c r="BP126" i="310"/>
  <c r="BQ98" i="310"/>
  <c r="BF171" i="310"/>
  <c r="BD204" i="310"/>
  <c r="BE204" i="310" s="1"/>
  <c r="BD173" i="310"/>
  <c r="BE171" i="310"/>
  <c r="BN114" i="310"/>
  <c r="BN135" i="310"/>
  <c r="BO135" i="310" s="1"/>
  <c r="BO136" i="310" s="1"/>
  <c r="BP112" i="310"/>
  <c r="CO17" i="310"/>
  <c r="CM18" i="310"/>
  <c r="CN17" i="310"/>
  <c r="CN11" i="310"/>
  <c r="K55" i="447" s="1"/>
  <c r="AX264" i="310"/>
  <c r="BE180" i="310"/>
  <c r="BB267" i="310"/>
  <c r="BN267" i="310"/>
  <c r="CM201" i="310"/>
  <c r="CN201" i="310" s="1"/>
  <c r="CO167" i="310"/>
  <c r="AW264" i="310"/>
  <c r="BG178" i="310"/>
  <c r="BF180" i="310"/>
  <c r="CO10" i="310"/>
  <c r="CM11" i="310"/>
  <c r="AP20" i="8"/>
  <c r="AP63" i="8"/>
  <c r="AO31" i="8"/>
  <c r="AN22" i="4" s="1"/>
  <c r="AN24" i="4" s="1"/>
  <c r="AO89" i="8"/>
  <c r="AP60" i="8"/>
  <c r="AP84" i="8"/>
  <c r="AO21" i="8"/>
  <c r="AO64" i="8"/>
  <c r="AA115" i="1" l="1"/>
  <c r="AA112" i="1" s="1"/>
  <c r="CR44" i="3"/>
  <c r="BY92" i="4"/>
  <c r="BZ92" i="4"/>
  <c r="CA92" i="4"/>
  <c r="CB92" i="4"/>
  <c r="BL90" i="310"/>
  <c r="BK92" i="310"/>
  <c r="BK120" i="310"/>
  <c r="AT231" i="310"/>
  <c r="AY229" i="310"/>
  <c r="AK119" i="1"/>
  <c r="AP119" i="1"/>
  <c r="N112" i="3"/>
  <c r="N105" i="3"/>
  <c r="N196" i="1"/>
  <c r="N201" i="1" s="1"/>
  <c r="L82" i="8"/>
  <c r="L87" i="8" s="1"/>
  <c r="L55" i="8"/>
  <c r="L84" i="8" s="1"/>
  <c r="AL94" i="1"/>
  <c r="AQ94" i="1"/>
  <c r="AP88" i="1"/>
  <c r="AP150" i="1"/>
  <c r="CS93" i="4"/>
  <c r="CT93" i="4"/>
  <c r="CU93" i="4"/>
  <c r="CV93" i="4"/>
  <c r="BO101" i="310"/>
  <c r="BO103" i="310" s="1"/>
  <c r="BP101" i="310"/>
  <c r="BN103" i="310"/>
  <c r="BN104" i="310"/>
  <c r="BM106" i="310"/>
  <c r="BM129" i="310"/>
  <c r="CL103" i="4"/>
  <c r="CN104" i="4"/>
  <c r="CN107" i="4" s="1"/>
  <c r="CM104" i="4"/>
  <c r="CM106" i="4" s="1"/>
  <c r="AR176" i="1"/>
  <c r="AQ73" i="1"/>
  <c r="AQ74" i="1" s="1"/>
  <c r="AP120" i="3"/>
  <c r="AP114" i="3"/>
  <c r="AP117" i="3" s="1"/>
  <c r="AV176" i="1"/>
  <c r="BE176" i="1"/>
  <c r="AN176" i="1"/>
  <c r="AM73" i="1"/>
  <c r="AM74" i="1" s="1"/>
  <c r="BX117" i="3"/>
  <c r="CC118" i="3" s="1"/>
  <c r="CC115" i="3"/>
  <c r="BY117" i="3"/>
  <c r="H42" i="447"/>
  <c r="CQ64" i="3"/>
  <c r="CP79" i="3"/>
  <c r="CT127" i="2"/>
  <c r="CR140" i="2"/>
  <c r="CS140" i="2" s="1"/>
  <c r="AK196" i="1"/>
  <c r="AK201" i="1" s="1"/>
  <c r="CU42" i="3"/>
  <c r="CU96" i="3" s="1"/>
  <c r="CU56" i="2"/>
  <c r="CV44" i="2"/>
  <c r="BB32" i="3"/>
  <c r="BB78" i="3"/>
  <c r="BA220" i="4" s="1"/>
  <c r="BB31" i="3"/>
  <c r="BB85" i="3" s="1"/>
  <c r="CS44" i="3"/>
  <c r="CR98" i="3"/>
  <c r="AZ220" i="4"/>
  <c r="BC24" i="3"/>
  <c r="BC81" i="3"/>
  <c r="BD27" i="3"/>
  <c r="CU117" i="2"/>
  <c r="CT119" i="2"/>
  <c r="CT79" i="1" s="1"/>
  <c r="CT37" i="2"/>
  <c r="CT44" i="3" s="1"/>
  <c r="CN14" i="3"/>
  <c r="CM68" i="3"/>
  <c r="CN68" i="3" s="1"/>
  <c r="CQ132" i="2"/>
  <c r="CQ136" i="2" s="1"/>
  <c r="CP19" i="2"/>
  <c r="CS127" i="2"/>
  <c r="CS98" i="3"/>
  <c r="BA86" i="3"/>
  <c r="BA87" i="3" s="1"/>
  <c r="BA33" i="3"/>
  <c r="BA51" i="3" s="1"/>
  <c r="CQ30" i="2"/>
  <c r="CQ25" i="3" s="1"/>
  <c r="CR32" i="2"/>
  <c r="CP197" i="1"/>
  <c r="CO218" i="4"/>
  <c r="P112" i="3"/>
  <c r="P196" i="1"/>
  <c r="P201" i="1" s="1"/>
  <c r="P105" i="3"/>
  <c r="AW81" i="1"/>
  <c r="AW84" i="1" s="1"/>
  <c r="CG64" i="8"/>
  <c r="CG89" i="8"/>
  <c r="F110" i="1"/>
  <c r="G105" i="1"/>
  <c r="G107" i="1" s="1"/>
  <c r="F107" i="1"/>
  <c r="AD111" i="1"/>
  <c r="AD97" i="1"/>
  <c r="AD115" i="1"/>
  <c r="AF115" i="1" s="1"/>
  <c r="AF110" i="1"/>
  <c r="T99" i="1"/>
  <c r="O99" i="1"/>
  <c r="CG16" i="8"/>
  <c r="CG25" i="8"/>
  <c r="BZ117" i="3"/>
  <c r="BZ118" i="3" s="1"/>
  <c r="BZ115" i="3"/>
  <c r="CT197" i="4"/>
  <c r="CU198" i="1"/>
  <c r="CA91" i="1"/>
  <c r="CA92" i="1" s="1"/>
  <c r="CA93" i="1" s="1"/>
  <c r="CA94" i="1" s="1"/>
  <c r="CA114" i="3"/>
  <c r="CA188" i="1"/>
  <c r="CA189" i="1" s="1"/>
  <c r="BA97" i="1"/>
  <c r="BE110" i="1"/>
  <c r="BA115" i="1"/>
  <c r="BE115" i="1" s="1"/>
  <c r="BA111" i="1"/>
  <c r="BG92" i="1"/>
  <c r="BG93" i="1" s="1"/>
  <c r="CD105" i="1"/>
  <c r="CD107" i="1" s="1"/>
  <c r="CB107" i="1"/>
  <c r="CB110" i="1"/>
  <c r="AL98" i="1"/>
  <c r="AP97" i="1"/>
  <c r="AP98" i="1" s="1"/>
  <c r="AP99" i="1" s="1"/>
  <c r="X62" i="3"/>
  <c r="X87" i="3" s="1"/>
  <c r="Y8" i="3"/>
  <c r="X33" i="3"/>
  <c r="X51" i="3" s="1"/>
  <c r="X53" i="3" s="1"/>
  <c r="AH99" i="1"/>
  <c r="AC99" i="1"/>
  <c r="AV103" i="1"/>
  <c r="AV105" i="1"/>
  <c r="AZ102" i="1"/>
  <c r="AZ103" i="1" s="1"/>
  <c r="O87" i="3"/>
  <c r="Q62" i="3"/>
  <c r="Q87" i="3" s="1"/>
  <c r="AW103" i="1"/>
  <c r="AW105" i="1"/>
  <c r="CL99" i="8"/>
  <c r="AB99" i="1"/>
  <c r="AG99" i="1"/>
  <c r="CH197" i="4"/>
  <c r="CI198" i="1"/>
  <c r="J72" i="447"/>
  <c r="J70" i="447"/>
  <c r="J26" i="447"/>
  <c r="BZ92" i="1"/>
  <c r="BZ93" i="1" s="1"/>
  <c r="BZ94" i="1" s="1"/>
  <c r="CU98" i="2"/>
  <c r="CT215" i="4" s="1"/>
  <c r="CO215" i="4"/>
  <c r="T33" i="3"/>
  <c r="T51" i="3" s="1"/>
  <c r="T62" i="3"/>
  <c r="T87" i="3" s="1"/>
  <c r="CA149" i="1"/>
  <c r="CA165" i="1"/>
  <c r="CA87" i="1"/>
  <c r="CA175" i="1"/>
  <c r="CA89" i="1"/>
  <c r="T113" i="1"/>
  <c r="CH164" i="1"/>
  <c r="CG102" i="1"/>
  <c r="CG80" i="1"/>
  <c r="CH183" i="1"/>
  <c r="CG148" i="1"/>
  <c r="CG69" i="1"/>
  <c r="CH182" i="1"/>
  <c r="CG183" i="1"/>
  <c r="CG68" i="1"/>
  <c r="CG71" i="1"/>
  <c r="CG72" i="1" s="1"/>
  <c r="CG229" i="1"/>
  <c r="CG182" i="1"/>
  <c r="CG174" i="1"/>
  <c r="CG164" i="1"/>
  <c r="CV67" i="3"/>
  <c r="CV77" i="2" s="1"/>
  <c r="CW13" i="3"/>
  <c r="AS105" i="1"/>
  <c r="AS110" i="1" s="1"/>
  <c r="AS8" i="3" s="1"/>
  <c r="AS103" i="1"/>
  <c r="AP111" i="1"/>
  <c r="AP112" i="1"/>
  <c r="AP113" i="1" s="1"/>
  <c r="W87" i="3"/>
  <c r="AZ68" i="1"/>
  <c r="AY195" i="4" s="1"/>
  <c r="BE148" i="1"/>
  <c r="BE69" i="1"/>
  <c r="AZ174" i="1"/>
  <c r="CW98" i="2"/>
  <c r="CV215" i="4" s="1"/>
  <c r="CQ215" i="4"/>
  <c r="CJ91" i="8"/>
  <c r="CD117" i="3"/>
  <c r="CD115" i="3"/>
  <c r="CA110" i="1"/>
  <c r="CA107" i="1"/>
  <c r="AB33" i="3"/>
  <c r="AB51" i="3" s="1"/>
  <c r="AB62" i="3"/>
  <c r="AB87" i="3" s="1"/>
  <c r="AC8" i="3"/>
  <c r="AK88" i="1"/>
  <c r="AF150" i="1"/>
  <c r="AF88" i="1"/>
  <c r="AK150" i="1"/>
  <c r="CL92" i="8"/>
  <c r="CK91" i="8"/>
  <c r="CB165" i="1"/>
  <c r="CB89" i="1"/>
  <c r="CD89" i="1" s="1"/>
  <c r="CC165" i="1"/>
  <c r="CB175" i="1"/>
  <c r="CB87" i="1"/>
  <c r="CB149" i="1"/>
  <c r="AX82" i="1"/>
  <c r="AX84" i="1"/>
  <c r="H165" i="1"/>
  <c r="K149" i="1"/>
  <c r="F165" i="1"/>
  <c r="F89" i="1"/>
  <c r="G89" i="1" s="1"/>
  <c r="F175" i="1"/>
  <c r="F87" i="1"/>
  <c r="G84" i="1"/>
  <c r="BG166" i="1"/>
  <c r="BL150" i="1"/>
  <c r="BH166" i="1"/>
  <c r="BL88" i="1"/>
  <c r="BH185" i="1"/>
  <c r="BG88" i="1"/>
  <c r="BG185" i="1"/>
  <c r="BG150" i="1"/>
  <c r="BK185" i="1"/>
  <c r="BI185" i="1"/>
  <c r="AS82" i="1"/>
  <c r="AS84" i="1"/>
  <c r="AQ113" i="1"/>
  <c r="AL113" i="1"/>
  <c r="W55" i="3"/>
  <c r="W54" i="3"/>
  <c r="BZ166" i="1"/>
  <c r="CA185" i="1"/>
  <c r="BZ150" i="1"/>
  <c r="BZ185" i="1"/>
  <c r="BZ88" i="1"/>
  <c r="P51" i="3"/>
  <c r="Q51" i="3" s="1"/>
  <c r="Q33" i="3"/>
  <c r="C26" i="447"/>
  <c r="AB113" i="1"/>
  <c r="AG113" i="1"/>
  <c r="CB114" i="3"/>
  <c r="CB91" i="1"/>
  <c r="CB92" i="1" s="1"/>
  <c r="CB93" i="1" s="1"/>
  <c r="CB94" i="1" s="1"/>
  <c r="CB188" i="1"/>
  <c r="CB189" i="1" s="1"/>
  <c r="BZ115" i="1"/>
  <c r="BZ112" i="1" s="1"/>
  <c r="BZ113" i="1" s="1"/>
  <c r="BZ111" i="1"/>
  <c r="BZ97" i="1"/>
  <c r="BG111" i="1"/>
  <c r="BG97" i="1"/>
  <c r="BG115" i="1"/>
  <c r="BJ115" i="1" s="1"/>
  <c r="BJ110" i="1"/>
  <c r="C28" i="447"/>
  <c r="C29" i="447" s="1"/>
  <c r="CL198" i="1"/>
  <c r="CQ95" i="2"/>
  <c r="CK197" i="4"/>
  <c r="CH30" i="8"/>
  <c r="CH14" i="8"/>
  <c r="BI207" i="4"/>
  <c r="BJ175" i="1"/>
  <c r="BJ87" i="1"/>
  <c r="BJ92" i="1"/>
  <c r="BJ93" i="1" s="1"/>
  <c r="BO94" i="1" s="1"/>
  <c r="BJ149" i="1"/>
  <c r="BO149" i="1"/>
  <c r="AC113" i="1"/>
  <c r="AH113" i="1"/>
  <c r="AV81" i="1"/>
  <c r="AZ81" i="1" s="1"/>
  <c r="AZ82" i="1" s="1"/>
  <c r="AZ188" i="1" s="1"/>
  <c r="AZ189" i="1" s="1"/>
  <c r="AZ80" i="1"/>
  <c r="CD84" i="1"/>
  <c r="BH94" i="1"/>
  <c r="U89" i="8"/>
  <c r="CL73" i="2"/>
  <c r="CL79" i="2" s="1"/>
  <c r="CK45" i="2"/>
  <c r="AL115" i="3"/>
  <c r="AG117" i="3"/>
  <c r="CM77" i="2"/>
  <c r="CN77" i="2" s="1"/>
  <c r="CN79" i="2" s="1"/>
  <c r="CN67" i="3"/>
  <c r="CB53" i="3"/>
  <c r="CB55" i="3" s="1"/>
  <c r="CC52" i="3"/>
  <c r="CE14" i="8"/>
  <c r="CE30" i="8"/>
  <c r="V148" i="1"/>
  <c r="V174" i="1"/>
  <c r="V68" i="1"/>
  <c r="U195" i="4" s="1"/>
  <c r="V69" i="1"/>
  <c r="AA148" i="1"/>
  <c r="AA69" i="1"/>
  <c r="CI148" i="1"/>
  <c r="CI229" i="1"/>
  <c r="CI68" i="1"/>
  <c r="CI69" i="1"/>
  <c r="CI174" i="1"/>
  <c r="P14" i="8"/>
  <c r="Q14" i="8" s="1"/>
  <c r="P30" i="8"/>
  <c r="H112" i="3"/>
  <c r="H114" i="3" s="1"/>
  <c r="H196" i="1"/>
  <c r="H201" i="1" s="1"/>
  <c r="H105" i="3"/>
  <c r="V25" i="8"/>
  <c r="AA25" i="8"/>
  <c r="V16" i="8"/>
  <c r="V30" i="8" s="1"/>
  <c r="AA30" i="8"/>
  <c r="AJ120" i="3"/>
  <c r="AJ114" i="3"/>
  <c r="AR113" i="1"/>
  <c r="AJ113" i="1"/>
  <c r="AE113" i="1"/>
  <c r="J66" i="447"/>
  <c r="J22" i="447"/>
  <c r="J68" i="447"/>
  <c r="CF89" i="1"/>
  <c r="CF175" i="1"/>
  <c r="CF149" i="1"/>
  <c r="CF87" i="1"/>
  <c r="V89" i="8"/>
  <c r="V64" i="8"/>
  <c r="AT107" i="1"/>
  <c r="AT91" i="1"/>
  <c r="AU91" i="1" s="1"/>
  <c r="AT188" i="1"/>
  <c r="AT189" i="1" s="1"/>
  <c r="F106" i="3"/>
  <c r="E108" i="3"/>
  <c r="BQ87" i="1"/>
  <c r="BQ175" i="1"/>
  <c r="BR165" i="1"/>
  <c r="BQ89" i="1"/>
  <c r="BT89" i="1" s="1"/>
  <c r="BT84" i="1"/>
  <c r="BQ149" i="1"/>
  <c r="BQ165" i="1"/>
  <c r="BV149" i="1"/>
  <c r="Z22" i="4"/>
  <c r="CH107" i="1"/>
  <c r="CM107" i="1" s="1"/>
  <c r="CH110" i="1"/>
  <c r="U42" i="4"/>
  <c r="U37" i="4"/>
  <c r="Z42" i="4"/>
  <c r="BM99" i="1"/>
  <c r="BH99" i="1"/>
  <c r="BY72" i="1"/>
  <c r="BT72" i="1"/>
  <c r="U64" i="8"/>
  <c r="U30" i="8"/>
  <c r="U14" i="8"/>
  <c r="V14" i="8" s="1"/>
  <c r="CO56" i="1"/>
  <c r="CP57" i="1"/>
  <c r="AR98" i="1"/>
  <c r="I97" i="1"/>
  <c r="I111" i="1"/>
  <c r="J8" i="3"/>
  <c r="I115" i="1"/>
  <c r="L115" i="1" s="1"/>
  <c r="I8" i="3"/>
  <c r="K8" i="3"/>
  <c r="L110" i="1"/>
  <c r="AM115" i="3"/>
  <c r="AH117" i="3"/>
  <c r="CH150" i="1"/>
  <c r="CH88" i="1"/>
  <c r="BT121" i="1"/>
  <c r="AT87" i="1"/>
  <c r="AT175" i="1"/>
  <c r="AT89" i="1"/>
  <c r="AY149" i="1"/>
  <c r="AT149" i="1"/>
  <c r="CR77" i="2"/>
  <c r="CS77" i="2" s="1"/>
  <c r="CS67" i="3"/>
  <c r="BQ91" i="1"/>
  <c r="BT91" i="1" s="1"/>
  <c r="BQ188" i="1"/>
  <c r="BQ189" i="1" s="1"/>
  <c r="N150" i="1"/>
  <c r="M185" i="1"/>
  <c r="I150" i="1"/>
  <c r="J166" i="1"/>
  <c r="K185" i="1"/>
  <c r="I88" i="1"/>
  <c r="I166" i="1"/>
  <c r="I185" i="1"/>
  <c r="J185" i="1"/>
  <c r="AT110" i="1"/>
  <c r="AU105" i="1"/>
  <c r="AU107" i="1" s="1"/>
  <c r="BH113" i="1"/>
  <c r="BM113" i="1"/>
  <c r="CE105" i="1"/>
  <c r="CE103" i="1"/>
  <c r="CI102" i="1"/>
  <c r="CI103" i="1" s="1"/>
  <c r="BQ110" i="1"/>
  <c r="BQ107" i="1"/>
  <c r="BT105" i="1"/>
  <c r="BT107" i="1" s="1"/>
  <c r="AR62" i="3"/>
  <c r="AR33" i="3"/>
  <c r="AR51" i="3" s="1"/>
  <c r="CF91" i="1"/>
  <c r="CF92" i="1" s="1"/>
  <c r="CF93" i="1" s="1"/>
  <c r="CF94" i="1" s="1"/>
  <c r="CF114" i="3"/>
  <c r="CF188" i="1"/>
  <c r="CF189" i="1" s="1"/>
  <c r="CW198" i="1"/>
  <c r="CV197" i="4"/>
  <c r="AU82" i="1"/>
  <c r="AU84" i="1"/>
  <c r="L87" i="1"/>
  <c r="Q149" i="1"/>
  <c r="L175" i="1"/>
  <c r="K207" i="4"/>
  <c r="AA89" i="8"/>
  <c r="AA64" i="8"/>
  <c r="T24" i="4"/>
  <c r="U82" i="1"/>
  <c r="U188" i="1" s="1"/>
  <c r="U189" i="1" s="1"/>
  <c r="V80" i="1"/>
  <c r="V82" i="1" s="1"/>
  <c r="V121" i="1" s="1"/>
  <c r="U84" i="1"/>
  <c r="U103" i="1"/>
  <c r="U105" i="1"/>
  <c r="V102" i="1"/>
  <c r="V103" i="1" s="1"/>
  <c r="AE99" i="1"/>
  <c r="AJ99" i="1"/>
  <c r="CE72" i="1"/>
  <c r="CI71" i="1"/>
  <c r="CI72" i="1" s="1"/>
  <c r="CE82" i="1"/>
  <c r="CE84" i="1"/>
  <c r="CI80" i="1"/>
  <c r="CI82" i="1" s="1"/>
  <c r="CD195" i="4"/>
  <c r="CF107" i="1"/>
  <c r="CK107" i="1" s="1"/>
  <c r="CF110" i="1"/>
  <c r="U38" i="4"/>
  <c r="Z43" i="4"/>
  <c r="U43" i="4"/>
  <c r="AK120" i="3"/>
  <c r="AK114" i="3"/>
  <c r="AI117" i="3"/>
  <c r="AN115" i="3"/>
  <c r="U21" i="4"/>
  <c r="U23" i="4" s="1"/>
  <c r="U24" i="4" s="1"/>
  <c r="Z23" i="4"/>
  <c r="BT188" i="1"/>
  <c r="BT189" i="1" s="1"/>
  <c r="AK105" i="3"/>
  <c r="CA79" i="4"/>
  <c r="BZ80" i="4"/>
  <c r="BM91" i="4"/>
  <c r="BJ91" i="4"/>
  <c r="BK91" i="4"/>
  <c r="BL91" i="4"/>
  <c r="BY81" i="4"/>
  <c r="CB109" i="4"/>
  <c r="CC108" i="4"/>
  <c r="CC109" i="4" s="1"/>
  <c r="CE105" i="4"/>
  <c r="CD108" i="4"/>
  <c r="CM91" i="3"/>
  <c r="CN91" i="3" s="1"/>
  <c r="CN37" i="3"/>
  <c r="CX33" i="2"/>
  <c r="CL114" i="1"/>
  <c r="CN114" i="1" s="1"/>
  <c r="CN116" i="1"/>
  <c r="CU29" i="3"/>
  <c r="CT83" i="3"/>
  <c r="CR68" i="3"/>
  <c r="CS68" i="3" s="1"/>
  <c r="CS14" i="3"/>
  <c r="CN118" i="1"/>
  <c r="CN119" i="1" s="1"/>
  <c r="CM119" i="1"/>
  <c r="CU91" i="3"/>
  <c r="CV37" i="3"/>
  <c r="CP102" i="3"/>
  <c r="CQ48" i="3"/>
  <c r="CP193" i="1"/>
  <c r="CQ29" i="2"/>
  <c r="CO212" i="4"/>
  <c r="CM68" i="2"/>
  <c r="CN61" i="2"/>
  <c r="CQ83" i="3"/>
  <c r="CR29" i="3"/>
  <c r="CT82" i="3"/>
  <c r="CU28" i="3"/>
  <c r="CO101" i="3"/>
  <c r="CP47" i="3"/>
  <c r="CO118" i="1"/>
  <c r="CO61" i="2"/>
  <c r="CP63" i="2"/>
  <c r="CP59" i="2"/>
  <c r="CR28" i="3"/>
  <c r="CQ82" i="3"/>
  <c r="CW14" i="3"/>
  <c r="CV68" i="3"/>
  <c r="CU46" i="2"/>
  <c r="CV46" i="2" s="1"/>
  <c r="CW46" i="2" s="1"/>
  <c r="CX46" i="2" s="1"/>
  <c r="CT48" i="3"/>
  <c r="CH86" i="4"/>
  <c r="CI86" i="4" s="1"/>
  <c r="BN176" i="4"/>
  <c r="BS174" i="4"/>
  <c r="CE94" i="4"/>
  <c r="CC153" i="4"/>
  <c r="CC68" i="4"/>
  <c r="CJ86" i="4"/>
  <c r="CK86" i="4" s="1"/>
  <c r="CL86" i="4" s="1"/>
  <c r="CN86" i="4" s="1"/>
  <c r="CE67" i="4"/>
  <c r="AK21" i="8"/>
  <c r="AK64" i="8"/>
  <c r="AK89" i="8"/>
  <c r="AK31" i="8"/>
  <c r="AJ22" i="4" s="1"/>
  <c r="AJ24" i="4" s="1"/>
  <c r="BI139" i="310"/>
  <c r="BE196" i="310"/>
  <c r="AE226" i="310"/>
  <c r="AG225" i="310"/>
  <c r="AE257" i="310"/>
  <c r="AE275" i="310" s="1"/>
  <c r="AE276" i="310" s="1"/>
  <c r="BA214" i="310"/>
  <c r="BA216" i="310"/>
  <c r="BD163" i="310"/>
  <c r="BD164" i="310" s="1"/>
  <c r="BH261" i="310"/>
  <c r="BC260" i="310"/>
  <c r="BC278" i="310" s="1"/>
  <c r="BC279" i="310" s="1"/>
  <c r="BB175" i="310"/>
  <c r="BB176" i="310"/>
  <c r="BB207" i="310"/>
  <c r="BB213" i="310" s="1"/>
  <c r="BB216" i="310" s="1"/>
  <c r="BN155" i="310"/>
  <c r="BP153" i="310"/>
  <c r="BN189" i="310"/>
  <c r="BO189" i="310" s="1"/>
  <c r="BO190" i="310" s="1"/>
  <c r="BC164" i="310"/>
  <c r="BC165" i="310"/>
  <c r="BD182" i="310"/>
  <c r="BC184" i="310"/>
  <c r="BC174" i="310"/>
  <c r="BD159" i="310"/>
  <c r="BF157" i="310"/>
  <c r="BD192" i="310"/>
  <c r="BE192" i="310" s="1"/>
  <c r="BE198" i="310" s="1"/>
  <c r="BA229" i="310"/>
  <c r="AV231" i="310"/>
  <c r="AV260" i="310"/>
  <c r="AV278" i="310" s="1"/>
  <c r="AV279" i="310" s="1"/>
  <c r="AC276" i="310"/>
  <c r="AC287" i="310"/>
  <c r="AC288" i="310" s="1"/>
  <c r="AF241" i="310"/>
  <c r="AE242" i="310"/>
  <c r="AG241" i="310"/>
  <c r="AE263" i="310"/>
  <c r="AY261" i="310"/>
  <c r="AT260" i="310"/>
  <c r="AT278" i="310" s="1"/>
  <c r="AT279" i="310" s="1"/>
  <c r="AE246" i="310"/>
  <c r="AG245" i="310"/>
  <c r="AE249" i="310"/>
  <c r="AE266" i="310"/>
  <c r="AF266" i="310" s="1"/>
  <c r="AM279" i="310"/>
  <c r="AP278" i="310"/>
  <c r="AP279" i="310" s="1"/>
  <c r="AR278" i="310"/>
  <c r="AP260" i="310"/>
  <c r="AP261" i="310" s="1"/>
  <c r="AD284" i="310"/>
  <c r="AD269" i="310"/>
  <c r="AD270" i="310" s="1"/>
  <c r="BM110" i="310"/>
  <c r="BN108" i="310"/>
  <c r="BO108" i="310" s="1"/>
  <c r="BO110" i="310" s="1"/>
  <c r="BM132" i="310"/>
  <c r="AX231" i="310"/>
  <c r="BB229" i="310"/>
  <c r="AW260" i="310"/>
  <c r="AW278" i="310" s="1"/>
  <c r="AZ229" i="310"/>
  <c r="AZ230" i="310" s="1"/>
  <c r="AW231" i="310"/>
  <c r="CK261" i="310"/>
  <c r="G11" i="447"/>
  <c r="F13" i="447"/>
  <c r="E19" i="447"/>
  <c r="E21" i="447"/>
  <c r="E35" i="447" s="1"/>
  <c r="AD250" i="310"/>
  <c r="AD251" i="310"/>
  <c r="BH139" i="310"/>
  <c r="BJ138" i="310"/>
  <c r="BI143" i="310"/>
  <c r="BI145" i="310"/>
  <c r="BI147" i="310"/>
  <c r="BI148" i="310"/>
  <c r="BI117" i="310"/>
  <c r="BI146" i="310"/>
  <c r="BI116" i="310"/>
  <c r="BJ115" i="310"/>
  <c r="BJ117" i="310" s="1"/>
  <c r="BK96" i="310"/>
  <c r="BK123" i="310"/>
  <c r="BK138" i="310" s="1"/>
  <c r="BL94" i="310"/>
  <c r="BK115" i="310"/>
  <c r="BE205" i="310"/>
  <c r="BG160" i="310"/>
  <c r="BF162" i="310"/>
  <c r="BF195" i="310"/>
  <c r="BD165" i="310"/>
  <c r="BE163" i="310"/>
  <c r="BE165" i="310" s="1"/>
  <c r="BQ112" i="310"/>
  <c r="BP114" i="310"/>
  <c r="BP135" i="310"/>
  <c r="BE173" i="310"/>
  <c r="BG171" i="310"/>
  <c r="BF173" i="310"/>
  <c r="BF204" i="310"/>
  <c r="BQ100" i="310"/>
  <c r="BQ126" i="310"/>
  <c r="BR98" i="310"/>
  <c r="BG267" i="310"/>
  <c r="CN18" i="310"/>
  <c r="CY17" i="310"/>
  <c r="CP167" i="310"/>
  <c r="CO201" i="310"/>
  <c r="K54" i="447"/>
  <c r="K10" i="447"/>
  <c r="K9" i="447" s="1"/>
  <c r="K56" i="447"/>
  <c r="CP17" i="310"/>
  <c r="CO18" i="310"/>
  <c r="CP10" i="310"/>
  <c r="CO11" i="310"/>
  <c r="BC264" i="310"/>
  <c r="BH178" i="310"/>
  <c r="BG180" i="310"/>
  <c r="BB264" i="310"/>
  <c r="BS267" i="310"/>
  <c r="AP64" i="8"/>
  <c r="AP21" i="8"/>
  <c r="AP31" i="8"/>
  <c r="AO22" i="4" s="1"/>
  <c r="AO24" i="4" s="1"/>
  <c r="AP89" i="8"/>
  <c r="CD118" i="3" l="1"/>
  <c r="BL92" i="310"/>
  <c r="BM90" i="310"/>
  <c r="BL120" i="310"/>
  <c r="AY231" i="310"/>
  <c r="BD229" i="310"/>
  <c r="CB185" i="1"/>
  <c r="CD110" i="1"/>
  <c r="CD111" i="1" s="1"/>
  <c r="L31" i="8"/>
  <c r="L89" i="8"/>
  <c r="N120" i="3"/>
  <c r="N114" i="3"/>
  <c r="BG112" i="1"/>
  <c r="BN129" i="310"/>
  <c r="BO129" i="310" s="1"/>
  <c r="BO130" i="310" s="1"/>
  <c r="BO104" i="310"/>
  <c r="BO106" i="310" s="1"/>
  <c r="BN106" i="310"/>
  <c r="BP103" i="310"/>
  <c r="BP104" i="310"/>
  <c r="BQ101" i="310"/>
  <c r="CN103" i="4"/>
  <c r="CO104" i="4"/>
  <c r="CO107" i="4" s="1"/>
  <c r="AN73" i="1"/>
  <c r="AO176" i="1"/>
  <c r="AO73" i="1" s="1"/>
  <c r="AO74" i="1" s="1"/>
  <c r="BA176" i="1"/>
  <c r="BJ176" i="1"/>
  <c r="AV73" i="1"/>
  <c r="AV74" i="1" s="1"/>
  <c r="AW176" i="1"/>
  <c r="AR73" i="1"/>
  <c r="AR74" i="1" s="1"/>
  <c r="AS176" i="1"/>
  <c r="BA196" i="1"/>
  <c r="BA201" i="1" s="1"/>
  <c r="BA112" i="3"/>
  <c r="BA105" i="3"/>
  <c r="CQ19" i="2"/>
  <c r="CR132" i="2"/>
  <c r="BC32" i="3"/>
  <c r="BC78" i="3"/>
  <c r="BC31" i="3"/>
  <c r="BC85" i="3" s="1"/>
  <c r="CT32" i="2"/>
  <c r="CR30" i="2"/>
  <c r="CS30" i="2" s="1"/>
  <c r="CS32" i="2"/>
  <c r="CV117" i="2"/>
  <c r="CU119" i="2"/>
  <c r="CU79" i="1" s="1"/>
  <c r="CU37" i="2"/>
  <c r="BD81" i="3"/>
  <c r="BE81" i="3" s="1"/>
  <c r="BE27" i="3"/>
  <c r="BD24" i="3"/>
  <c r="BF27" i="3"/>
  <c r="CT140" i="2"/>
  <c r="CT10" i="3" s="1"/>
  <c r="CU127" i="2"/>
  <c r="CR10" i="3"/>
  <c r="CV42" i="3"/>
  <c r="CV96" i="3" s="1"/>
  <c r="CV56" i="2"/>
  <c r="CW44" i="2"/>
  <c r="CQ79" i="3"/>
  <c r="CT98" i="3"/>
  <c r="CU44" i="3"/>
  <c r="BB86" i="3"/>
  <c r="BB87" i="3" s="1"/>
  <c r="BB33" i="3"/>
  <c r="BB51" i="3" s="1"/>
  <c r="CP218" i="4"/>
  <c r="CQ197" i="1"/>
  <c r="Z24" i="4"/>
  <c r="AW87" i="1"/>
  <c r="AW149" i="1"/>
  <c r="AW175" i="1"/>
  <c r="AW89" i="1"/>
  <c r="BB149" i="1"/>
  <c r="AW92" i="1"/>
  <c r="AW93" i="1" s="1"/>
  <c r="BG113" i="1"/>
  <c r="BL113" i="1"/>
  <c r="BZ98" i="1"/>
  <c r="BZ99" i="1" s="1"/>
  <c r="AS87" i="1"/>
  <c r="AS89" i="1"/>
  <c r="AU89" i="1" s="1"/>
  <c r="AS175" i="1"/>
  <c r="AS165" i="1"/>
  <c r="AS92" i="1"/>
  <c r="AS93" i="1" s="1"/>
  <c r="AS94" i="1" s="1"/>
  <c r="AS149" i="1"/>
  <c r="G87" i="1"/>
  <c r="G175" i="1"/>
  <c r="AX91" i="1"/>
  <c r="AZ91" i="1" s="1"/>
  <c r="AX188" i="1"/>
  <c r="AX189" i="1" s="1"/>
  <c r="CB166" i="1"/>
  <c r="CB150" i="1"/>
  <c r="CB88" i="1"/>
  <c r="CC166" i="1"/>
  <c r="P186" i="1"/>
  <c r="R186" i="1"/>
  <c r="O196" i="1"/>
  <c r="O201" i="1" s="1"/>
  <c r="S186" i="1"/>
  <c r="O112" i="3"/>
  <c r="O105" i="3"/>
  <c r="Q105" i="3" s="1"/>
  <c r="X112" i="3"/>
  <c r="X105" i="3"/>
  <c r="X196" i="1"/>
  <c r="X201" i="1" s="1"/>
  <c r="CG30" i="8"/>
  <c r="CG14" i="8"/>
  <c r="P114" i="3"/>
  <c r="P117" i="3" s="1"/>
  <c r="P120" i="3"/>
  <c r="BJ88" i="1"/>
  <c r="BO88" i="1"/>
  <c r="BO150" i="1"/>
  <c r="BJ150" i="1"/>
  <c r="AS107" i="1"/>
  <c r="AS188" i="1"/>
  <c r="AS189" i="1" s="1"/>
  <c r="H166" i="1"/>
  <c r="H185" i="1"/>
  <c r="F166" i="1"/>
  <c r="K88" i="1"/>
  <c r="K150" i="1"/>
  <c r="CM92" i="8"/>
  <c r="CM91" i="8" s="1"/>
  <c r="CL91" i="8"/>
  <c r="AC62" i="3"/>
  <c r="AC33" i="3"/>
  <c r="AC51" i="3" s="1"/>
  <c r="AD8" i="3"/>
  <c r="CA111" i="1"/>
  <c r="CA115" i="1"/>
  <c r="CA112" i="1" s="1"/>
  <c r="CA113" i="1" s="1"/>
  <c r="CA97" i="1"/>
  <c r="CA98" i="1" s="1"/>
  <c r="CA99" i="1" s="1"/>
  <c r="CG82" i="1"/>
  <c r="CG84" i="1"/>
  <c r="AW110" i="1"/>
  <c r="AW107" i="1"/>
  <c r="BE112" i="1"/>
  <c r="BE111" i="1"/>
  <c r="CA117" i="3"/>
  <c r="CA118" i="3" s="1"/>
  <c r="CA115" i="3"/>
  <c r="AD98" i="1"/>
  <c r="AF97" i="1"/>
  <c r="AF98" i="1" s="1"/>
  <c r="CD87" i="1"/>
  <c r="CD175" i="1"/>
  <c r="CC207" i="4"/>
  <c r="CD149" i="1"/>
  <c r="L149" i="1"/>
  <c r="AT165" i="1"/>
  <c r="AV84" i="1"/>
  <c r="BG98" i="1"/>
  <c r="BJ97" i="1"/>
  <c r="BJ98" i="1" s="1"/>
  <c r="CC185" i="1"/>
  <c r="AB196" i="1"/>
  <c r="AB201" i="1" s="1"/>
  <c r="AB105" i="3"/>
  <c r="AB112" i="3"/>
  <c r="I42" i="447"/>
  <c r="W112" i="3"/>
  <c r="W196" i="1"/>
  <c r="W201" i="1" s="1"/>
  <c r="W105" i="3"/>
  <c r="AS111" i="1"/>
  <c r="AS112" i="1"/>
  <c r="AS97" i="1"/>
  <c r="AS98" i="1" s="1"/>
  <c r="CG105" i="1"/>
  <c r="CI105" i="1" s="1"/>
  <c r="CI107" i="1" s="1"/>
  <c r="CG103" i="1"/>
  <c r="T196" i="1"/>
  <c r="T201" i="1" s="1"/>
  <c r="T105" i="3"/>
  <c r="T112" i="3"/>
  <c r="CD91" i="1"/>
  <c r="CD92" i="1" s="1"/>
  <c r="CD93" i="1" s="1"/>
  <c r="CD94" i="1" s="1"/>
  <c r="AV107" i="1"/>
  <c r="AV110" i="1"/>
  <c r="AZ105" i="1"/>
  <c r="AZ107" i="1" s="1"/>
  <c r="X55" i="3"/>
  <c r="X54" i="3"/>
  <c r="AL99" i="1"/>
  <c r="AQ99" i="1"/>
  <c r="BG94" i="1"/>
  <c r="BL94" i="1"/>
  <c r="BA112" i="1"/>
  <c r="AD112" i="1"/>
  <c r="G110" i="1"/>
  <c r="F115" i="1"/>
  <c r="G115" i="1" s="1"/>
  <c r="F97" i="1"/>
  <c r="F8" i="3"/>
  <c r="F111" i="1"/>
  <c r="AZ121" i="1"/>
  <c r="C33" i="447"/>
  <c r="C35" i="447" s="1"/>
  <c r="C39" i="447" s="1"/>
  <c r="CQ198" i="1"/>
  <c r="CV95" i="2"/>
  <c r="CP197" i="4"/>
  <c r="BJ112" i="1"/>
  <c r="BJ111" i="1"/>
  <c r="CB117" i="3"/>
  <c r="CB118" i="3" s="1"/>
  <c r="CB115" i="3"/>
  <c r="AX149" i="1"/>
  <c r="AX92" i="1"/>
  <c r="AX93" i="1" s="1"/>
  <c r="AX87" i="1"/>
  <c r="AX89" i="1"/>
  <c r="AY165" i="1"/>
  <c r="AX175" i="1"/>
  <c r="AX165" i="1"/>
  <c r="BC149" i="1"/>
  <c r="CX13" i="3"/>
  <c r="CW67" i="3"/>
  <c r="CW77" i="2" s="1"/>
  <c r="CX77" i="2" s="1"/>
  <c r="CF195" i="4"/>
  <c r="CA88" i="1"/>
  <c r="CA166" i="1"/>
  <c r="CA150" i="1"/>
  <c r="Q196" i="1"/>
  <c r="Q201" i="1" s="1"/>
  <c r="Q112" i="3"/>
  <c r="Y33" i="3"/>
  <c r="Y51" i="3" s="1"/>
  <c r="Y53" i="3" s="1"/>
  <c r="Y62" i="3"/>
  <c r="Y87" i="3" s="1"/>
  <c r="Z8" i="3"/>
  <c r="CB115" i="1"/>
  <c r="CB112" i="1" s="1"/>
  <c r="CB113" i="1" s="1"/>
  <c r="CB97" i="1"/>
  <c r="CB98" i="1" s="1"/>
  <c r="CB99" i="1" s="1"/>
  <c r="CB111" i="1"/>
  <c r="BA98" i="1"/>
  <c r="BE97" i="1"/>
  <c r="BE98" i="1" s="1"/>
  <c r="AF112" i="1"/>
  <c r="AF111" i="1"/>
  <c r="T186" i="1"/>
  <c r="BJ94" i="1"/>
  <c r="CD52" i="3"/>
  <c r="CC53" i="3"/>
  <c r="AL118" i="3"/>
  <c r="U39" i="4"/>
  <c r="CL45" i="2"/>
  <c r="CM73" i="2"/>
  <c r="CM79" i="2" s="1"/>
  <c r="CE107" i="1"/>
  <c r="CE110" i="1"/>
  <c r="AT92" i="1"/>
  <c r="AT93" i="1" s="1"/>
  <c r="I112" i="1"/>
  <c r="CQ57" i="1"/>
  <c r="CP56" i="1"/>
  <c r="BR166" i="1"/>
  <c r="BQ88" i="1"/>
  <c r="BQ150" i="1"/>
  <c r="BR185" i="1"/>
  <c r="BS185" i="1"/>
  <c r="BV88" i="1"/>
  <c r="BQ166" i="1"/>
  <c r="BU185" i="1"/>
  <c r="BQ185" i="1"/>
  <c r="BV150" i="1"/>
  <c r="AJ117" i="3"/>
  <c r="AO115" i="3"/>
  <c r="CH195" i="4"/>
  <c r="CF111" i="1"/>
  <c r="CF115" i="1"/>
  <c r="CF112" i="1" s="1"/>
  <c r="CF97" i="1"/>
  <c r="CF98" i="1" s="1"/>
  <c r="CF99" i="1" s="1"/>
  <c r="CI114" i="3"/>
  <c r="J33" i="447"/>
  <c r="CI121" i="1"/>
  <c r="U110" i="1"/>
  <c r="V105" i="1"/>
  <c r="V107" i="1" s="1"/>
  <c r="U107" i="1"/>
  <c r="Q150" i="1"/>
  <c r="L88" i="1"/>
  <c r="Q88" i="1"/>
  <c r="L150" i="1"/>
  <c r="AS33" i="3"/>
  <c r="AS51" i="3" s="1"/>
  <c r="AT8" i="3"/>
  <c r="AS62" i="3"/>
  <c r="AS87" i="3" s="1"/>
  <c r="BQ97" i="1"/>
  <c r="BQ111" i="1"/>
  <c r="BQ115" i="1"/>
  <c r="BT115" i="1" s="1"/>
  <c r="BT110" i="1"/>
  <c r="L111" i="1"/>
  <c r="L112" i="1"/>
  <c r="J62" i="3"/>
  <c r="J87" i="3" s="1"/>
  <c r="J33" i="3"/>
  <c r="J51" i="3" s="1"/>
  <c r="CH111" i="1"/>
  <c r="CH97" i="1"/>
  <c r="CH98" i="1" s="1"/>
  <c r="CH99" i="1" s="1"/>
  <c r="CH115" i="1"/>
  <c r="CH112" i="1" s="1"/>
  <c r="CH113" i="1" s="1"/>
  <c r="CF150" i="1"/>
  <c r="CF88" i="1"/>
  <c r="AK117" i="3"/>
  <c r="AP115" i="3"/>
  <c r="CE175" i="1"/>
  <c r="CE149" i="1"/>
  <c r="CE87" i="1"/>
  <c r="CF166" i="1" s="1"/>
  <c r="CE165" i="1"/>
  <c r="CE89" i="1"/>
  <c r="CI84" i="1"/>
  <c r="AT207" i="4"/>
  <c r="AU87" i="1"/>
  <c r="AU92" i="1"/>
  <c r="AU93" i="1" s="1"/>
  <c r="AU175" i="1"/>
  <c r="AU149" i="1"/>
  <c r="AT97" i="1"/>
  <c r="AT111" i="1"/>
  <c r="AT112" i="1"/>
  <c r="AU110" i="1"/>
  <c r="AY88" i="1"/>
  <c r="AT166" i="1"/>
  <c r="AT185" i="1"/>
  <c r="AY150" i="1"/>
  <c r="AT88" i="1"/>
  <c r="AT150" i="1"/>
  <c r="AM118" i="3"/>
  <c r="K62" i="3"/>
  <c r="K87" i="3" s="1"/>
  <c r="L8" i="3"/>
  <c r="K33" i="3"/>
  <c r="AR99" i="1"/>
  <c r="BQ92" i="1"/>
  <c r="BQ93" i="1" s="1"/>
  <c r="CF165" i="1"/>
  <c r="H117" i="3"/>
  <c r="M118" i="3" s="1"/>
  <c r="M115" i="3"/>
  <c r="AN118" i="3"/>
  <c r="CE114" i="3"/>
  <c r="CE91" i="1"/>
  <c r="CE92" i="1" s="1"/>
  <c r="CE93" i="1" s="1"/>
  <c r="CE94" i="1" s="1"/>
  <c r="CE188" i="1"/>
  <c r="CE189" i="1" s="1"/>
  <c r="U149" i="1"/>
  <c r="W165" i="1"/>
  <c r="V84" i="1"/>
  <c r="U87" i="1"/>
  <c r="Z149" i="1"/>
  <c r="U175" i="1"/>
  <c r="U165" i="1"/>
  <c r="U89" i="1"/>
  <c r="V89" i="1" s="1"/>
  <c r="AU121" i="1"/>
  <c r="AU188" i="1"/>
  <c r="AU189" i="1" s="1"/>
  <c r="CF117" i="3"/>
  <c r="CF115" i="3"/>
  <c r="AR87" i="3"/>
  <c r="I33" i="3"/>
  <c r="I51" i="3" s="1"/>
  <c r="I62" i="3"/>
  <c r="I98" i="1"/>
  <c r="L97" i="1"/>
  <c r="L98" i="1" s="1"/>
  <c r="BT92" i="1"/>
  <c r="BT93" i="1" s="1"/>
  <c r="BT175" i="1"/>
  <c r="BT149" i="1"/>
  <c r="BS207" i="4"/>
  <c r="BT87" i="1"/>
  <c r="BY149" i="1"/>
  <c r="CH91" i="1"/>
  <c r="CH92" i="1" s="1"/>
  <c r="CH93" i="1" s="1"/>
  <c r="CH94" i="1" s="1"/>
  <c r="CH114" i="3"/>
  <c r="CH188" i="1"/>
  <c r="CH189" i="1" s="1"/>
  <c r="CI188" i="1"/>
  <c r="CI189" i="1" s="1"/>
  <c r="V188" i="1"/>
  <c r="V189" i="1" s="1"/>
  <c r="CE108" i="4"/>
  <c r="CE109" i="4" s="1"/>
  <c r="CF105" i="4"/>
  <c r="BZ81" i="4"/>
  <c r="CD109" i="4"/>
  <c r="CB79" i="4"/>
  <c r="CA80" i="4"/>
  <c r="CT102" i="3"/>
  <c r="CU48" i="3"/>
  <c r="CO68" i="2"/>
  <c r="CM70" i="2"/>
  <c r="CN68" i="2"/>
  <c r="CQ102" i="3"/>
  <c r="CR48" i="3"/>
  <c r="CU83" i="3"/>
  <c r="CV29" i="3"/>
  <c r="CN117" i="1"/>
  <c r="K75" i="447"/>
  <c r="CO116" i="1"/>
  <c r="CO119" i="1"/>
  <c r="CV28" i="3"/>
  <c r="CU82" i="3"/>
  <c r="CK81" i="2"/>
  <c r="CK85" i="2" s="1"/>
  <c r="CS28" i="3"/>
  <c r="CR82" i="3"/>
  <c r="CS82" i="3" s="1"/>
  <c r="CP101" i="3"/>
  <c r="CQ47" i="3"/>
  <c r="CQ193" i="1"/>
  <c r="CR29" i="2"/>
  <c r="CP212" i="4"/>
  <c r="CW37" i="3"/>
  <c r="CV91" i="3"/>
  <c r="CX14" i="3"/>
  <c r="CW68" i="3"/>
  <c r="CX68" i="3" s="1"/>
  <c r="CP118" i="1"/>
  <c r="CQ63" i="2"/>
  <c r="CP61" i="2"/>
  <c r="CP68" i="2" s="1"/>
  <c r="CP70" i="2" s="1"/>
  <c r="CP83" i="2" s="1"/>
  <c r="CQ59" i="2"/>
  <c r="CR83" i="3"/>
  <c r="CS83" i="3" s="1"/>
  <c r="CS29" i="3"/>
  <c r="CF67" i="4"/>
  <c r="CO86" i="4"/>
  <c r="CP86" i="4" s="1"/>
  <c r="CQ86" i="4" s="1"/>
  <c r="CS86" i="4" s="1"/>
  <c r="CC155" i="4"/>
  <c r="CC183" i="4"/>
  <c r="CC166" i="4"/>
  <c r="CF94" i="4"/>
  <c r="BS176" i="4"/>
  <c r="BX174" i="4"/>
  <c r="CM86" i="4"/>
  <c r="AF257" i="310"/>
  <c r="AF258" i="310" s="1"/>
  <c r="AF275" i="310"/>
  <c r="AF276" i="310" s="1"/>
  <c r="BB214" i="310"/>
  <c r="BE80" i="310"/>
  <c r="BD198" i="310"/>
  <c r="BD199" i="310" s="1"/>
  <c r="BG157" i="310"/>
  <c r="BF192" i="310"/>
  <c r="BF198" i="310" s="1"/>
  <c r="BF159" i="310"/>
  <c r="BF182" i="310"/>
  <c r="BF185" i="310" s="1"/>
  <c r="BF186" i="310" s="1"/>
  <c r="BD184" i="310"/>
  <c r="BD174" i="310"/>
  <c r="BD185" i="310"/>
  <c r="BD186" i="310" s="1"/>
  <c r="BF163" i="310"/>
  <c r="BM261" i="310"/>
  <c r="BH260" i="310"/>
  <c r="BH278" i="310" s="1"/>
  <c r="BH279" i="310" s="1"/>
  <c r="AG226" i="310"/>
  <c r="AG257" i="310"/>
  <c r="AG275" i="310" s="1"/>
  <c r="AH225" i="310"/>
  <c r="BE193" i="310"/>
  <c r="BQ153" i="310"/>
  <c r="BP189" i="310"/>
  <c r="BP155" i="310"/>
  <c r="BA231" i="310"/>
  <c r="BF229" i="310"/>
  <c r="BA260" i="310"/>
  <c r="BA278" i="310" s="1"/>
  <c r="BA279" i="310" s="1"/>
  <c r="BC176" i="310"/>
  <c r="BC207" i="310"/>
  <c r="BC213" i="310" s="1"/>
  <c r="BC214" i="310" s="1"/>
  <c r="BC175" i="310"/>
  <c r="BA217" i="310"/>
  <c r="BA76" i="310"/>
  <c r="BA77" i="310" s="1"/>
  <c r="AW279" i="310"/>
  <c r="E39" i="447"/>
  <c r="H11" i="447"/>
  <c r="G13" i="447"/>
  <c r="BD261" i="310"/>
  <c r="AY260" i="310"/>
  <c r="AY278" i="310" s="1"/>
  <c r="AY279" i="310" s="1"/>
  <c r="AF242" i="310"/>
  <c r="AF249" i="310"/>
  <c r="AF250" i="310" s="1"/>
  <c r="BE199" i="310"/>
  <c r="E28" i="447"/>
  <c r="E29" i="447" s="1"/>
  <c r="CP261" i="310"/>
  <c r="AU260" i="310"/>
  <c r="AU261" i="310" s="1"/>
  <c r="AE284" i="310"/>
  <c r="AF284" i="310" s="1"/>
  <c r="AE269" i="310"/>
  <c r="AE270" i="310" s="1"/>
  <c r="AH241" i="310"/>
  <c r="AG242" i="310"/>
  <c r="AG263" i="310"/>
  <c r="AG281" i="310" s="1"/>
  <c r="AF267" i="310"/>
  <c r="AH245" i="310"/>
  <c r="AG266" i="310"/>
  <c r="AG246" i="310"/>
  <c r="AG249" i="310"/>
  <c r="AE281" i="310"/>
  <c r="AF263" i="310"/>
  <c r="F18" i="447"/>
  <c r="F14" i="447"/>
  <c r="BC231" i="310"/>
  <c r="BG229" i="310"/>
  <c r="BB260" i="310"/>
  <c r="BB278" i="310" s="1"/>
  <c r="BE229" i="310"/>
  <c r="BE230" i="310" s="1"/>
  <c r="BB231" i="310"/>
  <c r="BN110" i="310"/>
  <c r="BP108" i="310"/>
  <c r="BN132" i="310"/>
  <c r="BO132" i="310" s="1"/>
  <c r="BO133" i="310" s="1"/>
  <c r="AD285" i="310"/>
  <c r="AD287" i="310"/>
  <c r="AD288" i="310" s="1"/>
  <c r="AR279" i="310"/>
  <c r="AU278" i="310"/>
  <c r="AU279" i="310" s="1"/>
  <c r="AE251" i="310"/>
  <c r="AE250" i="310"/>
  <c r="BK144" i="310"/>
  <c r="BK147" i="310"/>
  <c r="BK145" i="310"/>
  <c r="BK117" i="310"/>
  <c r="BK148" i="310"/>
  <c r="BK146" i="310"/>
  <c r="BK143" i="310"/>
  <c r="BK116" i="310"/>
  <c r="BM94" i="310"/>
  <c r="BL115" i="310"/>
  <c r="BL144" i="310" s="1"/>
  <c r="BL96" i="310"/>
  <c r="BL123" i="310"/>
  <c r="BJ139" i="310"/>
  <c r="BK139" i="310"/>
  <c r="BR126" i="310"/>
  <c r="BR100" i="310"/>
  <c r="BS98" i="310"/>
  <c r="BT98" i="310" s="1"/>
  <c r="BT100" i="310" s="1"/>
  <c r="BH160" i="310"/>
  <c r="BG162" i="310"/>
  <c r="BG195" i="310"/>
  <c r="BH171" i="310"/>
  <c r="BG173" i="310"/>
  <c r="BG204" i="310"/>
  <c r="BR112" i="310"/>
  <c r="BQ135" i="310"/>
  <c r="BQ114" i="310"/>
  <c r="BB76" i="310"/>
  <c r="BB217" i="310"/>
  <c r="BG264" i="310"/>
  <c r="CQ10" i="310"/>
  <c r="CP11" i="310"/>
  <c r="CQ17" i="310"/>
  <c r="CP18" i="310"/>
  <c r="BX267" i="310"/>
  <c r="BI178" i="310"/>
  <c r="BJ178" i="310" s="1"/>
  <c r="BH180" i="310"/>
  <c r="BH264" i="310"/>
  <c r="CP201" i="310"/>
  <c r="CQ167" i="310"/>
  <c r="BL267" i="310"/>
  <c r="CA81" i="4" l="1"/>
  <c r="BF199" i="310"/>
  <c r="BN90" i="310"/>
  <c r="BM120" i="310"/>
  <c r="BM92" i="310"/>
  <c r="BO90" i="310"/>
  <c r="BO92" i="310" s="1"/>
  <c r="BI229" i="310"/>
  <c r="BD231" i="310"/>
  <c r="BQ112" i="1"/>
  <c r="N117" i="3"/>
  <c r="S118" i="3" s="1"/>
  <c r="S115" i="3"/>
  <c r="CF118" i="3"/>
  <c r="BQ103" i="310"/>
  <c r="BR101" i="310"/>
  <c r="BQ104" i="310"/>
  <c r="BP106" i="310"/>
  <c r="BP129" i="310"/>
  <c r="BP80" i="310" s="1"/>
  <c r="CR86" i="4"/>
  <c r="CO103" i="4"/>
  <c r="CP104" i="4"/>
  <c r="CP107" i="4" s="1"/>
  <c r="AX176" i="1"/>
  <c r="AW73" i="1"/>
  <c r="AW74" i="1" s="1"/>
  <c r="BF176" i="1"/>
  <c r="BO176" i="1"/>
  <c r="BB176" i="1"/>
  <c r="BA73" i="1"/>
  <c r="BA74" i="1" s="1"/>
  <c r="AT176" i="1"/>
  <c r="AT73" i="1" s="1"/>
  <c r="AT74" i="1" s="1"/>
  <c r="AS73" i="1"/>
  <c r="AN74" i="1"/>
  <c r="AP73" i="1"/>
  <c r="AP74" i="1" s="1"/>
  <c r="CR25" i="3"/>
  <c r="CV127" i="2"/>
  <c r="CU140" i="2"/>
  <c r="CU10" i="3" s="1"/>
  <c r="CU32" i="2"/>
  <c r="CT30" i="2"/>
  <c r="CT25" i="3" s="1"/>
  <c r="CT79" i="3" s="1"/>
  <c r="CR136" i="2"/>
  <c r="CS132" i="2"/>
  <c r="CS136" i="2" s="1"/>
  <c r="BA114" i="3"/>
  <c r="BA117" i="3" s="1"/>
  <c r="BA120" i="3"/>
  <c r="CU98" i="3"/>
  <c r="CW42" i="3"/>
  <c r="CX44" i="2"/>
  <c r="CW56" i="2"/>
  <c r="CX56" i="2" s="1"/>
  <c r="CS10" i="3"/>
  <c r="CR64" i="3"/>
  <c r="BF24" i="3"/>
  <c r="BF81" i="3"/>
  <c r="BG27" i="3"/>
  <c r="BB196" i="1"/>
  <c r="BB201" i="1" s="1"/>
  <c r="BB112" i="3"/>
  <c r="BB105" i="3"/>
  <c r="BB220" i="4"/>
  <c r="BD31" i="3"/>
  <c r="BD32" i="3"/>
  <c r="BE24" i="3"/>
  <c r="BD78" i="3"/>
  <c r="BC86" i="3"/>
  <c r="BC87" i="3" s="1"/>
  <c r="BC33" i="3"/>
  <c r="BC51" i="3" s="1"/>
  <c r="CT64" i="3"/>
  <c r="CV119" i="2"/>
  <c r="CV79" i="1" s="1"/>
  <c r="CW117" i="2"/>
  <c r="CV37" i="2"/>
  <c r="CV44" i="3" s="1"/>
  <c r="CF113" i="1"/>
  <c r="BF99" i="1"/>
  <c r="Z62" i="3"/>
  <c r="Z87" i="3" s="1"/>
  <c r="AB186" i="1" s="1"/>
  <c r="AA8" i="3"/>
  <c r="Z33" i="3"/>
  <c r="BO113" i="1"/>
  <c r="BJ113" i="1"/>
  <c r="G97" i="1"/>
  <c r="G98" i="1" s="1"/>
  <c r="F98" i="1"/>
  <c r="K99" i="1" s="1"/>
  <c r="BF113" i="1"/>
  <c r="T120" i="3"/>
  <c r="T114" i="3"/>
  <c r="AB114" i="3"/>
  <c r="AB120" i="3"/>
  <c r="CX67" i="3"/>
  <c r="CD150" i="1"/>
  <c r="CD88" i="1"/>
  <c r="AW111" i="1"/>
  <c r="AW115" i="1"/>
  <c r="AW112" i="1" s="1"/>
  <c r="AW97" i="1"/>
  <c r="AW98" i="1" s="1"/>
  <c r="AD62" i="3"/>
  <c r="AD87" i="3" s="1"/>
  <c r="AD33" i="3"/>
  <c r="AD51" i="3" s="1"/>
  <c r="AE8" i="3"/>
  <c r="Y105" i="3"/>
  <c r="Y196" i="1"/>
  <c r="Y201" i="1" s="1"/>
  <c r="Y112" i="3"/>
  <c r="AV8" i="3"/>
  <c r="AZ110" i="1"/>
  <c r="AV111" i="1"/>
  <c r="AV97" i="1"/>
  <c r="AV115" i="1"/>
  <c r="CG107" i="1"/>
  <c r="CL107" i="1" s="1"/>
  <c r="CG110" i="1"/>
  <c r="CI110" i="1" s="1"/>
  <c r="W114" i="3"/>
  <c r="W120" i="3"/>
  <c r="BJ99" i="1"/>
  <c r="BO99" i="1"/>
  <c r="AK99" i="1"/>
  <c r="AF99" i="1"/>
  <c r="CH165" i="1"/>
  <c r="CG149" i="1"/>
  <c r="CG87" i="1"/>
  <c r="CG175" i="1"/>
  <c r="CG165" i="1"/>
  <c r="CG89" i="1"/>
  <c r="O114" i="3"/>
  <c r="O117" i="3" s="1"/>
  <c r="O120" i="3"/>
  <c r="BB150" i="1"/>
  <c r="AW88" i="1"/>
  <c r="AW150" i="1"/>
  <c r="BB88" i="1"/>
  <c r="BA185" i="1"/>
  <c r="AK113" i="1"/>
  <c r="AF113" i="1"/>
  <c r="Y54" i="3"/>
  <c r="Y55" i="3"/>
  <c r="BC88" i="1"/>
  <c r="AX150" i="1"/>
  <c r="AY166" i="1"/>
  <c r="AX88" i="1"/>
  <c r="BB185" i="1"/>
  <c r="AX166" i="1"/>
  <c r="BC150" i="1"/>
  <c r="CU197" i="4"/>
  <c r="CV198" i="1"/>
  <c r="F62" i="3"/>
  <c r="G8" i="3"/>
  <c r="F33" i="3"/>
  <c r="G111" i="1"/>
  <c r="G112" i="1"/>
  <c r="AS99" i="1"/>
  <c r="AX99" i="1"/>
  <c r="BG99" i="1"/>
  <c r="BL99" i="1"/>
  <c r="AD99" i="1"/>
  <c r="AI99" i="1"/>
  <c r="CG188" i="1"/>
  <c r="CG189" i="1" s="1"/>
  <c r="CG91" i="1"/>
  <c r="CG92" i="1" s="1"/>
  <c r="CG93" i="1" s="1"/>
  <c r="CG94" i="1" s="1"/>
  <c r="CG114" i="3"/>
  <c r="CD115" i="1"/>
  <c r="AC87" i="3"/>
  <c r="X120" i="3"/>
  <c r="X114" i="3"/>
  <c r="AS185" i="1"/>
  <c r="AS150" i="1"/>
  <c r="AS166" i="1"/>
  <c r="AS88" i="1"/>
  <c r="CI89" i="1"/>
  <c r="Q120" i="3"/>
  <c r="Q114" i="3"/>
  <c r="Q117" i="3" s="1"/>
  <c r="AX94" i="1"/>
  <c r="BC94" i="1"/>
  <c r="F112" i="1"/>
  <c r="K113" i="1" s="1"/>
  <c r="AD113" i="1"/>
  <c r="AI113" i="1"/>
  <c r="AS113" i="1"/>
  <c r="AX113" i="1"/>
  <c r="W107" i="3"/>
  <c r="AV89" i="1"/>
  <c r="AZ89" i="1" s="1"/>
  <c r="BA149" i="1"/>
  <c r="AV175" i="1"/>
  <c r="AV92" i="1"/>
  <c r="AV93" i="1" s="1"/>
  <c r="AV87" i="1"/>
  <c r="AV149" i="1"/>
  <c r="AZ84" i="1"/>
  <c r="AV165" i="1"/>
  <c r="AA62" i="3"/>
  <c r="AA87" i="3" s="1"/>
  <c r="CD97" i="1"/>
  <c r="CD98" i="1" s="1"/>
  <c r="CD99" i="1" s="1"/>
  <c r="AW94" i="1"/>
  <c r="BB94" i="1"/>
  <c r="AW165" i="1"/>
  <c r="CC55" i="3"/>
  <c r="CE52" i="3"/>
  <c r="CD53" i="3"/>
  <c r="CM45" i="2"/>
  <c r="CN45" i="2" s="1"/>
  <c r="CS73" i="2" s="1"/>
  <c r="CS79" i="2" s="1"/>
  <c r="CO73" i="2"/>
  <c r="CO79" i="2" s="1"/>
  <c r="BT88" i="1"/>
  <c r="BT150" i="1"/>
  <c r="BY150" i="1"/>
  <c r="BY88" i="1"/>
  <c r="X185" i="1"/>
  <c r="U150" i="1"/>
  <c r="W185" i="1"/>
  <c r="U166" i="1"/>
  <c r="U185" i="1"/>
  <c r="W166" i="1"/>
  <c r="U88" i="1"/>
  <c r="Y185" i="1"/>
  <c r="Z88" i="1"/>
  <c r="Z150" i="1"/>
  <c r="BQ113" i="1"/>
  <c r="BV113" i="1"/>
  <c r="N99" i="1"/>
  <c r="I99" i="1"/>
  <c r="AT113" i="1"/>
  <c r="AY113" i="1"/>
  <c r="AU94" i="1"/>
  <c r="J112" i="3"/>
  <c r="N186" i="1"/>
  <c r="J105" i="3"/>
  <c r="J196" i="1"/>
  <c r="J201" i="1" s="1"/>
  <c r="BT111" i="1"/>
  <c r="BT112" i="1"/>
  <c r="BQ98" i="1"/>
  <c r="BT97" i="1"/>
  <c r="BT98" i="1" s="1"/>
  <c r="CQ56" i="1"/>
  <c r="CR57" i="1"/>
  <c r="CS57" i="1" s="1"/>
  <c r="BT94" i="1"/>
  <c r="BY94" i="1"/>
  <c r="I87" i="3"/>
  <c r="L62" i="3"/>
  <c r="L87" i="3" s="1"/>
  <c r="K51" i="3"/>
  <c r="L33" i="3"/>
  <c r="AU150" i="1"/>
  <c r="AU88" i="1"/>
  <c r="L113" i="1"/>
  <c r="Q113" i="1"/>
  <c r="AS196" i="1"/>
  <c r="AS201" i="1" s="1"/>
  <c r="AS105" i="3"/>
  <c r="AS112" i="3"/>
  <c r="J42" i="447"/>
  <c r="CI117" i="3"/>
  <c r="CI118" i="3" s="1"/>
  <c r="CI115" i="3"/>
  <c r="I113" i="1"/>
  <c r="N113" i="1"/>
  <c r="CH117" i="3"/>
  <c r="CH118" i="3" s="1"/>
  <c r="CH115" i="3"/>
  <c r="V87" i="1"/>
  <c r="V149" i="1"/>
  <c r="U207" i="4"/>
  <c r="V175" i="1"/>
  <c r="AA149" i="1"/>
  <c r="CI91" i="1"/>
  <c r="BQ94" i="1"/>
  <c r="BV94" i="1"/>
  <c r="AT98" i="1"/>
  <c r="AU97" i="1"/>
  <c r="AU98" i="1" s="1"/>
  <c r="CE166" i="1"/>
  <c r="CE185" i="1"/>
  <c r="CE88" i="1"/>
  <c r="CF185" i="1"/>
  <c r="CE150" i="1"/>
  <c r="AT62" i="3"/>
  <c r="AT87" i="3" s="1"/>
  <c r="AT186" i="1" s="1"/>
  <c r="AU8" i="3"/>
  <c r="AU33" i="3" s="1"/>
  <c r="AT33" i="3"/>
  <c r="AT51" i="3" s="1"/>
  <c r="AU51" i="3" s="1"/>
  <c r="U115" i="1"/>
  <c r="V115" i="1" s="1"/>
  <c r="U97" i="1"/>
  <c r="V110" i="1"/>
  <c r="U111" i="1"/>
  <c r="U8" i="3"/>
  <c r="AO118" i="3"/>
  <c r="AT94" i="1"/>
  <c r="AY94" i="1"/>
  <c r="L99" i="1"/>
  <c r="Q99" i="1"/>
  <c r="AR105" i="3"/>
  <c r="AR186" i="1"/>
  <c r="AR196" i="1"/>
  <c r="AR201" i="1" s="1"/>
  <c r="AR112" i="3"/>
  <c r="AS186" i="1"/>
  <c r="CE117" i="3"/>
  <c r="CE118" i="3" s="1"/>
  <c r="CE115" i="3"/>
  <c r="K105" i="3"/>
  <c r="K196" i="1"/>
  <c r="K201" i="1" s="1"/>
  <c r="O186" i="1"/>
  <c r="K112" i="3"/>
  <c r="AU111" i="1"/>
  <c r="AU112" i="1"/>
  <c r="CI149" i="1"/>
  <c r="CI175" i="1"/>
  <c r="CI92" i="1"/>
  <c r="CI93" i="1" s="1"/>
  <c r="CI94" i="1" s="1"/>
  <c r="CI87" i="1"/>
  <c r="CH207" i="4"/>
  <c r="AP118" i="3"/>
  <c r="CE115" i="1"/>
  <c r="CE97" i="1"/>
  <c r="CE112" i="1"/>
  <c r="CE113" i="1" s="1"/>
  <c r="CE111" i="1"/>
  <c r="CB80" i="4"/>
  <c r="CB81" i="4" s="1"/>
  <c r="CD79" i="4"/>
  <c r="CF108" i="4"/>
  <c r="CG105" i="4"/>
  <c r="CQ61" i="2"/>
  <c r="CQ68" i="2" s="1"/>
  <c r="CQ70" i="2" s="1"/>
  <c r="CQ83" i="2" s="1"/>
  <c r="CR63" i="2"/>
  <c r="CR59" i="2"/>
  <c r="CQ118" i="1"/>
  <c r="CQ116" i="1" s="1"/>
  <c r="CQ114" i="1" s="1"/>
  <c r="CX37" i="3"/>
  <c r="CW91" i="3"/>
  <c r="CX91" i="3" s="1"/>
  <c r="CO70" i="2"/>
  <c r="CP119" i="1"/>
  <c r="CR47" i="3"/>
  <c r="CQ101" i="3"/>
  <c r="CP116" i="1"/>
  <c r="CP114" i="1" s="1"/>
  <c r="CM83" i="2"/>
  <c r="CN70" i="2"/>
  <c r="CN69" i="2" s="1"/>
  <c r="CU102" i="3"/>
  <c r="CV48" i="3"/>
  <c r="CQ212" i="4"/>
  <c r="CT29" i="2"/>
  <c r="CR193" i="1"/>
  <c r="CS29" i="2"/>
  <c r="CR212" i="4" s="1"/>
  <c r="CO114" i="1"/>
  <c r="CV83" i="3"/>
  <c r="CW29" i="3"/>
  <c r="CS48" i="3"/>
  <c r="CR102" i="3"/>
  <c r="CK47" i="2"/>
  <c r="CK57" i="2" s="1"/>
  <c r="CL81" i="2"/>
  <c r="CL85" i="2" s="1"/>
  <c r="CV82" i="3"/>
  <c r="CW28" i="3"/>
  <c r="K37" i="447"/>
  <c r="K76" i="447"/>
  <c r="K74" i="447"/>
  <c r="CS102" i="3"/>
  <c r="BC216" i="310"/>
  <c r="BC217" i="310" s="1"/>
  <c r="CC182" i="4"/>
  <c r="CC164" i="4"/>
  <c r="CC163" i="4"/>
  <c r="CC156" i="4"/>
  <c r="CT86" i="4"/>
  <c r="CU86" i="4" s="1"/>
  <c r="CV86" i="4" s="1"/>
  <c r="BX176" i="4"/>
  <c r="CG94" i="4"/>
  <c r="CG67" i="4"/>
  <c r="AG276" i="310"/>
  <c r="BM260" i="310"/>
  <c r="BM278" i="310" s="1"/>
  <c r="BM279" i="310" s="1"/>
  <c r="BR261" i="310"/>
  <c r="AZ260" i="310"/>
  <c r="AZ261" i="310" s="1"/>
  <c r="BF165" i="310"/>
  <c r="BF164" i="310"/>
  <c r="BK164" i="310" s="1"/>
  <c r="BP164" i="310" s="1"/>
  <c r="BU164" i="310" s="1"/>
  <c r="BZ164" i="310" s="1"/>
  <c r="CE164" i="310" s="1"/>
  <c r="CJ164" i="310" s="1"/>
  <c r="CO164" i="310" s="1"/>
  <c r="CT164" i="310" s="1"/>
  <c r="BG182" i="310"/>
  <c r="BG185" i="310" s="1"/>
  <c r="BG186" i="310" s="1"/>
  <c r="BF184" i="310"/>
  <c r="BF174" i="310"/>
  <c r="BG192" i="310"/>
  <c r="BG198" i="310" s="1"/>
  <c r="BH157" i="310"/>
  <c r="BG159" i="310"/>
  <c r="BG163" i="310"/>
  <c r="BK229" i="310"/>
  <c r="BF260" i="310"/>
  <c r="BF278" i="310" s="1"/>
  <c r="BF279" i="310" s="1"/>
  <c r="BF231" i="310"/>
  <c r="BQ189" i="310"/>
  <c r="BR153" i="310"/>
  <c r="BQ155" i="310"/>
  <c r="AH226" i="310"/>
  <c r="AH257" i="310"/>
  <c r="AH275" i="310" s="1"/>
  <c r="AH276" i="310" s="1"/>
  <c r="AI225" i="310"/>
  <c r="BE174" i="310"/>
  <c r="BD207" i="310"/>
  <c r="BD175" i="310"/>
  <c r="BD176" i="310"/>
  <c r="BB279" i="310"/>
  <c r="AG250" i="310"/>
  <c r="AG251" i="310"/>
  <c r="AI245" i="310"/>
  <c r="AH246" i="310"/>
  <c r="AH266" i="310"/>
  <c r="AH249" i="310"/>
  <c r="AI241" i="310"/>
  <c r="AH242" i="310"/>
  <c r="AH263" i="310"/>
  <c r="AH281" i="310" s="1"/>
  <c r="AH282" i="310" s="1"/>
  <c r="AF285" i="310"/>
  <c r="BP132" i="310"/>
  <c r="BQ108" i="310"/>
  <c r="BP110" i="310"/>
  <c r="AG282" i="310"/>
  <c r="CU261" i="310"/>
  <c r="BI261" i="310"/>
  <c r="BD260" i="310"/>
  <c r="BD278" i="310" s="1"/>
  <c r="BD279" i="310" s="1"/>
  <c r="G14" i="447"/>
  <c r="G18" i="447"/>
  <c r="F19" i="447"/>
  <c r="F21" i="447"/>
  <c r="F25" i="447"/>
  <c r="AF264" i="310"/>
  <c r="AF80" i="310"/>
  <c r="AF269" i="310"/>
  <c r="AF270" i="310" s="1"/>
  <c r="AE285" i="310"/>
  <c r="AE287" i="310"/>
  <c r="AE288" i="310" s="1"/>
  <c r="H13" i="447"/>
  <c r="I11" i="447"/>
  <c r="AZ278" i="310"/>
  <c r="AZ279" i="310" s="1"/>
  <c r="BL229" i="310"/>
  <c r="BH231" i="310"/>
  <c r="BG260" i="310"/>
  <c r="BG278" i="310" s="1"/>
  <c r="BG231" i="310"/>
  <c r="BJ229" i="310"/>
  <c r="BJ230" i="310" s="1"/>
  <c r="AE282" i="310"/>
  <c r="AF281" i="310"/>
  <c r="AF282" i="310" s="1"/>
  <c r="AG284" i="310"/>
  <c r="AG269" i="310"/>
  <c r="AG270" i="310" s="1"/>
  <c r="BL145" i="310"/>
  <c r="BL148" i="310"/>
  <c r="BL146" i="310"/>
  <c r="BL147" i="310"/>
  <c r="BL117" i="310"/>
  <c r="BL116" i="310"/>
  <c r="BL143" i="310"/>
  <c r="BL138" i="310"/>
  <c r="BM115" i="310"/>
  <c r="BM144" i="310" s="1"/>
  <c r="BM96" i="310"/>
  <c r="BM123" i="310"/>
  <c r="BM138" i="310" s="1"/>
  <c r="BN94" i="310"/>
  <c r="BO94" i="310" s="1"/>
  <c r="BO96" i="310" s="1"/>
  <c r="BR135" i="310"/>
  <c r="BS112" i="310"/>
  <c r="BT112" i="310" s="1"/>
  <c r="BR114" i="310"/>
  <c r="BB77" i="310"/>
  <c r="BI171" i="310"/>
  <c r="BH173" i="310"/>
  <c r="BH204" i="310"/>
  <c r="BI160" i="310"/>
  <c r="BH162" i="310"/>
  <c r="BH195" i="310"/>
  <c r="BS100" i="310"/>
  <c r="BU98" i="310"/>
  <c r="BS126" i="310"/>
  <c r="BT126" i="310" s="1"/>
  <c r="BT127" i="310" s="1"/>
  <c r="BJ180" i="310"/>
  <c r="BK178" i="310"/>
  <c r="BI180" i="310"/>
  <c r="CC267" i="310"/>
  <c r="BQ267" i="310"/>
  <c r="BM264" i="310"/>
  <c r="CR17" i="310"/>
  <c r="CQ18" i="310"/>
  <c r="CQ201" i="310"/>
  <c r="CR167" i="310"/>
  <c r="CS167" i="310" s="1"/>
  <c r="CR10" i="310"/>
  <c r="CQ11" i="310"/>
  <c r="BL264" i="310"/>
  <c r="AZ115" i="1" l="1"/>
  <c r="AZ112" i="1" s="1"/>
  <c r="AV112" i="1"/>
  <c r="AV113" i="1" s="1"/>
  <c r="Z186" i="1"/>
  <c r="BC76" i="310"/>
  <c r="BC77" i="310" s="1"/>
  <c r="BN92" i="310"/>
  <c r="BP90" i="310"/>
  <c r="BN120" i="310"/>
  <c r="BO120" i="310" s="1"/>
  <c r="BO121" i="310" s="1"/>
  <c r="BI231" i="310"/>
  <c r="BN229" i="310"/>
  <c r="BQ129" i="310"/>
  <c r="BQ106" i="310"/>
  <c r="BR103" i="310"/>
  <c r="BR104" i="310"/>
  <c r="BS101" i="310"/>
  <c r="CP103" i="4"/>
  <c r="CQ104" i="4"/>
  <c r="CQ107" i="4" s="1"/>
  <c r="BB73" i="1"/>
  <c r="BB74" i="1" s="1"/>
  <c r="BC176" i="1"/>
  <c r="BT176" i="1"/>
  <c r="BK176" i="1"/>
  <c r="BF73" i="1"/>
  <c r="BF74" i="1" s="1"/>
  <c r="BG176" i="1"/>
  <c r="AS74" i="1"/>
  <c r="AU73" i="1"/>
  <c r="AU74" i="1" s="1"/>
  <c r="AY176" i="1"/>
  <c r="AY73" i="1" s="1"/>
  <c r="AY74" i="1" s="1"/>
  <c r="AX73" i="1"/>
  <c r="CU64" i="3"/>
  <c r="CV98" i="3"/>
  <c r="BC220" i="4"/>
  <c r="BD85" i="3"/>
  <c r="BG81" i="3"/>
  <c r="BG24" i="3"/>
  <c r="BH27" i="3"/>
  <c r="CW119" i="2"/>
  <c r="CW79" i="1" s="1"/>
  <c r="CW37" i="2"/>
  <c r="CX37" i="2" s="1"/>
  <c r="BE32" i="3"/>
  <c r="BE33" i="3" s="1"/>
  <c r="BE31" i="3"/>
  <c r="BE78" i="3"/>
  <c r="BB120" i="3"/>
  <c r="BB114" i="3"/>
  <c r="BB117" i="3" s="1"/>
  <c r="CT132" i="2"/>
  <c r="CT136" i="2" s="1"/>
  <c r="CR19" i="2"/>
  <c r="CS19" i="2" s="1"/>
  <c r="CV140" i="2"/>
  <c r="CW127" i="2"/>
  <c r="CW140" i="2" s="1"/>
  <c r="CT197" i="1"/>
  <c r="CS218" i="4"/>
  <c r="CX79" i="1"/>
  <c r="BD33" i="3"/>
  <c r="BD51" i="3" s="1"/>
  <c r="BE51" i="3" s="1"/>
  <c r="BD86" i="3"/>
  <c r="BF31" i="3"/>
  <c r="BF78" i="3"/>
  <c r="BF32" i="3"/>
  <c r="BF33" i="3" s="1"/>
  <c r="BF51" i="3" s="1"/>
  <c r="BC196" i="1"/>
  <c r="BC201" i="1" s="1"/>
  <c r="BC105" i="3"/>
  <c r="BC112" i="3"/>
  <c r="CQ218" i="4"/>
  <c r="CR197" i="1"/>
  <c r="CS64" i="3"/>
  <c r="CX42" i="3"/>
  <c r="CW96" i="3"/>
  <c r="CX96" i="3" s="1"/>
  <c r="CV32" i="2"/>
  <c r="CU30" i="2"/>
  <c r="CU25" i="3" s="1"/>
  <c r="CU79" i="3" s="1"/>
  <c r="CS25" i="3"/>
  <c r="CR79" i="3"/>
  <c r="CS79" i="3" s="1"/>
  <c r="F51" i="3"/>
  <c r="G33" i="3"/>
  <c r="W117" i="3"/>
  <c r="W118" i="3" s="1"/>
  <c r="W115" i="3"/>
  <c r="AZ111" i="1"/>
  <c r="AF8" i="3"/>
  <c r="AF33" i="3" s="1"/>
  <c r="AE62" i="3"/>
  <c r="AE87" i="3" s="1"/>
  <c r="AE33" i="3"/>
  <c r="AE51" i="3" s="1"/>
  <c r="AF51" i="3" s="1"/>
  <c r="BB113" i="1"/>
  <c r="AW113" i="1"/>
  <c r="AB117" i="3"/>
  <c r="AB115" i="3"/>
  <c r="AG115" i="3"/>
  <c r="U112" i="1"/>
  <c r="U113" i="1" s="1"/>
  <c r="AA112" i="3"/>
  <c r="AA196" i="1"/>
  <c r="AA201" i="1" s="1"/>
  <c r="BA88" i="1"/>
  <c r="BA150" i="1"/>
  <c r="AV88" i="1"/>
  <c r="AV150" i="1"/>
  <c r="AY185" i="1"/>
  <c r="AV185" i="1"/>
  <c r="AW185" i="1"/>
  <c r="AX185" i="1"/>
  <c r="AV166" i="1"/>
  <c r="AC112" i="3"/>
  <c r="AC105" i="3"/>
  <c r="AC196" i="1"/>
  <c r="AC201" i="1" s="1"/>
  <c r="AE186" i="1"/>
  <c r="AV62" i="3"/>
  <c r="AW8" i="3"/>
  <c r="AV33" i="3"/>
  <c r="AV51" i="3" s="1"/>
  <c r="AC186" i="1"/>
  <c r="T115" i="3"/>
  <c r="T117" i="3"/>
  <c r="T118" i="3" s="1"/>
  <c r="Z51" i="3"/>
  <c r="AA33" i="3"/>
  <c r="AV94" i="1"/>
  <c r="BA94" i="1"/>
  <c r="X117" i="3"/>
  <c r="X118" i="3" s="1"/>
  <c r="X115" i="3"/>
  <c r="CD112" i="1"/>
  <c r="CD113" i="1" s="1"/>
  <c r="F87" i="3"/>
  <c r="G62" i="3"/>
  <c r="G87" i="3" s="1"/>
  <c r="AW166" i="1"/>
  <c r="CG97" i="1"/>
  <c r="CG98" i="1" s="1"/>
  <c r="CG99" i="1" s="1"/>
  <c r="CG115" i="1"/>
  <c r="CG112" i="1" s="1"/>
  <c r="CG113" i="1" s="1"/>
  <c r="CG111" i="1"/>
  <c r="AZ97" i="1"/>
  <c r="AZ98" i="1" s="1"/>
  <c r="BE99" i="1" s="1"/>
  <c r="AV98" i="1"/>
  <c r="AD105" i="3"/>
  <c r="AD112" i="3"/>
  <c r="AD196" i="1"/>
  <c r="AD201" i="1" s="1"/>
  <c r="BE149" i="1"/>
  <c r="AY207" i="4"/>
  <c r="AZ175" i="1"/>
  <c r="AZ92" i="1"/>
  <c r="AZ93" i="1" s="1"/>
  <c r="AZ87" i="1"/>
  <c r="AZ149" i="1"/>
  <c r="X106" i="3"/>
  <c r="X107" i="3" s="1"/>
  <c r="W108" i="3"/>
  <c r="CG117" i="3"/>
  <c r="CG118" i="3" s="1"/>
  <c r="CG115" i="3"/>
  <c r="CH166" i="1"/>
  <c r="CG88" i="1"/>
  <c r="CG185" i="1"/>
  <c r="CG150" i="1"/>
  <c r="CH185" i="1"/>
  <c r="CG166" i="1"/>
  <c r="Y120" i="3"/>
  <c r="Y114" i="3"/>
  <c r="BB99" i="1"/>
  <c r="AW99" i="1"/>
  <c r="BA113" i="1"/>
  <c r="Z105" i="3"/>
  <c r="AA105" i="3" s="1"/>
  <c r="AA107" i="3" s="1"/>
  <c r="Z112" i="3"/>
  <c r="Z196" i="1"/>
  <c r="Z201" i="1" s="1"/>
  <c r="AD186" i="1"/>
  <c r="CP73" i="2"/>
  <c r="CP79" i="2" s="1"/>
  <c r="CO45" i="2"/>
  <c r="CF52" i="3"/>
  <c r="CE53" i="3"/>
  <c r="CE55" i="3" s="1"/>
  <c r="CE106" i="3"/>
  <c r="CI150" i="1"/>
  <c r="CI88" i="1"/>
  <c r="V112" i="1"/>
  <c r="V111" i="1"/>
  <c r="AT99" i="1"/>
  <c r="AY99" i="1"/>
  <c r="V88" i="1"/>
  <c r="AA88" i="1"/>
  <c r="AA150" i="1"/>
  <c r="V150" i="1"/>
  <c r="I196" i="1"/>
  <c r="I201" i="1" s="1"/>
  <c r="M186" i="1"/>
  <c r="I105" i="3"/>
  <c r="I112" i="3"/>
  <c r="K186" i="1"/>
  <c r="CT57" i="1"/>
  <c r="CR56" i="1"/>
  <c r="CS56" i="1" s="1"/>
  <c r="BT113" i="1"/>
  <c r="BY113" i="1"/>
  <c r="AU113" i="1"/>
  <c r="U98" i="1"/>
  <c r="V97" i="1"/>
  <c r="V98" i="1" s="1"/>
  <c r="AU62" i="3"/>
  <c r="AU87" i="3" s="1"/>
  <c r="J114" i="3"/>
  <c r="J120" i="3"/>
  <c r="CE98" i="1"/>
  <c r="CE99" i="1" s="1"/>
  <c r="U33" i="3"/>
  <c r="V8" i="3"/>
  <c r="U62" i="3"/>
  <c r="Z113" i="1"/>
  <c r="AT196" i="1"/>
  <c r="AT201" i="1" s="1"/>
  <c r="AT105" i="3"/>
  <c r="AU105" i="3" s="1"/>
  <c r="AT112" i="3"/>
  <c r="L51" i="3"/>
  <c r="BT99" i="1"/>
  <c r="BY99" i="1"/>
  <c r="CI111" i="1"/>
  <c r="K120" i="3"/>
  <c r="K114" i="3"/>
  <c r="AR114" i="3"/>
  <c r="AR120" i="3"/>
  <c r="AU99" i="1"/>
  <c r="AZ99" i="1"/>
  <c r="AS120" i="3"/>
  <c r="AS114" i="3"/>
  <c r="L112" i="3"/>
  <c r="L196" i="1"/>
  <c r="L201" i="1" s="1"/>
  <c r="BQ99" i="1"/>
  <c r="BV99" i="1"/>
  <c r="CF109" i="4"/>
  <c r="CG108" i="4"/>
  <c r="CG109" i="4" s="1"/>
  <c r="CI105" i="4"/>
  <c r="CI108" i="4" s="1"/>
  <c r="CI109" i="4" s="1"/>
  <c r="CH105" i="4"/>
  <c r="CD80" i="4"/>
  <c r="CD81" i="4" s="1"/>
  <c r="CE79" i="4"/>
  <c r="CW83" i="3"/>
  <c r="CX83" i="3" s="1"/>
  <c r="CX29" i="3"/>
  <c r="CQ119" i="1"/>
  <c r="CM81" i="2"/>
  <c r="CM85" i="2" s="1"/>
  <c r="CL47" i="2"/>
  <c r="CL57" i="2" s="1"/>
  <c r="CS212" i="4"/>
  <c r="CU29" i="2"/>
  <c r="CT47" i="3"/>
  <c r="CT193" i="1"/>
  <c r="CV102" i="3"/>
  <c r="CW48" i="3"/>
  <c r="CS47" i="3"/>
  <c r="CR101" i="3"/>
  <c r="CS101" i="3" s="1"/>
  <c r="CS63" i="2"/>
  <c r="CT63" i="2" s="1"/>
  <c r="CR118" i="1"/>
  <c r="CR116" i="1" s="1"/>
  <c r="CR61" i="2"/>
  <c r="CT59" i="2"/>
  <c r="CX59" i="2"/>
  <c r="CW82" i="3"/>
  <c r="CX82" i="3" s="1"/>
  <c r="CX28" i="3"/>
  <c r="CO83" i="2"/>
  <c r="CS17" i="310"/>
  <c r="CC167" i="4"/>
  <c r="CC170" i="4"/>
  <c r="CC171" i="4" s="1"/>
  <c r="CC174" i="4" s="1"/>
  <c r="CH67" i="4"/>
  <c r="CG92" i="4" s="1"/>
  <c r="CI67" i="4"/>
  <c r="CI94" i="4"/>
  <c r="CW86" i="4"/>
  <c r="F35" i="447"/>
  <c r="BG199" i="310"/>
  <c r="BF207" i="310"/>
  <c r="BF213" i="310" s="1"/>
  <c r="BF175" i="310"/>
  <c r="BF176" i="310"/>
  <c r="F28" i="447"/>
  <c r="F29" i="447" s="1"/>
  <c r="AI257" i="310"/>
  <c r="AI275" i="310" s="1"/>
  <c r="AI276" i="310" s="1"/>
  <c r="AI226" i="310"/>
  <c r="AJ225" i="310"/>
  <c r="AK225" i="310" s="1"/>
  <c r="AK226" i="310" s="1"/>
  <c r="BS153" i="310"/>
  <c r="BT153" i="310" s="1"/>
  <c r="BT155" i="310" s="1"/>
  <c r="BR189" i="310"/>
  <c r="BR155" i="310"/>
  <c r="BP229" i="310"/>
  <c r="BK260" i="310"/>
  <c r="BK278" i="310" s="1"/>
  <c r="BK279" i="310" s="1"/>
  <c r="BK231" i="310"/>
  <c r="AH269" i="310"/>
  <c r="AH270" i="310" s="1"/>
  <c r="BE207" i="310"/>
  <c r="BD213" i="310"/>
  <c r="BH159" i="310"/>
  <c r="BH192" i="310"/>
  <c r="BH198" i="310" s="1"/>
  <c r="BI157" i="310"/>
  <c r="BH163" i="310"/>
  <c r="BH182" i="310"/>
  <c r="BG184" i="310"/>
  <c r="BG174" i="310"/>
  <c r="BE176" i="310"/>
  <c r="BE182" i="310"/>
  <c r="BG164" i="310"/>
  <c r="BL164" i="310" s="1"/>
  <c r="BQ164" i="310" s="1"/>
  <c r="BV164" i="310" s="1"/>
  <c r="CA164" i="310" s="1"/>
  <c r="CF164" i="310" s="1"/>
  <c r="CK164" i="310" s="1"/>
  <c r="CP164" i="310" s="1"/>
  <c r="CU164" i="310" s="1"/>
  <c r="BG165" i="310"/>
  <c r="BW261" i="310"/>
  <c r="BR260" i="310"/>
  <c r="BR278" i="310" s="1"/>
  <c r="BR279" i="310" s="1"/>
  <c r="BG279" i="310"/>
  <c r="BE260" i="310"/>
  <c r="BE261" i="310" s="1"/>
  <c r="BN261" i="310"/>
  <c r="BI260" i="310"/>
  <c r="BI278" i="310" s="1"/>
  <c r="BI279" i="310" s="1"/>
  <c r="AF287" i="310"/>
  <c r="AF288" i="310" s="1"/>
  <c r="BJ160" i="310"/>
  <c r="BJ162" i="310" s="1"/>
  <c r="J11" i="447"/>
  <c r="I13" i="447"/>
  <c r="G21" i="447"/>
  <c r="G25" i="447"/>
  <c r="G19" i="447"/>
  <c r="AH250" i="310"/>
  <c r="AH251" i="310"/>
  <c r="AJ245" i="310"/>
  <c r="AI266" i="310"/>
  <c r="AI246" i="310"/>
  <c r="AI249" i="310"/>
  <c r="BE278" i="310"/>
  <c r="BE279" i="310" s="1"/>
  <c r="AG285" i="310"/>
  <c r="AG287" i="310"/>
  <c r="AG288" i="310" s="1"/>
  <c r="BQ229" i="310"/>
  <c r="BM231" i="310"/>
  <c r="BL260" i="310"/>
  <c r="BL231" i="310"/>
  <c r="BO229" i="310"/>
  <c r="BO230" i="310" s="1"/>
  <c r="H18" i="447"/>
  <c r="H14" i="447"/>
  <c r="BQ110" i="310"/>
  <c r="BQ132" i="310"/>
  <c r="BR108" i="310"/>
  <c r="AI242" i="310"/>
  <c r="AJ241" i="310"/>
  <c r="AI263" i="310"/>
  <c r="AI281" i="310" s="1"/>
  <c r="AH284" i="310"/>
  <c r="BL139" i="310"/>
  <c r="BM146" i="310"/>
  <c r="BM116" i="310"/>
  <c r="BM145" i="310"/>
  <c r="BM147" i="310"/>
  <c r="BM148" i="310"/>
  <c r="BM143" i="310"/>
  <c r="BM117" i="310"/>
  <c r="BN115" i="310"/>
  <c r="BN144" i="310" s="1"/>
  <c r="BN123" i="310"/>
  <c r="BN138" i="310" s="1"/>
  <c r="BN96" i="310"/>
  <c r="BP94" i="310"/>
  <c r="BM139" i="310"/>
  <c r="BS114" i="310"/>
  <c r="BU112" i="310"/>
  <c r="BS135" i="310"/>
  <c r="BT135" i="310" s="1"/>
  <c r="BT136" i="310" s="1"/>
  <c r="BV98" i="310"/>
  <c r="BU126" i="310"/>
  <c r="BU100" i="310"/>
  <c r="BK160" i="310"/>
  <c r="BI195" i="310"/>
  <c r="BI162" i="310"/>
  <c r="BK171" i="310"/>
  <c r="BI204" i="310"/>
  <c r="BI173" i="310"/>
  <c r="BJ171" i="310"/>
  <c r="BT114" i="310"/>
  <c r="BQ264" i="310"/>
  <c r="BR264" i="310"/>
  <c r="CR201" i="310"/>
  <c r="CS201" i="310" s="1"/>
  <c r="CT167" i="310"/>
  <c r="CT17" i="310"/>
  <c r="CR18" i="310"/>
  <c r="BV267" i="310"/>
  <c r="CH267" i="310"/>
  <c r="BL178" i="310"/>
  <c r="BK180" i="310"/>
  <c r="CT10" i="310"/>
  <c r="CR11" i="310"/>
  <c r="CS10" i="310"/>
  <c r="AH186" i="1" l="1"/>
  <c r="BE113" i="1"/>
  <c r="AZ113" i="1"/>
  <c r="CW44" i="3"/>
  <c r="CW98" i="3" s="1"/>
  <c r="CX98" i="3" s="1"/>
  <c r="CD92" i="4"/>
  <c r="CE92" i="4"/>
  <c r="CF92" i="4"/>
  <c r="BQ90" i="310"/>
  <c r="BP92" i="310"/>
  <c r="BP120" i="310"/>
  <c r="BS229" i="310"/>
  <c r="BN231" i="310"/>
  <c r="BR106" i="310"/>
  <c r="BR129" i="310"/>
  <c r="BT101" i="310"/>
  <c r="BT103" i="310" s="1"/>
  <c r="BS104" i="310"/>
  <c r="BU101" i="310"/>
  <c r="BS103" i="310"/>
  <c r="CQ103" i="4"/>
  <c r="CR104" i="4"/>
  <c r="CR106" i="4" s="1"/>
  <c r="CS104" i="4"/>
  <c r="CS107" i="4" s="1"/>
  <c r="BK73" i="1"/>
  <c r="BK74" i="1" s="1"/>
  <c r="BL176" i="1"/>
  <c r="BP176" i="1"/>
  <c r="BY176" i="1"/>
  <c r="BC73" i="1"/>
  <c r="BD176" i="1"/>
  <c r="BD73" i="1" s="1"/>
  <c r="BD74" i="1" s="1"/>
  <c r="AX74" i="1"/>
  <c r="AZ73" i="1"/>
  <c r="AZ74" i="1" s="1"/>
  <c r="BG73" i="1"/>
  <c r="BG74" i="1" s="1"/>
  <c r="BH176" i="1"/>
  <c r="CX140" i="2"/>
  <c r="CS197" i="1"/>
  <c r="CR218" i="4"/>
  <c r="BG78" i="3"/>
  <c r="BG31" i="3"/>
  <c r="BG32" i="3"/>
  <c r="BG33" i="3" s="1"/>
  <c r="BG51" i="3" s="1"/>
  <c r="CW32" i="2"/>
  <c r="CV30" i="2"/>
  <c r="CV25" i="3" s="1"/>
  <c r="BC120" i="3"/>
  <c r="BC114" i="3"/>
  <c r="BC117" i="3" s="1"/>
  <c r="CX127" i="2"/>
  <c r="CU132" i="2"/>
  <c r="CU136" i="2" s="1"/>
  <c r="CT19" i="2"/>
  <c r="BD220" i="4"/>
  <c r="BE85" i="3"/>
  <c r="BE87" i="3" s="1"/>
  <c r="BD87" i="3"/>
  <c r="CU197" i="1"/>
  <c r="CT218" i="4"/>
  <c r="BE220" i="4"/>
  <c r="BF85" i="3"/>
  <c r="BF87" i="3" s="1"/>
  <c r="BI27" i="3"/>
  <c r="BH24" i="3"/>
  <c r="BH81" i="3"/>
  <c r="CV10" i="3"/>
  <c r="AG186" i="1"/>
  <c r="G196" i="1"/>
  <c r="G201" i="1" s="1"/>
  <c r="AW62" i="3"/>
  <c r="AW87" i="3" s="1"/>
  <c r="AX8" i="3"/>
  <c r="AW33" i="3"/>
  <c r="AW51" i="3" s="1"/>
  <c r="Z114" i="3"/>
  <c r="Z117" i="3" s="1"/>
  <c r="Z120" i="3"/>
  <c r="BE88" i="1"/>
  <c r="BE150" i="1"/>
  <c r="AZ88" i="1"/>
  <c r="AZ150" i="1"/>
  <c r="F196" i="1"/>
  <c r="F201" i="1" s="1"/>
  <c r="F105" i="3"/>
  <c r="AV87" i="3"/>
  <c r="AC114" i="3"/>
  <c r="AC120" i="3"/>
  <c r="AB118" i="3"/>
  <c r="AG118" i="3"/>
  <c r="BE94" i="1"/>
  <c r="AZ94" i="1"/>
  <c r="AV99" i="1"/>
  <c r="BA99" i="1"/>
  <c r="CI115" i="1"/>
  <c r="G51" i="3"/>
  <c r="F53" i="3"/>
  <c r="CI97" i="1"/>
  <c r="CI98" i="1" s="1"/>
  <c r="CI99" i="1" s="1"/>
  <c r="Y117" i="3"/>
  <c r="Y118" i="3" s="1"/>
  <c r="Y115" i="3"/>
  <c r="Y106" i="3"/>
  <c r="Y107" i="3" s="1"/>
  <c r="X108" i="3"/>
  <c r="AD120" i="3"/>
  <c r="AD114" i="3"/>
  <c r="AD115" i="3" s="1"/>
  <c r="AA51" i="3"/>
  <c r="Z53" i="3"/>
  <c r="AA120" i="3"/>
  <c r="AA114" i="3"/>
  <c r="AA117" i="3" s="1"/>
  <c r="AI186" i="1"/>
  <c r="AE112" i="3"/>
  <c r="AE105" i="3"/>
  <c r="AF105" i="3" s="1"/>
  <c r="AE196" i="1"/>
  <c r="AE201" i="1" s="1"/>
  <c r="AF62" i="3"/>
  <c r="AF87" i="3" s="1"/>
  <c r="CI106" i="3"/>
  <c r="CI107" i="3" s="1"/>
  <c r="CE107" i="3"/>
  <c r="CF106" i="3" s="1"/>
  <c r="CF107" i="3" s="1"/>
  <c r="CG106" i="3" s="1"/>
  <c r="CG107" i="3" s="1"/>
  <c r="CH106" i="3" s="1"/>
  <c r="CH107" i="3" s="1"/>
  <c r="CF53" i="3"/>
  <c r="CF55" i="3" s="1"/>
  <c r="CG52" i="3"/>
  <c r="CQ73" i="2"/>
  <c r="CQ79" i="2" s="1"/>
  <c r="CP45" i="2"/>
  <c r="G35" i="447"/>
  <c r="G39" i="447" s="1"/>
  <c r="K117" i="3"/>
  <c r="P118" i="3" s="1"/>
  <c r="P115" i="3"/>
  <c r="AS115" i="3"/>
  <c r="AS117" i="3"/>
  <c r="U99" i="1"/>
  <c r="Z99" i="1"/>
  <c r="L105" i="3"/>
  <c r="AR117" i="3"/>
  <c r="AR115" i="3"/>
  <c r="AT120" i="3"/>
  <c r="AT114" i="3"/>
  <c r="U87" i="3"/>
  <c r="V62" i="3"/>
  <c r="V87" i="3" s="1"/>
  <c r="AU196" i="1"/>
  <c r="AU201" i="1" s="1"/>
  <c r="AU112" i="3"/>
  <c r="I120" i="3"/>
  <c r="I114" i="3"/>
  <c r="L114" i="3"/>
  <c r="L120" i="3"/>
  <c r="U51" i="3"/>
  <c r="V33" i="3"/>
  <c r="J117" i="3"/>
  <c r="O118" i="3" s="1"/>
  <c r="O115" i="3"/>
  <c r="V99" i="1"/>
  <c r="AA99" i="1"/>
  <c r="CU57" i="1"/>
  <c r="CT56" i="1"/>
  <c r="V113" i="1"/>
  <c r="AA113" i="1"/>
  <c r="CJ105" i="4"/>
  <c r="CH108" i="4"/>
  <c r="CH109" i="4" s="1"/>
  <c r="CF79" i="4"/>
  <c r="CE80" i="4"/>
  <c r="CE81" i="4" s="1"/>
  <c r="CR114" i="1"/>
  <c r="CS114" i="1" s="1"/>
  <c r="CS116" i="1"/>
  <c r="CO46" i="3"/>
  <c r="CT61" i="2"/>
  <c r="CU59" i="2"/>
  <c r="CT118" i="1"/>
  <c r="CU63" i="2"/>
  <c r="CT101" i="3"/>
  <c r="CU47" i="3"/>
  <c r="CN85" i="2"/>
  <c r="CS81" i="2" s="1"/>
  <c r="CO81" i="2"/>
  <c r="CO85" i="2" s="1"/>
  <c r="CM47" i="2"/>
  <c r="CX48" i="3"/>
  <c r="CW102" i="3"/>
  <c r="CX102" i="3" s="1"/>
  <c r="CV29" i="2"/>
  <c r="CT212" i="4"/>
  <c r="CU193" i="1"/>
  <c r="CR68" i="2"/>
  <c r="CS61" i="2"/>
  <c r="CR119" i="1"/>
  <c r="CS118" i="1"/>
  <c r="CS119" i="1" s="1"/>
  <c r="CS18" i="310"/>
  <c r="CJ94" i="4"/>
  <c r="CH153" i="4"/>
  <c r="CH68" i="4"/>
  <c r="CC176" i="4"/>
  <c r="CJ67" i="4"/>
  <c r="F39" i="447"/>
  <c r="BH199" i="310"/>
  <c r="BW260" i="310"/>
  <c r="BW278" i="310" s="1"/>
  <c r="BW279" i="310" s="1"/>
  <c r="CB261" i="310"/>
  <c r="BI182" i="310"/>
  <c r="BH184" i="310"/>
  <c r="BH174" i="310"/>
  <c r="BK157" i="310"/>
  <c r="BK163" i="310" s="1"/>
  <c r="BI192" i="310"/>
  <c r="BJ192" i="310" s="1"/>
  <c r="BI159" i="310"/>
  <c r="BE208" i="310"/>
  <c r="BE213" i="310"/>
  <c r="BE214" i="310" s="1"/>
  <c r="BI185" i="310"/>
  <c r="BI186" i="310" s="1"/>
  <c r="BI163" i="310"/>
  <c r="BH164" i="310"/>
  <c r="BM164" i="310" s="1"/>
  <c r="BR164" i="310" s="1"/>
  <c r="BW164" i="310" s="1"/>
  <c r="CB164" i="310" s="1"/>
  <c r="CG164" i="310" s="1"/>
  <c r="CL164" i="310" s="1"/>
  <c r="CQ164" i="310" s="1"/>
  <c r="CV164" i="310" s="1"/>
  <c r="BH165" i="310"/>
  <c r="BP231" i="310"/>
  <c r="BU229" i="310"/>
  <c r="BP260" i="310"/>
  <c r="BP278" i="310" s="1"/>
  <c r="BP279" i="310" s="1"/>
  <c r="BS155" i="310"/>
  <c r="BS189" i="310"/>
  <c r="BT189" i="310" s="1"/>
  <c r="BT190" i="310" s="1"/>
  <c r="BU153" i="310"/>
  <c r="BJ260" i="310"/>
  <c r="BJ261" i="310" s="1"/>
  <c r="BG176" i="310"/>
  <c r="BG175" i="310"/>
  <c r="BG207" i="310"/>
  <c r="BG213" i="310" s="1"/>
  <c r="BH185" i="310"/>
  <c r="BH186" i="310" s="1"/>
  <c r="BF214" i="310"/>
  <c r="BF216" i="310"/>
  <c r="AI269" i="310"/>
  <c r="AI270" i="310" s="1"/>
  <c r="BE184" i="310"/>
  <c r="BE185" i="310"/>
  <c r="BE186" i="310" s="1"/>
  <c r="BJ157" i="310"/>
  <c r="BJ159" i="310" s="1"/>
  <c r="BD216" i="310"/>
  <c r="BD214" i="310"/>
  <c r="AJ257" i="310"/>
  <c r="AL225" i="310"/>
  <c r="AJ226" i="310"/>
  <c r="BJ195" i="310"/>
  <c r="BJ196" i="310" s="1"/>
  <c r="AI282" i="310"/>
  <c r="BR110" i="310"/>
  <c r="BS108" i="310"/>
  <c r="BR132" i="310"/>
  <c r="AI251" i="310"/>
  <c r="AI250" i="310"/>
  <c r="AJ246" i="310"/>
  <c r="AL245" i="310"/>
  <c r="AJ266" i="310"/>
  <c r="AJ284" i="310" s="1"/>
  <c r="AJ249" i="310"/>
  <c r="AK245" i="310"/>
  <c r="AK246" i="310" s="1"/>
  <c r="J13" i="447"/>
  <c r="H25" i="447"/>
  <c r="H19" i="447"/>
  <c r="H21" i="447"/>
  <c r="BL278" i="310"/>
  <c r="G28" i="447"/>
  <c r="G29" i="447" s="1"/>
  <c r="BJ278" i="310"/>
  <c r="BJ279" i="310" s="1"/>
  <c r="AH285" i="310"/>
  <c r="AH287" i="310"/>
  <c r="AH288" i="310" s="1"/>
  <c r="BR231" i="310"/>
  <c r="BV229" i="310"/>
  <c r="BQ260" i="310"/>
  <c r="BQ278" i="310" s="1"/>
  <c r="BT229" i="310"/>
  <c r="BT230" i="310" s="1"/>
  <c r="BQ231" i="310"/>
  <c r="AK241" i="310"/>
  <c r="AJ242" i="310"/>
  <c r="AJ263" i="310"/>
  <c r="AJ281" i="310" s="1"/>
  <c r="AJ282" i="310" s="1"/>
  <c r="AL241" i="310"/>
  <c r="AI284" i="310"/>
  <c r="I18" i="447"/>
  <c r="I14" i="447"/>
  <c r="BS261" i="310"/>
  <c r="BN260" i="310"/>
  <c r="BN278" i="310" s="1"/>
  <c r="BN279" i="310" s="1"/>
  <c r="BO123" i="310"/>
  <c r="BO124" i="310" s="1"/>
  <c r="BN139" i="310"/>
  <c r="BO115" i="310"/>
  <c r="BO117" i="310" s="1"/>
  <c r="BN143" i="310"/>
  <c r="BN147" i="310"/>
  <c r="BN117" i="310"/>
  <c r="BN116" i="310"/>
  <c r="BN148" i="310"/>
  <c r="BN146" i="310"/>
  <c r="BN145" i="310"/>
  <c r="BO138" i="310"/>
  <c r="BO139" i="310" s="1"/>
  <c r="BQ94" i="310"/>
  <c r="BP115" i="310"/>
  <c r="BP144" i="310" s="1"/>
  <c r="BP123" i="310"/>
  <c r="BP138" i="310" s="1"/>
  <c r="BP96" i="310"/>
  <c r="BL160" i="310"/>
  <c r="BK195" i="310"/>
  <c r="BK162" i="310"/>
  <c r="BJ173" i="310"/>
  <c r="BL171" i="310"/>
  <c r="BK204" i="310"/>
  <c r="BK173" i="310"/>
  <c r="BV112" i="310"/>
  <c r="BU114" i="310"/>
  <c r="BU135" i="310"/>
  <c r="BV100" i="310"/>
  <c r="BW98" i="310"/>
  <c r="BV126" i="310"/>
  <c r="BJ204" i="310"/>
  <c r="BJ205" i="310" s="1"/>
  <c r="CU10" i="310"/>
  <c r="CT11" i="310"/>
  <c r="CA267" i="310"/>
  <c r="CU17" i="310"/>
  <c r="CT18" i="310"/>
  <c r="CU167" i="310"/>
  <c r="CT201" i="310"/>
  <c r="CM267" i="310"/>
  <c r="BM178" i="310"/>
  <c r="BL180" i="310"/>
  <c r="CS11" i="310"/>
  <c r="L55" i="447" s="1"/>
  <c r="BW264" i="310"/>
  <c r="BV264" i="310"/>
  <c r="CX44" i="3" l="1"/>
  <c r="BQ92" i="310"/>
  <c r="BQ120" i="310"/>
  <c r="BR90" i="310"/>
  <c r="BX229" i="310"/>
  <c r="BS231" i="310"/>
  <c r="BJ198" i="310"/>
  <c r="BS129" i="310"/>
  <c r="BT129" i="310" s="1"/>
  <c r="BS106" i="310"/>
  <c r="BT104" i="310"/>
  <c r="BT106" i="310" s="1"/>
  <c r="BU104" i="310"/>
  <c r="BV101" i="310"/>
  <c r="BU103" i="310"/>
  <c r="CS103" i="4"/>
  <c r="CT104" i="4"/>
  <c r="CT107" i="4" s="1"/>
  <c r="BI176" i="1"/>
  <c r="BI73" i="1" s="1"/>
  <c r="BI74" i="1" s="1"/>
  <c r="BH73" i="1"/>
  <c r="BP73" i="1"/>
  <c r="BQ176" i="1"/>
  <c r="BL73" i="1"/>
  <c r="BL74" i="1" s="1"/>
  <c r="BM176" i="1"/>
  <c r="BC74" i="1"/>
  <c r="BE73" i="1"/>
  <c r="BE74" i="1" s="1"/>
  <c r="BY73" i="1"/>
  <c r="CD176" i="1"/>
  <c r="BU176" i="1"/>
  <c r="BH31" i="3"/>
  <c r="BH78" i="3"/>
  <c r="BH32" i="3"/>
  <c r="BH33" i="3" s="1"/>
  <c r="BH51" i="3" s="1"/>
  <c r="BI81" i="3"/>
  <c r="BK27" i="3"/>
  <c r="BJ27" i="3"/>
  <c r="BI24" i="3"/>
  <c r="BD196" i="1"/>
  <c r="BD201" i="1" s="1"/>
  <c r="BD105" i="3"/>
  <c r="BE105" i="3" s="1"/>
  <c r="BH186" i="1"/>
  <c r="BD112" i="3"/>
  <c r="BF186" i="1"/>
  <c r="BG186" i="1"/>
  <c r="CU19" i="2"/>
  <c r="CV132" i="2"/>
  <c r="CV136" i="2" s="1"/>
  <c r="CV79" i="3"/>
  <c r="BG85" i="3"/>
  <c r="BG87" i="3" s="1"/>
  <c r="BF220" i="4"/>
  <c r="CW10" i="3"/>
  <c r="CV64" i="3"/>
  <c r="BE196" i="1"/>
  <c r="BE201" i="1" s="1"/>
  <c r="BE112" i="3"/>
  <c r="CX32" i="2"/>
  <c r="CW30" i="2"/>
  <c r="CX30" i="2" s="1"/>
  <c r="BJ81" i="3"/>
  <c r="BF112" i="3"/>
  <c r="BF105" i="3"/>
  <c r="BF196" i="1"/>
  <c r="BF201" i="1" s="1"/>
  <c r="AE114" i="3"/>
  <c r="AE120" i="3"/>
  <c r="G53" i="3"/>
  <c r="H52" i="3" s="1"/>
  <c r="AV105" i="3"/>
  <c r="AV196" i="1"/>
  <c r="AV201" i="1" s="1"/>
  <c r="AV112" i="3"/>
  <c r="AV186" i="1"/>
  <c r="AW186" i="1"/>
  <c r="AW112" i="3"/>
  <c r="AW196" i="1"/>
  <c r="AW201" i="1" s="1"/>
  <c r="AW105" i="3"/>
  <c r="AB52" i="3"/>
  <c r="AA53" i="3"/>
  <c r="AA108" i="3" s="1"/>
  <c r="Z55" i="3"/>
  <c r="Z54" i="3"/>
  <c r="G105" i="3"/>
  <c r="G107" i="3" s="1"/>
  <c r="F107" i="3"/>
  <c r="F108" i="3" s="1"/>
  <c r="Z106" i="3"/>
  <c r="Z107" i="3" s="1"/>
  <c r="Z108" i="3" s="1"/>
  <c r="Y108" i="3"/>
  <c r="CI112" i="1"/>
  <c r="CI113" i="1" s="1"/>
  <c r="AC117" i="3"/>
  <c r="AC115" i="3"/>
  <c r="AH115" i="3"/>
  <c r="AF196" i="1"/>
  <c r="AF201" i="1" s="1"/>
  <c r="AF112" i="3"/>
  <c r="AD117" i="3"/>
  <c r="AI115" i="3"/>
  <c r="AX62" i="3"/>
  <c r="AY8" i="3"/>
  <c r="AX33" i="3"/>
  <c r="AX51" i="3" s="1"/>
  <c r="CR73" i="2"/>
  <c r="CR79" i="2" s="1"/>
  <c r="CQ45" i="2"/>
  <c r="CH52" i="3"/>
  <c r="CG53" i="3"/>
  <c r="CG55" i="3" s="1"/>
  <c r="V51" i="3"/>
  <c r="AU114" i="3"/>
  <c r="AU120" i="3"/>
  <c r="V196" i="1"/>
  <c r="V201" i="1" s="1"/>
  <c r="V112" i="3"/>
  <c r="CU56" i="1"/>
  <c r="CV57" i="1"/>
  <c r="L117" i="3"/>
  <c r="Q118" i="3" s="1"/>
  <c r="Q115" i="3"/>
  <c r="U105" i="3"/>
  <c r="U112" i="3"/>
  <c r="U196" i="1"/>
  <c r="U201" i="1" s="1"/>
  <c r="Y186" i="1"/>
  <c r="X186" i="1"/>
  <c r="W186" i="1"/>
  <c r="U186" i="1"/>
  <c r="I117" i="3"/>
  <c r="N118" i="3" s="1"/>
  <c r="N115" i="3"/>
  <c r="AT115" i="3"/>
  <c r="AT117" i="3"/>
  <c r="AR118" i="3"/>
  <c r="AS118" i="3"/>
  <c r="CF80" i="4"/>
  <c r="CF81" i="4" s="1"/>
  <c r="CG79" i="4"/>
  <c r="CK105" i="4"/>
  <c r="CJ108" i="4"/>
  <c r="CJ109" i="4" s="1"/>
  <c r="CU212" i="4"/>
  <c r="CW29" i="2"/>
  <c r="CV193" i="1"/>
  <c r="CN47" i="2"/>
  <c r="CM57" i="2"/>
  <c r="CN57" i="2" s="1"/>
  <c r="CT116" i="1"/>
  <c r="CT119" i="1"/>
  <c r="CO100" i="3"/>
  <c r="CP46" i="3"/>
  <c r="CO49" i="3"/>
  <c r="CR70" i="2"/>
  <c r="CS68" i="2"/>
  <c r="CO47" i="2"/>
  <c r="CO57" i="2" s="1"/>
  <c r="CP81" i="2"/>
  <c r="CP85" i="2" s="1"/>
  <c r="CT68" i="2"/>
  <c r="CV47" i="3"/>
  <c r="CU101" i="3"/>
  <c r="CV59" i="2"/>
  <c r="CU61" i="2"/>
  <c r="CU68" i="2" s="1"/>
  <c r="CU70" i="2" s="1"/>
  <c r="CU83" i="2" s="1"/>
  <c r="CV63" i="2"/>
  <c r="CU118" i="1"/>
  <c r="CU116" i="1" s="1"/>
  <c r="CU114" i="1" s="1"/>
  <c r="CS117" i="1"/>
  <c r="L75" i="447"/>
  <c r="CK67" i="4"/>
  <c r="CK94" i="4"/>
  <c r="CH166" i="4"/>
  <c r="CH183" i="4"/>
  <c r="CH155" i="4"/>
  <c r="H28" i="447"/>
  <c r="H29" i="447" s="1"/>
  <c r="H35" i="447"/>
  <c r="H39" i="447" s="1"/>
  <c r="BI198" i="310"/>
  <c r="BI199" i="310" s="1"/>
  <c r="BI79" i="310"/>
  <c r="BJ79" i="310" s="1"/>
  <c r="BJ80" i="310" s="1"/>
  <c r="AK266" i="310"/>
  <c r="AK267" i="310" s="1"/>
  <c r="AK263" i="310"/>
  <c r="AK264" i="310" s="1"/>
  <c r="AM225" i="310"/>
  <c r="AL226" i="310"/>
  <c r="AL257" i="310"/>
  <c r="AL275" i="310" s="1"/>
  <c r="BG216" i="310"/>
  <c r="BG214" i="310"/>
  <c r="AJ275" i="310"/>
  <c r="AJ287" i="310" s="1"/>
  <c r="AJ288" i="310" s="1"/>
  <c r="AK257" i="310"/>
  <c r="AK258" i="310" s="1"/>
  <c r="BF76" i="310"/>
  <c r="BF77" i="310" s="1"/>
  <c r="BF217" i="310"/>
  <c r="BK182" i="310"/>
  <c r="BK185" i="310" s="1"/>
  <c r="BK186" i="310" s="1"/>
  <c r="BI184" i="310"/>
  <c r="BI174" i="310"/>
  <c r="BU189" i="310"/>
  <c r="BV153" i="310"/>
  <c r="BU155" i="310"/>
  <c r="BK159" i="310"/>
  <c r="BL157" i="310"/>
  <c r="BL163" i="310" s="1"/>
  <c r="BL165" i="310" s="1"/>
  <c r="BK192" i="310"/>
  <c r="BK198" i="310" s="1"/>
  <c r="BK199" i="310" s="1"/>
  <c r="CG261" i="310"/>
  <c r="CB260" i="310"/>
  <c r="CB278" i="310" s="1"/>
  <c r="CB279" i="310" s="1"/>
  <c r="BJ193" i="310"/>
  <c r="BP139" i="310"/>
  <c r="BE216" i="310"/>
  <c r="BE217" i="310" s="1"/>
  <c r="BD76" i="310"/>
  <c r="BD217" i="310"/>
  <c r="BU231" i="310"/>
  <c r="BU260" i="310"/>
  <c r="BU278" i="310" s="1"/>
  <c r="BU279" i="310" s="1"/>
  <c r="BZ229" i="310"/>
  <c r="BI164" i="310"/>
  <c r="BN164" i="310" s="1"/>
  <c r="BS164" i="310" s="1"/>
  <c r="BX164" i="310" s="1"/>
  <c r="CC164" i="310" s="1"/>
  <c r="CH164" i="310" s="1"/>
  <c r="CM164" i="310" s="1"/>
  <c r="CR164" i="310" s="1"/>
  <c r="CW164" i="310" s="1"/>
  <c r="BI165" i="310"/>
  <c r="BJ163" i="310"/>
  <c r="BJ165" i="310" s="1"/>
  <c r="BH176" i="310"/>
  <c r="BH207" i="310"/>
  <c r="BH213" i="310" s="1"/>
  <c r="BH214" i="310" s="1"/>
  <c r="BH175" i="310"/>
  <c r="BQ279" i="310"/>
  <c r="AI285" i="310"/>
  <c r="AI287" i="310"/>
  <c r="AI288" i="310" s="1"/>
  <c r="CA229" i="310"/>
  <c r="BW231" i="310"/>
  <c r="BV260" i="310"/>
  <c r="BV278" i="310" s="1"/>
  <c r="BV279" i="310" s="1"/>
  <c r="BV231" i="310"/>
  <c r="BY229" i="310"/>
  <c r="BY230" i="310" s="1"/>
  <c r="AJ285" i="310"/>
  <c r="BO260" i="310"/>
  <c r="BO261" i="310" s="1"/>
  <c r="BX261" i="310"/>
  <c r="BS260" i="310"/>
  <c r="BS278" i="310" s="1"/>
  <c r="BS279" i="310" s="1"/>
  <c r="I21" i="447"/>
  <c r="I19" i="447"/>
  <c r="I25" i="447"/>
  <c r="AL263" i="310"/>
  <c r="AL242" i="310"/>
  <c r="AM241" i="310"/>
  <c r="AK242" i="310"/>
  <c r="AK249" i="310"/>
  <c r="AK250" i="310" s="1"/>
  <c r="AJ251" i="310"/>
  <c r="AJ250" i="310"/>
  <c r="AK281" i="310"/>
  <c r="AK282" i="310" s="1"/>
  <c r="BL279" i="310"/>
  <c r="BO278" i="310"/>
  <c r="BO279" i="310" s="1"/>
  <c r="AJ269" i="310"/>
  <c r="AJ270" i="310" s="1"/>
  <c r="J14" i="447"/>
  <c r="J18" i="447"/>
  <c r="AM245" i="310"/>
  <c r="AL246" i="310"/>
  <c r="AL266" i="310"/>
  <c r="AL249" i="310"/>
  <c r="BT108" i="310"/>
  <c r="BT110" i="310" s="1"/>
  <c r="BS132" i="310"/>
  <c r="BT132" i="310" s="1"/>
  <c r="BS110" i="310"/>
  <c r="BU108" i="310"/>
  <c r="AK284" i="310"/>
  <c r="BQ96" i="310"/>
  <c r="BR94" i="310"/>
  <c r="BQ115" i="310"/>
  <c r="BQ123" i="310"/>
  <c r="BQ138" i="310" s="1"/>
  <c r="BP147" i="310"/>
  <c r="BP148" i="310"/>
  <c r="BP116" i="310"/>
  <c r="BP143" i="310"/>
  <c r="BP146" i="310"/>
  <c r="BP145" i="310"/>
  <c r="BP117" i="310"/>
  <c r="BK165" i="310"/>
  <c r="BM171" i="310"/>
  <c r="BL173" i="310"/>
  <c r="BL204" i="310"/>
  <c r="BW112" i="310"/>
  <c r="BV114" i="310"/>
  <c r="BV135" i="310"/>
  <c r="BW126" i="310"/>
  <c r="BX98" i="310"/>
  <c r="BY98" i="310" s="1"/>
  <c r="BY100" i="310" s="1"/>
  <c r="BW100" i="310"/>
  <c r="BM160" i="310"/>
  <c r="BL162" i="310"/>
  <c r="BL195" i="310"/>
  <c r="L54" i="447"/>
  <c r="L56" i="447"/>
  <c r="L10" i="447"/>
  <c r="L9" i="447" s="1"/>
  <c r="BM180" i="310"/>
  <c r="BN178" i="310"/>
  <c r="BO178" i="310" s="1"/>
  <c r="CR267" i="310"/>
  <c r="CF267" i="310"/>
  <c r="CA264" i="310"/>
  <c r="CU201" i="310"/>
  <c r="CV167" i="310"/>
  <c r="CV17" i="310"/>
  <c r="CU18" i="310"/>
  <c r="CV10" i="310"/>
  <c r="CU11" i="310"/>
  <c r="CB264" i="310"/>
  <c r="BT130" i="310" l="1"/>
  <c r="BS90" i="310"/>
  <c r="BR120" i="310"/>
  <c r="BR92" i="310"/>
  <c r="CC229" i="310"/>
  <c r="BX231" i="310"/>
  <c r="BH216" i="310"/>
  <c r="BW101" i="310"/>
  <c r="BV103" i="310"/>
  <c r="BV104" i="310"/>
  <c r="BU129" i="310"/>
  <c r="BU80" i="310" s="1"/>
  <c r="BU106" i="310"/>
  <c r="CU104" i="4"/>
  <c r="CU107" i="4" s="1"/>
  <c r="CT103" i="4"/>
  <c r="BQ73" i="1"/>
  <c r="BR176" i="1"/>
  <c r="BV176" i="1"/>
  <c r="BU73" i="1"/>
  <c r="BP74" i="1"/>
  <c r="BP230" i="1"/>
  <c r="CI176" i="1"/>
  <c r="CE176" i="1" s="1"/>
  <c r="BZ176" i="1"/>
  <c r="BN176" i="1"/>
  <c r="BN73" i="1" s="1"/>
  <c r="BN74" i="1" s="1"/>
  <c r="BM73" i="1"/>
  <c r="BH74" i="1"/>
  <c r="BJ73" i="1"/>
  <c r="BJ74" i="1" s="1"/>
  <c r="BY74" i="1"/>
  <c r="BY230" i="1"/>
  <c r="CW25" i="3"/>
  <c r="CX25" i="3" s="1"/>
  <c r="BE114" i="3"/>
  <c r="BE117" i="3" s="1"/>
  <c r="BE120" i="3"/>
  <c r="CV19" i="2"/>
  <c r="CW132" i="2"/>
  <c r="BD114" i="3"/>
  <c r="BD117" i="3" s="1"/>
  <c r="BD120" i="3"/>
  <c r="BG112" i="3"/>
  <c r="BG105" i="3"/>
  <c r="BG196" i="1"/>
  <c r="BG201" i="1" s="1"/>
  <c r="BI32" i="3"/>
  <c r="BI33" i="3" s="1"/>
  <c r="BI51" i="3" s="1"/>
  <c r="BJ51" i="3" s="1"/>
  <c r="BI31" i="3"/>
  <c r="BJ24" i="3"/>
  <c r="BI78" i="3"/>
  <c r="BF120" i="3"/>
  <c r="BF114" i="3"/>
  <c r="CU218" i="4"/>
  <c r="CV197" i="1"/>
  <c r="BG220" i="4"/>
  <c r="BH85" i="3"/>
  <c r="BH87" i="3" s="1"/>
  <c r="CW64" i="3"/>
  <c r="CX10" i="3"/>
  <c r="BK24" i="3"/>
  <c r="BK81" i="3"/>
  <c r="BL27" i="3"/>
  <c r="AD118" i="3"/>
  <c r="AI118" i="3"/>
  <c r="AY33" i="3"/>
  <c r="AY51" i="3" s="1"/>
  <c r="AZ51" i="3" s="1"/>
  <c r="AZ8" i="3"/>
  <c r="AZ33" i="3" s="1"/>
  <c r="AY62" i="3"/>
  <c r="AY87" i="3" s="1"/>
  <c r="AF114" i="3"/>
  <c r="AF120" i="3"/>
  <c r="G108" i="3"/>
  <c r="AW120" i="3"/>
  <c r="AW114" i="3"/>
  <c r="AE117" i="3"/>
  <c r="AE115" i="3"/>
  <c r="AJ115" i="3"/>
  <c r="AX87" i="3"/>
  <c r="AZ62" i="3"/>
  <c r="AZ87" i="3" s="1"/>
  <c r="AC52" i="3"/>
  <c r="AB53" i="3"/>
  <c r="AB106" i="3"/>
  <c r="AC118" i="3"/>
  <c r="AH118" i="3"/>
  <c r="AV114" i="3"/>
  <c r="AV120" i="3"/>
  <c r="K52" i="3"/>
  <c r="H106" i="3"/>
  <c r="J52" i="3"/>
  <c r="J53" i="3" s="1"/>
  <c r="I52" i="3"/>
  <c r="I53" i="3" s="1"/>
  <c r="H53" i="3"/>
  <c r="CI52" i="3"/>
  <c r="CH53" i="3"/>
  <c r="CR45" i="2"/>
  <c r="CS45" i="2" s="1"/>
  <c r="CX73" i="2" s="1"/>
  <c r="CX79" i="2" s="1"/>
  <c r="CT73" i="2"/>
  <c r="CT79" i="2" s="1"/>
  <c r="AT118" i="3"/>
  <c r="CV56" i="1"/>
  <c r="CW57" i="1"/>
  <c r="V120" i="3"/>
  <c r="V114" i="3"/>
  <c r="AU117" i="3"/>
  <c r="AU115" i="3"/>
  <c r="U120" i="3"/>
  <c r="U114" i="3"/>
  <c r="V105" i="3"/>
  <c r="H43" i="447"/>
  <c r="CG80" i="4"/>
  <c r="CG81" i="4" s="1"/>
  <c r="CI79" i="4"/>
  <c r="CL105" i="4"/>
  <c r="CK108" i="4"/>
  <c r="CK109" i="4" s="1"/>
  <c r="L74" i="447"/>
  <c r="L37" i="447"/>
  <c r="L76" i="447"/>
  <c r="CP100" i="3"/>
  <c r="CP103" i="3" s="1"/>
  <c r="CQ46" i="3"/>
  <c r="CP49" i="3"/>
  <c r="CT70" i="2"/>
  <c r="CQ81" i="2"/>
  <c r="CQ85" i="2" s="1"/>
  <c r="CP47" i="2"/>
  <c r="CP57" i="2" s="1"/>
  <c r="CO103" i="3"/>
  <c r="CV212" i="4"/>
  <c r="CX29" i="2"/>
  <c r="CW212" i="4" s="1"/>
  <c r="CW193" i="1"/>
  <c r="CU119" i="1"/>
  <c r="CR83" i="2"/>
  <c r="CS83" i="2" s="1"/>
  <c r="CS70" i="2"/>
  <c r="CS69" i="2" s="1"/>
  <c r="CW63" i="2"/>
  <c r="CV61" i="2"/>
  <c r="CV68" i="2" s="1"/>
  <c r="CV70" i="2" s="1"/>
  <c r="CV83" i="2" s="1"/>
  <c r="CV118" i="1"/>
  <c r="CV116" i="1" s="1"/>
  <c r="CW59" i="2"/>
  <c r="CV101" i="3"/>
  <c r="CW47" i="3"/>
  <c r="CT114" i="1"/>
  <c r="CH163" i="4"/>
  <c r="CH182" i="4"/>
  <c r="CH164" i="4"/>
  <c r="CH156" i="4"/>
  <c r="CL94" i="4"/>
  <c r="CL67" i="4"/>
  <c r="BT260" i="310"/>
  <c r="BT261" i="310" s="1"/>
  <c r="AK269" i="310"/>
  <c r="AK270" i="310" s="1"/>
  <c r="BT278" i="310"/>
  <c r="BT279" i="310" s="1"/>
  <c r="BJ199" i="310"/>
  <c r="AL276" i="310"/>
  <c r="CE229" i="310"/>
  <c r="BZ231" i="310"/>
  <c r="BZ260" i="310"/>
  <c r="BZ278" i="310" s="1"/>
  <c r="BZ279" i="310" s="1"/>
  <c r="BD77" i="310"/>
  <c r="BE76" i="310"/>
  <c r="BE77" i="310" s="1"/>
  <c r="BV155" i="310"/>
  <c r="BV189" i="310"/>
  <c r="BW153" i="310"/>
  <c r="BJ174" i="310"/>
  <c r="BI175" i="310"/>
  <c r="BI207" i="310"/>
  <c r="BI176" i="310"/>
  <c r="AM226" i="310"/>
  <c r="AN225" i="310"/>
  <c r="AM257" i="310"/>
  <c r="AM275" i="310" s="1"/>
  <c r="BL159" i="310"/>
  <c r="BL192" i="310"/>
  <c r="BL198" i="310" s="1"/>
  <c r="BL199" i="310" s="1"/>
  <c r="BM157" i="310"/>
  <c r="BM163" i="310" s="1"/>
  <c r="BG217" i="310"/>
  <c r="BG76" i="310"/>
  <c r="BG77" i="310" s="1"/>
  <c r="I28" i="447"/>
  <c r="I29" i="447" s="1"/>
  <c r="CG260" i="310"/>
  <c r="CG278" i="310" s="1"/>
  <c r="CG279" i="310" s="1"/>
  <c r="CL261" i="310"/>
  <c r="BL182" i="310"/>
  <c r="BL185" i="310" s="1"/>
  <c r="BL186" i="310" s="1"/>
  <c r="BK184" i="310"/>
  <c r="BK174" i="310"/>
  <c r="AJ276" i="310"/>
  <c r="AK275" i="310"/>
  <c r="AK276" i="310" s="1"/>
  <c r="AL250" i="310"/>
  <c r="AL251" i="310"/>
  <c r="CC261" i="310"/>
  <c r="BX260" i="310"/>
  <c r="BX278" i="310" s="1"/>
  <c r="AL284" i="310"/>
  <c r="AL269" i="310"/>
  <c r="AL270" i="310" s="1"/>
  <c r="BT133" i="310"/>
  <c r="AL281" i="310"/>
  <c r="CF229" i="310"/>
  <c r="CB231" i="310"/>
  <c r="CA260" i="310"/>
  <c r="CA278" i="310" s="1"/>
  <c r="CD229" i="310"/>
  <c r="CD230" i="310" s="1"/>
  <c r="CA231" i="310"/>
  <c r="AM246" i="310"/>
  <c r="AN245" i="310"/>
  <c r="AM266" i="310"/>
  <c r="AM284" i="310" s="1"/>
  <c r="AM249" i="310"/>
  <c r="I35" i="447"/>
  <c r="BU110" i="310"/>
  <c r="BV108" i="310"/>
  <c r="BU132" i="310"/>
  <c r="AK285" i="310"/>
  <c r="J21" i="447"/>
  <c r="J19" i="447"/>
  <c r="J25" i="447"/>
  <c r="AN241" i="310"/>
  <c r="AM242" i="310"/>
  <c r="AM263" i="310"/>
  <c r="BQ139" i="310"/>
  <c r="BQ116" i="310"/>
  <c r="BQ148" i="310"/>
  <c r="BQ146" i="310"/>
  <c r="BQ147" i="310"/>
  <c r="BQ117" i="310"/>
  <c r="BQ145" i="310"/>
  <c r="BQ143" i="310"/>
  <c r="BS94" i="310"/>
  <c r="BR123" i="310"/>
  <c r="BR96" i="310"/>
  <c r="BR115" i="310"/>
  <c r="BR144" i="310" s="1"/>
  <c r="BQ144" i="310"/>
  <c r="BH76" i="310"/>
  <c r="BH217" i="310"/>
  <c r="BX112" i="310"/>
  <c r="BY112" i="310" s="1"/>
  <c r="BW135" i="310"/>
  <c r="BW114" i="310"/>
  <c r="BN171" i="310"/>
  <c r="BO171" i="310" s="1"/>
  <c r="BM173" i="310"/>
  <c r="BM204" i="310"/>
  <c r="BN160" i="310"/>
  <c r="BM162" i="310"/>
  <c r="BM195" i="310"/>
  <c r="BZ98" i="310"/>
  <c r="BX126" i="310"/>
  <c r="BY126" i="310" s="1"/>
  <c r="BY127" i="310" s="1"/>
  <c r="BX100" i="310"/>
  <c r="BO180" i="310"/>
  <c r="O9" i="447"/>
  <c r="N9" i="447"/>
  <c r="CK267" i="310"/>
  <c r="CF264" i="310"/>
  <c r="CW267" i="310"/>
  <c r="CW10" i="310"/>
  <c r="CV11" i="310"/>
  <c r="CW17" i="310"/>
  <c r="CV18" i="310"/>
  <c r="CV201" i="310"/>
  <c r="CW167" i="310"/>
  <c r="CW201" i="310" s="1"/>
  <c r="BP178" i="310"/>
  <c r="BN180" i="310"/>
  <c r="CG264" i="310"/>
  <c r="BT90" i="310" l="1"/>
  <c r="BT92" i="310" s="1"/>
  <c r="BU90" i="310"/>
  <c r="BS120" i="310"/>
  <c r="BT120" i="310" s="1"/>
  <c r="BT121" i="310" s="1"/>
  <c r="BS92" i="310"/>
  <c r="CH229" i="310"/>
  <c r="CC231" i="310"/>
  <c r="BV129" i="310"/>
  <c r="BV80" i="310" s="1"/>
  <c r="BV106" i="310"/>
  <c r="BW104" i="310"/>
  <c r="BW103" i="310"/>
  <c r="BX101" i="310"/>
  <c r="CU103" i="4"/>
  <c r="CV104" i="4"/>
  <c r="CV107" i="4" s="1"/>
  <c r="BZ73" i="1"/>
  <c r="CA176" i="1"/>
  <c r="BU74" i="1"/>
  <c r="BU230" i="1"/>
  <c r="CF176" i="1"/>
  <c r="CE73" i="1"/>
  <c r="BV73" i="1"/>
  <c r="BW176" i="1"/>
  <c r="CW79" i="3"/>
  <c r="CX79" i="3" s="1"/>
  <c r="BM74" i="1"/>
  <c r="BO73" i="1"/>
  <c r="BR73" i="1"/>
  <c r="BS176" i="1"/>
  <c r="BS73" i="1" s="1"/>
  <c r="BQ230" i="1"/>
  <c r="BQ74" i="1"/>
  <c r="BK32" i="3"/>
  <c r="BK33" i="3" s="1"/>
  <c r="BK51" i="3" s="1"/>
  <c r="BK31" i="3"/>
  <c r="BK78" i="3"/>
  <c r="BF117" i="3"/>
  <c r="BF118" i="3" s="1"/>
  <c r="BF115" i="3"/>
  <c r="CW197" i="1"/>
  <c r="CV218" i="4"/>
  <c r="CX64" i="3"/>
  <c r="BG120" i="3"/>
  <c r="BG114" i="3"/>
  <c r="CW136" i="2"/>
  <c r="CW19" i="2" s="1"/>
  <c r="CX19" i="2" s="1"/>
  <c r="CX132" i="2"/>
  <c r="CX136" i="2" s="1"/>
  <c r="BM27" i="3"/>
  <c r="BL81" i="3"/>
  <c r="BL24" i="3"/>
  <c r="BI85" i="3"/>
  <c r="BI87" i="3" s="1"/>
  <c r="BL186" i="1" s="1"/>
  <c r="BH220" i="4"/>
  <c r="BH196" i="1"/>
  <c r="BH201" i="1" s="1"/>
  <c r="BH112" i="3"/>
  <c r="BH105" i="3"/>
  <c r="BJ31" i="3"/>
  <c r="BJ32" i="3"/>
  <c r="BJ33" i="3" s="1"/>
  <c r="BJ78" i="3"/>
  <c r="AE118" i="3"/>
  <c r="AJ118" i="3"/>
  <c r="BC186" i="1"/>
  <c r="AY112" i="3"/>
  <c r="AY196" i="1"/>
  <c r="AY201" i="1" s="1"/>
  <c r="AY105" i="3"/>
  <c r="AB107" i="3"/>
  <c r="AC106" i="3" s="1"/>
  <c r="AC107" i="3" s="1"/>
  <c r="AD106" i="3" s="1"/>
  <c r="AD107" i="3" s="1"/>
  <c r="AE106" i="3" s="1"/>
  <c r="AE107" i="3" s="1"/>
  <c r="AF106" i="3"/>
  <c r="AF107" i="3" s="1"/>
  <c r="AX105" i="3"/>
  <c r="AX112" i="3"/>
  <c r="BB186" i="1"/>
  <c r="AX196" i="1"/>
  <c r="AX201" i="1" s="1"/>
  <c r="BA186" i="1"/>
  <c r="AX186" i="1"/>
  <c r="AY186" i="1"/>
  <c r="BB115" i="3"/>
  <c r="AW117" i="3"/>
  <c r="AW115" i="3"/>
  <c r="L52" i="3"/>
  <c r="K53" i="3"/>
  <c r="L53" i="3" s="1"/>
  <c r="M52" i="3" s="1"/>
  <c r="AZ196" i="1"/>
  <c r="AZ201" i="1" s="1"/>
  <c r="AZ112" i="3"/>
  <c r="AV117" i="3"/>
  <c r="AV115" i="3"/>
  <c r="BA115" i="3"/>
  <c r="AB54" i="3"/>
  <c r="AB55" i="3"/>
  <c r="L106" i="3"/>
  <c r="L107" i="3" s="1"/>
  <c r="H107" i="3"/>
  <c r="I106" i="3" s="1"/>
  <c r="I107" i="3" s="1"/>
  <c r="J106" i="3" s="1"/>
  <c r="J107" i="3" s="1"/>
  <c r="AC53" i="3"/>
  <c r="AD52" i="3"/>
  <c r="AF115" i="3"/>
  <c r="AK115" i="3"/>
  <c r="AF117" i="3"/>
  <c r="CH55" i="3"/>
  <c r="CJ52" i="3"/>
  <c r="CI53" i="3"/>
  <c r="CU73" i="2"/>
  <c r="CU79" i="2" s="1"/>
  <c r="CT45" i="2"/>
  <c r="U115" i="3"/>
  <c r="U117" i="3"/>
  <c r="Z115" i="3"/>
  <c r="CW56" i="1"/>
  <c r="CX56" i="1" s="1"/>
  <c r="CX57" i="1"/>
  <c r="AU118" i="3"/>
  <c r="V117" i="3"/>
  <c r="V115" i="3"/>
  <c r="AA115" i="3"/>
  <c r="CN105" i="4"/>
  <c r="CL108" i="4"/>
  <c r="CL109" i="4" s="1"/>
  <c r="CM105" i="4"/>
  <c r="CJ79" i="4"/>
  <c r="CI80" i="4"/>
  <c r="CI81" i="4" s="1"/>
  <c r="CV114" i="1"/>
  <c r="CV119" i="1"/>
  <c r="CT83" i="2"/>
  <c r="CX47" i="3"/>
  <c r="CW101" i="3"/>
  <c r="CX101" i="3" s="1"/>
  <c r="CW118" i="1"/>
  <c r="CW116" i="1" s="1"/>
  <c r="CW114" i="1" s="1"/>
  <c r="CW61" i="2"/>
  <c r="CW68" i="2" s="1"/>
  <c r="CW70" i="2" s="1"/>
  <c r="CW83" i="2" s="1"/>
  <c r="CX63" i="2"/>
  <c r="CQ47" i="2"/>
  <c r="CQ57" i="2" s="1"/>
  <c r="CR81" i="2"/>
  <c r="CR85" i="2" s="1"/>
  <c r="CQ100" i="3"/>
  <c r="CR46" i="3"/>
  <c r="CQ49" i="3"/>
  <c r="CN67" i="4"/>
  <c r="CM67" i="4"/>
  <c r="CN94" i="4"/>
  <c r="CH167" i="4"/>
  <c r="CH170" i="4"/>
  <c r="CH171" i="4" s="1"/>
  <c r="CH174" i="4" s="1"/>
  <c r="BL79" i="310"/>
  <c r="J35" i="447"/>
  <c r="J43" i="447" s="1"/>
  <c r="J28" i="447"/>
  <c r="J29" i="447" s="1"/>
  <c r="AM276" i="310"/>
  <c r="BK175" i="310"/>
  <c r="BK207" i="310"/>
  <c r="BK213" i="310" s="1"/>
  <c r="BK176" i="310"/>
  <c r="AN257" i="310"/>
  <c r="AN275" i="310" s="1"/>
  <c r="AN276" i="310" s="1"/>
  <c r="AO225" i="310"/>
  <c r="AN226" i="310"/>
  <c r="AK287" i="310"/>
  <c r="AK288" i="310" s="1"/>
  <c r="BJ176" i="310"/>
  <c r="BJ182" i="310"/>
  <c r="CJ229" i="310"/>
  <c r="CE260" i="310"/>
  <c r="CE278" i="310" s="1"/>
  <c r="CE279" i="310" s="1"/>
  <c r="CE231" i="310"/>
  <c r="BY260" i="310"/>
  <c r="BY261" i="310" s="1"/>
  <c r="BM182" i="310"/>
  <c r="BM185" i="310" s="1"/>
  <c r="BM186" i="310" s="1"/>
  <c r="BL184" i="310"/>
  <c r="BL174" i="310"/>
  <c r="BM192" i="310"/>
  <c r="BM79" i="310" s="1"/>
  <c r="BN157" i="310"/>
  <c r="BN163" i="310" s="1"/>
  <c r="BN165" i="310" s="1"/>
  <c r="BM159" i="310"/>
  <c r="BX153" i="310"/>
  <c r="BW155" i="310"/>
  <c r="BW189" i="310"/>
  <c r="CQ261" i="310"/>
  <c r="CL260" i="310"/>
  <c r="CL278" i="310" s="1"/>
  <c r="CL279" i="310" s="1"/>
  <c r="BI213" i="310"/>
  <c r="BJ207" i="310"/>
  <c r="CA279" i="310"/>
  <c r="CX201" i="310"/>
  <c r="AM281" i="310"/>
  <c r="AM282" i="310" s="1"/>
  <c r="AM251" i="310"/>
  <c r="AM250" i="310"/>
  <c r="AL285" i="310"/>
  <c r="AL287" i="310"/>
  <c r="AL288" i="310" s="1"/>
  <c r="CH261" i="310"/>
  <c r="CC260" i="310"/>
  <c r="CC278" i="310" s="1"/>
  <c r="CC279" i="310" s="1"/>
  <c r="BV110" i="310"/>
  <c r="BW108" i="310"/>
  <c r="BV132" i="310"/>
  <c r="AM285" i="310"/>
  <c r="CX167" i="310"/>
  <c r="I43" i="447"/>
  <c r="I39" i="447"/>
  <c r="AM269" i="310"/>
  <c r="AM270" i="310" s="1"/>
  <c r="CG231" i="310"/>
  <c r="CK229" i="310"/>
  <c r="CF260" i="310"/>
  <c r="CF278" i="310" s="1"/>
  <c r="CF231" i="310"/>
  <c r="CI229" i="310"/>
  <c r="CI230" i="310" s="1"/>
  <c r="AO241" i="310"/>
  <c r="AN242" i="310"/>
  <c r="AN263" i="310"/>
  <c r="AO245" i="310"/>
  <c r="AP245" i="310" s="1"/>
  <c r="AP246" i="310" s="1"/>
  <c r="AN246" i="310"/>
  <c r="AN266" i="310"/>
  <c r="AN249" i="310"/>
  <c r="AL282" i="310"/>
  <c r="BX279" i="310"/>
  <c r="BY278" i="310"/>
  <c r="BY279" i="310" s="1"/>
  <c r="BR116" i="310"/>
  <c r="BR147" i="310"/>
  <c r="BR148" i="310"/>
  <c r="BR145" i="310"/>
  <c r="BR143" i="310"/>
  <c r="BR117" i="310"/>
  <c r="BR146" i="310"/>
  <c r="BR138" i="310"/>
  <c r="BS115" i="310"/>
  <c r="BS144" i="310" s="1"/>
  <c r="BU94" i="310"/>
  <c r="BS123" i="310"/>
  <c r="BS96" i="310"/>
  <c r="BT94" i="310"/>
  <c r="BT96" i="310" s="1"/>
  <c r="BP160" i="310"/>
  <c r="BN195" i="310"/>
  <c r="BO195" i="310" s="1"/>
  <c r="BN162" i="310"/>
  <c r="BX114" i="310"/>
  <c r="BX135" i="310"/>
  <c r="BY135" i="310" s="1"/>
  <c r="BY136" i="310" s="1"/>
  <c r="BZ112" i="310"/>
  <c r="BH77" i="310"/>
  <c r="BM165" i="310"/>
  <c r="BO160" i="310"/>
  <c r="BY114" i="310"/>
  <c r="BZ126" i="310"/>
  <c r="BZ100" i="310"/>
  <c r="CA98" i="310"/>
  <c r="BO173" i="310"/>
  <c r="BP171" i="310"/>
  <c r="BN173" i="310"/>
  <c r="BN204" i="310"/>
  <c r="BO204" i="310" s="1"/>
  <c r="BQ178" i="310"/>
  <c r="BP180" i="310"/>
  <c r="CW18" i="310"/>
  <c r="CX17" i="310"/>
  <c r="CW11" i="310"/>
  <c r="CX10" i="310"/>
  <c r="CP267" i="310"/>
  <c r="CL264" i="310"/>
  <c r="CK264" i="310"/>
  <c r="J39" i="447" l="1"/>
  <c r="BS138" i="310"/>
  <c r="BT138" i="310" s="1"/>
  <c r="BV90" i="310"/>
  <c r="BU92" i="310"/>
  <c r="BU120" i="310"/>
  <c r="CH231" i="310"/>
  <c r="CM229" i="310"/>
  <c r="AB108" i="3"/>
  <c r="CI92" i="4"/>
  <c r="CJ92" i="4"/>
  <c r="CK92" i="4"/>
  <c r="CL92" i="4"/>
  <c r="BW129" i="310"/>
  <c r="BW80" i="310" s="1"/>
  <c r="BW106" i="310"/>
  <c r="BY101" i="310"/>
  <c r="BY103" i="310" s="1"/>
  <c r="BX104" i="310"/>
  <c r="BX103" i="310"/>
  <c r="BZ101" i="310"/>
  <c r="CV103" i="4"/>
  <c r="CW104" i="4"/>
  <c r="CW106" i="4" s="1"/>
  <c r="BR230" i="1"/>
  <c r="BT73" i="1"/>
  <c r="BR74" i="1"/>
  <c r="BW73" i="1"/>
  <c r="BX176" i="1"/>
  <c r="BX73" i="1" s="1"/>
  <c r="BO230" i="1"/>
  <c r="BO74" i="1"/>
  <c r="BV74" i="1"/>
  <c r="BV230" i="1"/>
  <c r="CE230" i="1"/>
  <c r="CE74" i="1"/>
  <c r="CA73" i="1"/>
  <c r="CB176" i="1"/>
  <c r="BS74" i="1"/>
  <c r="BS230" i="1"/>
  <c r="CG176" i="1"/>
  <c r="CF73" i="1"/>
  <c r="BZ74" i="1"/>
  <c r="BZ230" i="1"/>
  <c r="BJ85" i="3"/>
  <c r="BJ87" i="3" s="1"/>
  <c r="BI220" i="4"/>
  <c r="BM186" i="1"/>
  <c r="BI105" i="3"/>
  <c r="BJ105" i="3" s="1"/>
  <c r="BI196" i="1"/>
  <c r="BI201" i="1" s="1"/>
  <c r="BI112" i="3"/>
  <c r="CX197" i="1"/>
  <c r="CW218" i="4"/>
  <c r="BL31" i="3"/>
  <c r="BL32" i="3"/>
  <c r="BL33" i="3" s="1"/>
  <c r="BL51" i="3" s="1"/>
  <c r="BL78" i="3"/>
  <c r="BJ220" i="4"/>
  <c r="BK85" i="3"/>
  <c r="BK87" i="3" s="1"/>
  <c r="BG115" i="3"/>
  <c r="BG117" i="3"/>
  <c r="BG118" i="3" s="1"/>
  <c r="BK186" i="1"/>
  <c r="BH114" i="3"/>
  <c r="BH120" i="3"/>
  <c r="BN27" i="3"/>
  <c r="BM81" i="3"/>
  <c r="BM24" i="3"/>
  <c r="AD53" i="3"/>
  <c r="AE52" i="3"/>
  <c r="AK118" i="3"/>
  <c r="AF118" i="3"/>
  <c r="AC108" i="3"/>
  <c r="AC54" i="3"/>
  <c r="AC55" i="3"/>
  <c r="AV118" i="3"/>
  <c r="BA118" i="3"/>
  <c r="N52" i="3"/>
  <c r="N53" i="3" s="1"/>
  <c r="M53" i="3"/>
  <c r="O52" i="3"/>
  <c r="O53" i="3" s="1"/>
  <c r="P52" i="3"/>
  <c r="M106" i="3"/>
  <c r="AZ105" i="3"/>
  <c r="J108" i="3"/>
  <c r="K106" i="3"/>
  <c r="K107" i="3" s="1"/>
  <c r="AZ120" i="3"/>
  <c r="AZ114" i="3"/>
  <c r="H108" i="3"/>
  <c r="BB118" i="3"/>
  <c r="AW118" i="3"/>
  <c r="AX120" i="3"/>
  <c r="AX114" i="3"/>
  <c r="I108" i="3"/>
  <c r="AY114" i="3"/>
  <c r="AY120" i="3"/>
  <c r="CV73" i="2"/>
  <c r="CV79" i="2" s="1"/>
  <c r="CU45" i="2"/>
  <c r="CK52" i="3"/>
  <c r="CL52" i="3" s="1"/>
  <c r="CM52" i="3" s="1"/>
  <c r="CN52" i="3" s="1"/>
  <c r="CJ106" i="3"/>
  <c r="CN106" i="3" s="1"/>
  <c r="CX114" i="1"/>
  <c r="V118" i="3"/>
  <c r="AA118" i="3"/>
  <c r="U118" i="3"/>
  <c r="Z118" i="3"/>
  <c r="CO105" i="4"/>
  <c r="CN108" i="4"/>
  <c r="CJ80" i="4"/>
  <c r="CJ81" i="4" s="1"/>
  <c r="CK79" i="4"/>
  <c r="CM108" i="4"/>
  <c r="CM109" i="4" s="1"/>
  <c r="CR100" i="3"/>
  <c r="CR103" i="3" s="1"/>
  <c r="CS46" i="3"/>
  <c r="CR49" i="3"/>
  <c r="CS49" i="3" s="1"/>
  <c r="CQ103" i="3"/>
  <c r="CX116" i="1"/>
  <c r="CX61" i="2"/>
  <c r="CS85" i="2"/>
  <c r="CX81" i="2" s="1"/>
  <c r="CR47" i="2"/>
  <c r="CT81" i="2"/>
  <c r="CT85" i="2" s="1"/>
  <c r="CW119" i="1"/>
  <c r="CX118" i="1"/>
  <c r="CX119" i="1" s="1"/>
  <c r="CX70" i="2"/>
  <c r="CX68" i="2"/>
  <c r="CT46" i="3"/>
  <c r="CX83" i="2"/>
  <c r="CX18" i="310"/>
  <c r="CH176" i="4"/>
  <c r="CM153" i="4"/>
  <c r="CM68" i="4"/>
  <c r="CO94" i="4"/>
  <c r="CO67" i="4"/>
  <c r="BM198" i="310"/>
  <c r="BM199" i="310" s="1"/>
  <c r="BT123" i="310"/>
  <c r="BT124" i="310" s="1"/>
  <c r="BJ208" i="310"/>
  <c r="BJ213" i="310"/>
  <c r="BJ214" i="310" s="1"/>
  <c r="BP157" i="310"/>
  <c r="BN192" i="310"/>
  <c r="BO192" i="310" s="1"/>
  <c r="BO198" i="310" s="1"/>
  <c r="BO199" i="310" s="1"/>
  <c r="BN159" i="310"/>
  <c r="BO157" i="310"/>
  <c r="BO159" i="310" s="1"/>
  <c r="BK214" i="310"/>
  <c r="BK216" i="310"/>
  <c r="AM287" i="310"/>
  <c r="AM288" i="310" s="1"/>
  <c r="BI214" i="310"/>
  <c r="BI216" i="310"/>
  <c r="BN182" i="310"/>
  <c r="BM184" i="310"/>
  <c r="BM174" i="310"/>
  <c r="CJ260" i="310"/>
  <c r="CJ278" i="310" s="1"/>
  <c r="CJ279" i="310" s="1"/>
  <c r="CJ231" i="310"/>
  <c r="CO229" i="310"/>
  <c r="AP225" i="310"/>
  <c r="AP226" i="310" s="1"/>
  <c r="AQ225" i="310"/>
  <c r="AO257" i="310"/>
  <c r="AP257" i="310" s="1"/>
  <c r="AO226" i="310"/>
  <c r="CD260" i="310"/>
  <c r="CD261" i="310" s="1"/>
  <c r="BX189" i="310"/>
  <c r="BY189" i="310" s="1"/>
  <c r="BX155" i="310"/>
  <c r="BZ153" i="310"/>
  <c r="BY153" i="310"/>
  <c r="BY155" i="310" s="1"/>
  <c r="CV261" i="310"/>
  <c r="CV260" i="310" s="1"/>
  <c r="CV278" i="310" s="1"/>
  <c r="CV279" i="310" s="1"/>
  <c r="CQ260" i="310"/>
  <c r="CQ278" i="310" s="1"/>
  <c r="CQ279" i="310" s="1"/>
  <c r="BL207" i="310"/>
  <c r="BL213" i="310" s="1"/>
  <c r="BL176" i="310"/>
  <c r="BL175" i="310"/>
  <c r="BJ184" i="310"/>
  <c r="BJ185" i="310"/>
  <c r="BJ186" i="310" s="1"/>
  <c r="AN251" i="310"/>
  <c r="AN250" i="310"/>
  <c r="AN281" i="310"/>
  <c r="CM261" i="310"/>
  <c r="CH260" i="310"/>
  <c r="CH278" i="310" s="1"/>
  <c r="CH279" i="310" s="1"/>
  <c r="AO266" i="310"/>
  <c r="AP266" i="310" s="1"/>
  <c r="AQ245" i="310"/>
  <c r="AO246" i="310"/>
  <c r="AO249" i="310"/>
  <c r="AN284" i="310"/>
  <c r="AN269" i="310"/>
  <c r="AN270" i="310" s="1"/>
  <c r="CF279" i="310"/>
  <c r="AO263" i="310"/>
  <c r="AO281" i="310" s="1"/>
  <c r="AO282" i="310" s="1"/>
  <c r="AQ241" i="310"/>
  <c r="AO242" i="310"/>
  <c r="AP241" i="310"/>
  <c r="CL231" i="310"/>
  <c r="CP229" i="310"/>
  <c r="CK260" i="310"/>
  <c r="CK278" i="310" s="1"/>
  <c r="CN229" i="310"/>
  <c r="CN230" i="310" s="1"/>
  <c r="CK231" i="310"/>
  <c r="BW132" i="310"/>
  <c r="BX108" i="310"/>
  <c r="BW110" i="310"/>
  <c r="CD278" i="310"/>
  <c r="CD279" i="310" s="1"/>
  <c r="BR139" i="310"/>
  <c r="BU96" i="310"/>
  <c r="BV94" i="310"/>
  <c r="BU123" i="310"/>
  <c r="BU138" i="310" s="1"/>
  <c r="BU115" i="310"/>
  <c r="BU144" i="310" s="1"/>
  <c r="BT115" i="310"/>
  <c r="BT117" i="310" s="1"/>
  <c r="BS117" i="310"/>
  <c r="BS116" i="310"/>
  <c r="BS146" i="310"/>
  <c r="BS143" i="310"/>
  <c r="BS148" i="310"/>
  <c r="BS145" i="310"/>
  <c r="BS147" i="310"/>
  <c r="BO205" i="310"/>
  <c r="BQ160" i="310"/>
  <c r="BP195" i="310"/>
  <c r="BP162" i="310"/>
  <c r="BO162" i="310"/>
  <c r="BO163" i="310"/>
  <c r="BO165" i="310" s="1"/>
  <c r="CA112" i="310"/>
  <c r="BZ114" i="310"/>
  <c r="BZ135" i="310"/>
  <c r="BQ171" i="310"/>
  <c r="BP173" i="310"/>
  <c r="BP204" i="310"/>
  <c r="CA100" i="310"/>
  <c r="CB98" i="310"/>
  <c r="CA126" i="310"/>
  <c r="BO196" i="310"/>
  <c r="CP264" i="310"/>
  <c r="CQ264" i="310"/>
  <c r="CU267" i="310"/>
  <c r="CX11" i="310"/>
  <c r="BR178" i="310"/>
  <c r="BQ180" i="310"/>
  <c r="BS139" i="310" l="1"/>
  <c r="BN79" i="310"/>
  <c r="BO79" i="310" s="1"/>
  <c r="BO80" i="310" s="1"/>
  <c r="BW90" i="310"/>
  <c r="BV92" i="310"/>
  <c r="BV120" i="310"/>
  <c r="CR229" i="310"/>
  <c r="CS229" i="310" s="1"/>
  <c r="CS230" i="310" s="1"/>
  <c r="CM231" i="310"/>
  <c r="CA101" i="310"/>
  <c r="BZ103" i="310"/>
  <c r="BZ104" i="310"/>
  <c r="BY104" i="310"/>
  <c r="BY106" i="310" s="1"/>
  <c r="BX106" i="310"/>
  <c r="BX129" i="310"/>
  <c r="CH176" i="1"/>
  <c r="CH73" i="1" s="1"/>
  <c r="CG73" i="1"/>
  <c r="CA74" i="1"/>
  <c r="CA230" i="1"/>
  <c r="BW74" i="1"/>
  <c r="BW230" i="1"/>
  <c r="BT74" i="1"/>
  <c r="BT230" i="1"/>
  <c r="CF74" i="1"/>
  <c r="CF230" i="1"/>
  <c r="CC176" i="1"/>
  <c r="CC73" i="1" s="1"/>
  <c r="CB73" i="1"/>
  <c r="BX74" i="1"/>
  <c r="BX230" i="1"/>
  <c r="BK105" i="3"/>
  <c r="BK112" i="3"/>
  <c r="BK196" i="1"/>
  <c r="BK201" i="1" s="1"/>
  <c r="BK220" i="4"/>
  <c r="BL85" i="3"/>
  <c r="BL87" i="3" s="1"/>
  <c r="BM32" i="3"/>
  <c r="BM33" i="3" s="1"/>
  <c r="BM51" i="3" s="1"/>
  <c r="BM78" i="3"/>
  <c r="BM31" i="3"/>
  <c r="BH115" i="3"/>
  <c r="BH117" i="3"/>
  <c r="BH118" i="3" s="1"/>
  <c r="BI114" i="3"/>
  <c r="BI120" i="3"/>
  <c r="BJ112" i="3"/>
  <c r="BJ196" i="1"/>
  <c r="BJ201" i="1" s="1"/>
  <c r="BN81" i="3"/>
  <c r="BO81" i="3" s="1"/>
  <c r="BN24" i="3"/>
  <c r="BP27" i="3"/>
  <c r="BO27" i="3"/>
  <c r="BC115" i="3"/>
  <c r="AX117" i="3"/>
  <c r="AX115" i="3"/>
  <c r="AZ117" i="3"/>
  <c r="BE115" i="3"/>
  <c r="AZ115" i="3"/>
  <c r="AY117" i="3"/>
  <c r="BD115" i="3"/>
  <c r="AY115" i="3"/>
  <c r="M107" i="3"/>
  <c r="N106" i="3" s="1"/>
  <c r="N107" i="3" s="1"/>
  <c r="O106" i="3" s="1"/>
  <c r="O107" i="3" s="1"/>
  <c r="P106" i="3" s="1"/>
  <c r="P107" i="3" s="1"/>
  <c r="Q106" i="3"/>
  <c r="Q107" i="3" s="1"/>
  <c r="AF52" i="3"/>
  <c r="AE53" i="3"/>
  <c r="L108" i="3"/>
  <c r="K108" i="3"/>
  <c r="Q52" i="3"/>
  <c r="P53" i="3"/>
  <c r="AD54" i="3"/>
  <c r="AD55" i="3"/>
  <c r="AD108" i="3"/>
  <c r="CW73" i="2"/>
  <c r="CW79" i="2" s="1"/>
  <c r="CW45" i="2" s="1"/>
  <c r="CX45" i="2" s="1"/>
  <c r="CV45" i="2"/>
  <c r="CX117" i="1"/>
  <c r="CX69" i="2"/>
  <c r="CS100" i="3"/>
  <c r="CS103" i="3" s="1"/>
  <c r="CN109" i="4"/>
  <c r="CK80" i="4"/>
  <c r="CK81" i="4" s="1"/>
  <c r="CL79" i="4"/>
  <c r="CP105" i="4"/>
  <c r="CO108" i="4"/>
  <c r="CO109" i="4" s="1"/>
  <c r="CS47" i="2"/>
  <c r="CR57" i="2"/>
  <c r="CS57" i="2" s="1"/>
  <c r="CT100" i="3"/>
  <c r="CU46" i="3"/>
  <c r="CT49" i="3"/>
  <c r="CT47" i="2"/>
  <c r="CT57" i="2" s="1"/>
  <c r="CU81" i="2"/>
  <c r="CU85" i="2" s="1"/>
  <c r="AO275" i="310"/>
  <c r="AO276" i="310" s="1"/>
  <c r="CP67" i="4"/>
  <c r="CM166" i="4"/>
  <c r="CM155" i="4"/>
  <c r="CP94" i="4"/>
  <c r="BY190" i="310"/>
  <c r="AP258" i="310"/>
  <c r="BO193" i="310"/>
  <c r="BM207" i="310"/>
  <c r="BM176" i="310"/>
  <c r="BM175" i="310"/>
  <c r="BP163" i="310"/>
  <c r="BP165" i="310" s="1"/>
  <c r="BQ157" i="310"/>
  <c r="BP159" i="310"/>
  <c r="BP192" i="310"/>
  <c r="BP198" i="310" s="1"/>
  <c r="BN198" i="310"/>
  <c r="BN199" i="310" s="1"/>
  <c r="AP275" i="310"/>
  <c r="AP276" i="310" s="1"/>
  <c r="CO260" i="310"/>
  <c r="CO278" i="310" s="1"/>
  <c r="CO279" i="310" s="1"/>
  <c r="CO231" i="310"/>
  <c r="CT229" i="310"/>
  <c r="BL214" i="310"/>
  <c r="BL216" i="310"/>
  <c r="AQ257" i="310"/>
  <c r="AQ275" i="310" s="1"/>
  <c r="AQ276" i="310" s="1"/>
  <c r="AR225" i="310"/>
  <c r="AQ226" i="310"/>
  <c r="BP182" i="310"/>
  <c r="BN184" i="310"/>
  <c r="BN174" i="310"/>
  <c r="BK217" i="310"/>
  <c r="BK76" i="310"/>
  <c r="BK77" i="310" s="1"/>
  <c r="BN185" i="310"/>
  <c r="BN186" i="310" s="1"/>
  <c r="BZ155" i="310"/>
  <c r="CA153" i="310"/>
  <c r="BZ189" i="310"/>
  <c r="BI76" i="310"/>
  <c r="BI217" i="310"/>
  <c r="BJ216" i="310"/>
  <c r="BJ217" i="310" s="1"/>
  <c r="CK279" i="310"/>
  <c r="AR245" i="310"/>
  <c r="AQ246" i="310"/>
  <c r="AQ266" i="310"/>
  <c r="AQ249" i="310"/>
  <c r="CR261" i="310"/>
  <c r="CM260" i="310"/>
  <c r="CM278" i="310" s="1"/>
  <c r="CM279" i="310" s="1"/>
  <c r="BY108" i="310"/>
  <c r="BY110" i="310" s="1"/>
  <c r="BZ108" i="310"/>
  <c r="BX132" i="310"/>
  <c r="BY132" i="310" s="1"/>
  <c r="BX110" i="310"/>
  <c r="AP242" i="310"/>
  <c r="AP249" i="310"/>
  <c r="AP250" i="310" s="1"/>
  <c r="AP267" i="310"/>
  <c r="BT139" i="310"/>
  <c r="CU229" i="310"/>
  <c r="CQ231" i="310"/>
  <c r="CP260" i="310"/>
  <c r="CP231" i="310"/>
  <c r="CI278" i="310"/>
  <c r="CI279" i="310" s="1"/>
  <c r="AN285" i="310"/>
  <c r="AN287" i="310"/>
  <c r="AN288" i="310" s="1"/>
  <c r="AO284" i="310"/>
  <c r="AP284" i="310" s="1"/>
  <c r="AO269" i="310"/>
  <c r="AO270" i="310" s="1"/>
  <c r="CI260" i="310"/>
  <c r="CI261" i="310" s="1"/>
  <c r="AQ263" i="310"/>
  <c r="AQ281" i="310" s="1"/>
  <c r="AR241" i="310"/>
  <c r="AQ242" i="310"/>
  <c r="AO250" i="310"/>
  <c r="AO251" i="310"/>
  <c r="AN282" i="310"/>
  <c r="AP281" i="310"/>
  <c r="AP282" i="310" s="1"/>
  <c r="AP263" i="310"/>
  <c r="AP264" i="310" s="1"/>
  <c r="BU146" i="310"/>
  <c r="BU116" i="310"/>
  <c r="BU145" i="310"/>
  <c r="BU117" i="310"/>
  <c r="BU148" i="310"/>
  <c r="BU143" i="310"/>
  <c r="BU147" i="310"/>
  <c r="BU139" i="310"/>
  <c r="BW94" i="310"/>
  <c r="BV96" i="310"/>
  <c r="BV123" i="310"/>
  <c r="BV138" i="310" s="1"/>
  <c r="BV115" i="310"/>
  <c r="BR171" i="310"/>
  <c r="BQ173" i="310"/>
  <c r="BQ204" i="310"/>
  <c r="CA114" i="310"/>
  <c r="CB112" i="310"/>
  <c r="CA135" i="310"/>
  <c r="BR160" i="310"/>
  <c r="BQ162" i="310"/>
  <c r="BQ195" i="310"/>
  <c r="CB100" i="310"/>
  <c r="CB126" i="310"/>
  <c r="CC98" i="310"/>
  <c r="CD98" i="310" s="1"/>
  <c r="CD100" i="310" s="1"/>
  <c r="BQ163" i="310"/>
  <c r="CU264" i="310"/>
  <c r="CV264" i="310"/>
  <c r="BR180" i="310"/>
  <c r="BS178" i="310"/>
  <c r="BT178" i="310" s="1"/>
  <c r="BW120" i="310" l="1"/>
  <c r="BX90" i="310"/>
  <c r="BW92" i="310"/>
  <c r="BY90" i="310"/>
  <c r="BY92" i="310" s="1"/>
  <c r="CR231" i="310"/>
  <c r="CW229" i="310"/>
  <c r="CW231" i="310" s="1"/>
  <c r="BZ129" i="310"/>
  <c r="BZ80" i="310" s="1"/>
  <c r="BZ106" i="310"/>
  <c r="BY129" i="310"/>
  <c r="BY130" i="310" s="1"/>
  <c r="BX80" i="310"/>
  <c r="CA104" i="310"/>
  <c r="CB101" i="310"/>
  <c r="CA103" i="310"/>
  <c r="CB74" i="1"/>
  <c r="CB230" i="1"/>
  <c r="CD73" i="1"/>
  <c r="CC230" i="1"/>
  <c r="CC74" i="1"/>
  <c r="Q108" i="3"/>
  <c r="CG230" i="1"/>
  <c r="CG74" i="1"/>
  <c r="CI73" i="1"/>
  <c r="CH74" i="1"/>
  <c r="CH230" i="1"/>
  <c r="BI115" i="3"/>
  <c r="BI117" i="3"/>
  <c r="BI118" i="3" s="1"/>
  <c r="BL220" i="4"/>
  <c r="BM85" i="3"/>
  <c r="BM87" i="3" s="1"/>
  <c r="BP81" i="3"/>
  <c r="BQ27" i="3"/>
  <c r="BP24" i="3"/>
  <c r="BJ120" i="3"/>
  <c r="BJ114" i="3"/>
  <c r="BK114" i="3"/>
  <c r="BK120" i="3"/>
  <c r="BL105" i="3"/>
  <c r="BL112" i="3"/>
  <c r="BL196" i="1"/>
  <c r="BL201" i="1" s="1"/>
  <c r="BN78" i="3"/>
  <c r="BN31" i="3"/>
  <c r="BN32" i="3"/>
  <c r="BN33" i="3" s="1"/>
  <c r="BN51" i="3" s="1"/>
  <c r="BO51" i="3" s="1"/>
  <c r="BO24" i="3"/>
  <c r="Q53" i="3"/>
  <c r="R52" i="3" s="1"/>
  <c r="P108" i="3"/>
  <c r="AG52" i="3"/>
  <c r="AE54" i="3"/>
  <c r="AE108" i="3"/>
  <c r="AE55" i="3"/>
  <c r="AF53" i="3"/>
  <c r="AF108" i="3" s="1"/>
  <c r="M108" i="3"/>
  <c r="O108" i="3"/>
  <c r="N108" i="3"/>
  <c r="BC118" i="3"/>
  <c r="AX118" i="3"/>
  <c r="BD118" i="3"/>
  <c r="AY118" i="3"/>
  <c r="BE118" i="3"/>
  <c r="AZ118" i="3"/>
  <c r="CQ105" i="4"/>
  <c r="CP108" i="4"/>
  <c r="CP109" i="4" s="1"/>
  <c r="CN79" i="4"/>
  <c r="CL80" i="4"/>
  <c r="CL81" i="4" s="1"/>
  <c r="CV46" i="3"/>
  <c r="CU100" i="3"/>
  <c r="CU103" i="3" s="1"/>
  <c r="CU49" i="3"/>
  <c r="CT103" i="3"/>
  <c r="CU47" i="2"/>
  <c r="CU57" i="2" s="1"/>
  <c r="CV81" i="2"/>
  <c r="CV85" i="2" s="1"/>
  <c r="CQ94" i="4"/>
  <c r="CM156" i="4"/>
  <c r="CM163" i="4"/>
  <c r="CM182" i="4"/>
  <c r="CM164" i="4"/>
  <c r="CQ67" i="4"/>
  <c r="CN278" i="310"/>
  <c r="CN279" i="310" s="1"/>
  <c r="BP199" i="310"/>
  <c r="BI77" i="310"/>
  <c r="BJ76" i="310"/>
  <c r="BJ77" i="310" s="1"/>
  <c r="BO174" i="310"/>
  <c r="BN207" i="310"/>
  <c r="BN213" i="310" s="1"/>
  <c r="BN176" i="310"/>
  <c r="BN175" i="310"/>
  <c r="BL217" i="310"/>
  <c r="BL76" i="310"/>
  <c r="BL77" i="310" s="1"/>
  <c r="CA155" i="310"/>
  <c r="CB153" i="310"/>
  <c r="CA189" i="310"/>
  <c r="BQ182" i="310"/>
  <c r="BP184" i="310"/>
  <c r="BP174" i="310"/>
  <c r="AS225" i="310"/>
  <c r="AR257" i="310"/>
  <c r="AR275" i="310" s="1"/>
  <c r="AR226" i="310"/>
  <c r="BP185" i="310"/>
  <c r="BP186" i="310" s="1"/>
  <c r="CN260" i="310"/>
  <c r="CN261" i="310" s="1"/>
  <c r="CT231" i="310"/>
  <c r="CT260" i="310"/>
  <c r="CT278" i="310" s="1"/>
  <c r="CT279" i="310" s="1"/>
  <c r="BR157" i="310"/>
  <c r="BQ159" i="310"/>
  <c r="BQ192" i="310"/>
  <c r="BQ79" i="310" s="1"/>
  <c r="BM213" i="310"/>
  <c r="AP285" i="310"/>
  <c r="AP287" i="310"/>
  <c r="AP288" i="310" s="1"/>
  <c r="AR246" i="310"/>
  <c r="AS245" i="310"/>
  <c r="AR266" i="310"/>
  <c r="AR249" i="310"/>
  <c r="BY133" i="310"/>
  <c r="CW261" i="310"/>
  <c r="CW260" i="310" s="1"/>
  <c r="CW278" i="310" s="1"/>
  <c r="CW279" i="310" s="1"/>
  <c r="CR260" i="310"/>
  <c r="CR278" i="310" s="1"/>
  <c r="CR279" i="310" s="1"/>
  <c r="AR263" i="310"/>
  <c r="AR281" i="310" s="1"/>
  <c r="AR282" i="310" s="1"/>
  <c r="AR242" i="310"/>
  <c r="AS241" i="310"/>
  <c r="CV231" i="310"/>
  <c r="CU260" i="310"/>
  <c r="CX229" i="310"/>
  <c r="CX230" i="310" s="1"/>
  <c r="CU231" i="310"/>
  <c r="BZ110" i="310"/>
  <c r="CA108" i="310"/>
  <c r="BZ132" i="310"/>
  <c r="AQ282" i="310"/>
  <c r="AQ284" i="310"/>
  <c r="AQ269" i="310"/>
  <c r="AQ270" i="310" s="1"/>
  <c r="AQ251" i="310"/>
  <c r="AQ250" i="310"/>
  <c r="AO285" i="310"/>
  <c r="AO287" i="310"/>
  <c r="AO288" i="310" s="1"/>
  <c r="CP278" i="310"/>
  <c r="AP269" i="310"/>
  <c r="AP270" i="310" s="1"/>
  <c r="BV139" i="310"/>
  <c r="BW96" i="310"/>
  <c r="BW123" i="310"/>
  <c r="BX94" i="310"/>
  <c r="BW115" i="310"/>
  <c r="BV144" i="310"/>
  <c r="BV117" i="310"/>
  <c r="BV148" i="310"/>
  <c r="BV147" i="310"/>
  <c r="BV146" i="310"/>
  <c r="BV143" i="310"/>
  <c r="BV145" i="310"/>
  <c r="BV116" i="310"/>
  <c r="CE98" i="310"/>
  <c r="CC126" i="310"/>
  <c r="CD126" i="310" s="1"/>
  <c r="CD127" i="310" s="1"/>
  <c r="CC100" i="310"/>
  <c r="CB135" i="310"/>
  <c r="CC112" i="310"/>
  <c r="CB114" i="310"/>
  <c r="BS160" i="310"/>
  <c r="BR195" i="310"/>
  <c r="BR162" i="310"/>
  <c r="BQ165" i="310"/>
  <c r="BS171" i="310"/>
  <c r="BR173" i="310"/>
  <c r="BR204" i="310"/>
  <c r="BT180" i="310"/>
  <c r="BS180" i="310"/>
  <c r="BU178" i="310"/>
  <c r="BZ90" i="310" l="1"/>
  <c r="BX92" i="310"/>
  <c r="BX120" i="310"/>
  <c r="BY120" i="310" s="1"/>
  <c r="BY121" i="310" s="1"/>
  <c r="CC101" i="310"/>
  <c r="CB103" i="310"/>
  <c r="CB104" i="310"/>
  <c r="CA129" i="310"/>
  <c r="CA80" i="310" s="1"/>
  <c r="CA106" i="310"/>
  <c r="CD230" i="1"/>
  <c r="CD74" i="1"/>
  <c r="CI74" i="1"/>
  <c r="CI230" i="1"/>
  <c r="BJ115" i="3"/>
  <c r="E42" i="447"/>
  <c r="E43" i="447" s="1"/>
  <c r="BJ117" i="3"/>
  <c r="BJ118" i="3" s="1"/>
  <c r="BO32" i="3"/>
  <c r="BO33" i="3" s="1"/>
  <c r="BO31" i="3"/>
  <c r="BP78" i="3"/>
  <c r="BP32" i="3"/>
  <c r="BP33" i="3" s="1"/>
  <c r="BP51" i="3" s="1"/>
  <c r="BP31" i="3"/>
  <c r="BK115" i="3"/>
  <c r="BK117" i="3"/>
  <c r="BK118" i="3" s="1"/>
  <c r="BR27" i="3"/>
  <c r="BQ81" i="3"/>
  <c r="BQ24" i="3"/>
  <c r="BL120" i="3"/>
  <c r="BL114" i="3"/>
  <c r="BO78" i="3"/>
  <c r="BM220" i="4"/>
  <c r="BN85" i="3"/>
  <c r="BN87" i="3" s="1"/>
  <c r="BQ186" i="1" s="1"/>
  <c r="BM196" i="1"/>
  <c r="BM201" i="1" s="1"/>
  <c r="BM112" i="3"/>
  <c r="BM105" i="3"/>
  <c r="AG106" i="3"/>
  <c r="AG53" i="3"/>
  <c r="AH52" i="3"/>
  <c r="S52" i="3"/>
  <c r="S53" i="3" s="1"/>
  <c r="R106" i="3"/>
  <c r="U52" i="3"/>
  <c r="R53" i="3"/>
  <c r="T52" i="3"/>
  <c r="T53" i="3" s="1"/>
  <c r="CO79" i="4"/>
  <c r="CN80" i="4"/>
  <c r="CN81" i="4" s="1"/>
  <c r="CS105" i="4"/>
  <c r="CQ108" i="4"/>
  <c r="CR105" i="4"/>
  <c r="CW81" i="2"/>
  <c r="CW85" i="2" s="1"/>
  <c r="CV47" i="2"/>
  <c r="CV57" i="2" s="1"/>
  <c r="CV100" i="3"/>
  <c r="CV49" i="3"/>
  <c r="CW46" i="3"/>
  <c r="AR269" i="310"/>
  <c r="AR270" i="310" s="1"/>
  <c r="CS67" i="4"/>
  <c r="CR67" i="4"/>
  <c r="CQ92" i="4" s="1"/>
  <c r="CM167" i="4"/>
  <c r="CM170" i="4"/>
  <c r="CM171" i="4" s="1"/>
  <c r="CM174" i="4" s="1"/>
  <c r="CS94" i="4"/>
  <c r="AR284" i="310"/>
  <c r="AR287" i="310" s="1"/>
  <c r="AR288" i="310" s="1"/>
  <c r="AS226" i="310"/>
  <c r="AT225" i="310"/>
  <c r="AU225" i="310" s="1"/>
  <c r="AU226" i="310" s="1"/>
  <c r="AS257" i="310"/>
  <c r="BN214" i="310"/>
  <c r="BN216" i="310"/>
  <c r="BP207" i="310"/>
  <c r="BP213" i="310" s="1"/>
  <c r="BP176" i="310"/>
  <c r="BP175" i="310"/>
  <c r="CC153" i="310"/>
  <c r="CB155" i="310"/>
  <c r="CB189" i="310"/>
  <c r="BO176" i="310"/>
  <c r="BO182" i="310"/>
  <c r="CX260" i="310"/>
  <c r="CX261" i="310" s="1"/>
  <c r="BQ198" i="310"/>
  <c r="BQ199" i="310" s="1"/>
  <c r="BO207" i="310"/>
  <c r="BR192" i="310"/>
  <c r="BR198" i="310" s="1"/>
  <c r="BR163" i="310"/>
  <c r="BR165" i="310" s="1"/>
  <c r="BR159" i="310"/>
  <c r="BS157" i="310"/>
  <c r="BS163" i="310" s="1"/>
  <c r="AR276" i="310"/>
  <c r="BR79" i="310"/>
  <c r="BM216" i="310"/>
  <c r="BM214" i="310"/>
  <c r="BR182" i="310"/>
  <c r="BR185" i="310" s="1"/>
  <c r="BR186" i="310" s="1"/>
  <c r="BQ184" i="310"/>
  <c r="BQ174" i="310"/>
  <c r="BQ185" i="310"/>
  <c r="BQ186" i="310" s="1"/>
  <c r="CS260" i="310"/>
  <c r="CS261" i="310" s="1"/>
  <c r="AR251" i="310"/>
  <c r="AR250" i="310"/>
  <c r="CA132" i="310"/>
  <c r="CB108" i="310"/>
  <c r="CA110" i="310"/>
  <c r="AS242" i="310"/>
  <c r="AT241" i="310"/>
  <c r="AS263" i="310"/>
  <c r="AS281" i="310" s="1"/>
  <c r="CU278" i="310"/>
  <c r="CP279" i="310"/>
  <c r="CS278" i="310"/>
  <c r="CS279" i="310" s="1"/>
  <c r="AQ285" i="310"/>
  <c r="AQ287" i="310"/>
  <c r="AQ288" i="310" s="1"/>
  <c r="AS246" i="310"/>
  <c r="AS266" i="310"/>
  <c r="AT245" i="310"/>
  <c r="AS249" i="310"/>
  <c r="BW116" i="310"/>
  <c r="BW145" i="310"/>
  <c r="BW117" i="310"/>
  <c r="BW147" i="310"/>
  <c r="BW143" i="310"/>
  <c r="BW148" i="310"/>
  <c r="BW146" i="310"/>
  <c r="BY94" i="310"/>
  <c r="BY96" i="310" s="1"/>
  <c r="BX123" i="310"/>
  <c r="BX138" i="310" s="1"/>
  <c r="BZ94" i="310"/>
  <c r="BX115" i="310"/>
  <c r="BX144" i="310" s="1"/>
  <c r="BX96" i="310"/>
  <c r="BW138" i="310"/>
  <c r="BW144" i="310"/>
  <c r="CC135" i="310"/>
  <c r="CD135" i="310" s="1"/>
  <c r="CC114" i="310"/>
  <c r="CE112" i="310"/>
  <c r="CD112" i="310"/>
  <c r="BU171" i="310"/>
  <c r="BS173" i="310"/>
  <c r="BS204" i="310"/>
  <c r="BT204" i="310" s="1"/>
  <c r="BT171" i="310"/>
  <c r="BU160" i="310"/>
  <c r="BS195" i="310"/>
  <c r="BS162" i="310"/>
  <c r="BT160" i="310"/>
  <c r="CE100" i="310"/>
  <c r="CE126" i="310"/>
  <c r="CF98" i="310"/>
  <c r="BV178" i="310"/>
  <c r="BU180" i="310"/>
  <c r="CA90" i="310" l="1"/>
  <c r="BZ92" i="310"/>
  <c r="BZ120" i="310"/>
  <c r="CN92" i="4"/>
  <c r="CO92" i="4"/>
  <c r="CP92" i="4"/>
  <c r="CB106" i="310"/>
  <c r="CB129" i="310"/>
  <c r="CB80" i="310" s="1"/>
  <c r="AR285" i="310"/>
  <c r="CD101" i="310"/>
  <c r="CD103" i="310" s="1"/>
  <c r="CC104" i="310"/>
  <c r="CE101" i="310"/>
  <c r="CC103" i="310"/>
  <c r="BP85" i="3"/>
  <c r="BP87" i="3" s="1"/>
  <c r="BO220" i="4"/>
  <c r="BM114" i="3"/>
  <c r="BM120" i="3"/>
  <c r="BO85" i="3"/>
  <c r="BO87" i="3" s="1"/>
  <c r="BN220" i="4"/>
  <c r="BQ32" i="3"/>
  <c r="BQ33" i="3" s="1"/>
  <c r="BQ51" i="3" s="1"/>
  <c r="BQ78" i="3"/>
  <c r="BQ31" i="3"/>
  <c r="BN112" i="3"/>
  <c r="BR186" i="1"/>
  <c r="BN105" i="3"/>
  <c r="BO105" i="3" s="1"/>
  <c r="BN196" i="1"/>
  <c r="BN201" i="1" s="1"/>
  <c r="BP186" i="1"/>
  <c r="BL117" i="3"/>
  <c r="BL118" i="3" s="1"/>
  <c r="BL115" i="3"/>
  <c r="BS27" i="3"/>
  <c r="BR24" i="3"/>
  <c r="BR81" i="3"/>
  <c r="AI52" i="3"/>
  <c r="AH53" i="3"/>
  <c r="V52" i="3"/>
  <c r="U53" i="3"/>
  <c r="AG55" i="3"/>
  <c r="R107" i="3"/>
  <c r="S106" i="3" s="1"/>
  <c r="S107" i="3" s="1"/>
  <c r="T106" i="3" s="1"/>
  <c r="T107" i="3" s="1"/>
  <c r="U106" i="3" s="1"/>
  <c r="U107" i="3" s="1"/>
  <c r="V106" i="3"/>
  <c r="V107" i="3" s="1"/>
  <c r="AG107" i="3"/>
  <c r="AH106" i="3" s="1"/>
  <c r="AH107" i="3" s="1"/>
  <c r="AI106" i="3" s="1"/>
  <c r="AI107" i="3" s="1"/>
  <c r="AJ106" i="3" s="1"/>
  <c r="AJ107" i="3" s="1"/>
  <c r="AK106" i="3"/>
  <c r="AK107" i="3" s="1"/>
  <c r="CO80" i="4"/>
  <c r="CO81" i="4" s="1"/>
  <c r="CP79" i="4"/>
  <c r="CT105" i="4"/>
  <c r="CS108" i="4"/>
  <c r="CQ109" i="4"/>
  <c r="CR108" i="4"/>
  <c r="CR109" i="4" s="1"/>
  <c r="CV103" i="3"/>
  <c r="CW47" i="2"/>
  <c r="CX85" i="2"/>
  <c r="CW49" i="3"/>
  <c r="CX49" i="3" s="1"/>
  <c r="CX46" i="3"/>
  <c r="CW100" i="3"/>
  <c r="CW103" i="3" s="1"/>
  <c r="CT94" i="4"/>
  <c r="CT67" i="4"/>
  <c r="CR153" i="4"/>
  <c r="CR68" i="4"/>
  <c r="CM176" i="4"/>
  <c r="BR199" i="310"/>
  <c r="BX139" i="310"/>
  <c r="BO208" i="310"/>
  <c r="BO213" i="310"/>
  <c r="BO214" i="310" s="1"/>
  <c r="BQ207" i="310"/>
  <c r="BQ213" i="310" s="1"/>
  <c r="BQ176" i="310"/>
  <c r="BQ175" i="310"/>
  <c r="BM76" i="310"/>
  <c r="BM217" i="310"/>
  <c r="BO216" i="310"/>
  <c r="AS275" i="310"/>
  <c r="BP214" i="310"/>
  <c r="BP216" i="310"/>
  <c r="AV225" i="310"/>
  <c r="AT226" i="310"/>
  <c r="AT257" i="310"/>
  <c r="AT275" i="310" s="1"/>
  <c r="AT276" i="310" s="1"/>
  <c r="BY123" i="310"/>
  <c r="BY124" i="310" s="1"/>
  <c r="BS182" i="310"/>
  <c r="BR184" i="310"/>
  <c r="BR174" i="310"/>
  <c r="BT157" i="310"/>
  <c r="BT159" i="310" s="1"/>
  <c r="BU157" i="310"/>
  <c r="BS192" i="310"/>
  <c r="BT192" i="310" s="1"/>
  <c r="BS159" i="310"/>
  <c r="BO184" i="310"/>
  <c r="BO185" i="310"/>
  <c r="BO186" i="310" s="1"/>
  <c r="CD153" i="310"/>
  <c r="CD155" i="310" s="1"/>
  <c r="CC155" i="310"/>
  <c r="CC189" i="310"/>
  <c r="CD189" i="310" s="1"/>
  <c r="CE153" i="310"/>
  <c r="BN217" i="310"/>
  <c r="BN76" i="310"/>
  <c r="BN77" i="310" s="1"/>
  <c r="CC108" i="310"/>
  <c r="CD108" i="310" s="1"/>
  <c r="CD110" i="310" s="1"/>
  <c r="CB110" i="310"/>
  <c r="CB132" i="310"/>
  <c r="AS284" i="310"/>
  <c r="AS269" i="310"/>
  <c r="AS270" i="310" s="1"/>
  <c r="CU279" i="310"/>
  <c r="CX278" i="310"/>
  <c r="CX279" i="310" s="1"/>
  <c r="AV245" i="310"/>
  <c r="AT246" i="310"/>
  <c r="AT266" i="310"/>
  <c r="AU266" i="310" s="1"/>
  <c r="AT249" i="310"/>
  <c r="AU245" i="310"/>
  <c r="AU246" i="310" s="1"/>
  <c r="AS282" i="310"/>
  <c r="BT195" i="310"/>
  <c r="BT196" i="310" s="1"/>
  <c r="AS250" i="310"/>
  <c r="AS251" i="310"/>
  <c r="AV241" i="310"/>
  <c r="AT263" i="310"/>
  <c r="AU263" i="310" s="1"/>
  <c r="AT242" i="310"/>
  <c r="AU241" i="310"/>
  <c r="BX117" i="310"/>
  <c r="BX146" i="310"/>
  <c r="BX148" i="310"/>
  <c r="BX143" i="310"/>
  <c r="BX116" i="310"/>
  <c r="BX145" i="310"/>
  <c r="BX147" i="310"/>
  <c r="BY115" i="310"/>
  <c r="BY117" i="310" s="1"/>
  <c r="CD136" i="310"/>
  <c r="BZ115" i="310"/>
  <c r="BZ144" i="310" s="1"/>
  <c r="CA94" i="310"/>
  <c r="BZ96" i="310"/>
  <c r="BZ123" i="310"/>
  <c r="BZ138" i="310" s="1"/>
  <c r="BW139" i="310"/>
  <c r="BY138" i="310"/>
  <c r="BT205" i="310"/>
  <c r="BS165" i="310"/>
  <c r="BT163" i="310"/>
  <c r="BT165" i="310" s="1"/>
  <c r="CD114" i="310"/>
  <c r="BV160" i="310"/>
  <c r="BU195" i="310"/>
  <c r="BU162" i="310"/>
  <c r="BT173" i="310"/>
  <c r="BV171" i="310"/>
  <c r="BU173" i="310"/>
  <c r="BU204" i="310"/>
  <c r="CE114" i="310"/>
  <c r="CF112" i="310"/>
  <c r="CE135" i="310"/>
  <c r="CF126" i="310"/>
  <c r="CF100" i="310"/>
  <c r="CG98" i="310"/>
  <c r="BT162" i="310"/>
  <c r="BU163" i="310"/>
  <c r="BW178" i="310"/>
  <c r="BV180" i="310"/>
  <c r="CB90" i="310" l="1"/>
  <c r="CA92" i="310"/>
  <c r="CA120" i="310"/>
  <c r="CE104" i="310"/>
  <c r="CF101" i="310"/>
  <c r="CE103" i="310"/>
  <c r="CD104" i="310"/>
  <c r="CD106" i="310" s="1"/>
  <c r="CC106" i="310"/>
  <c r="CC129" i="310"/>
  <c r="R108" i="3"/>
  <c r="AG108" i="3"/>
  <c r="BM117" i="3"/>
  <c r="BM118" i="3" s="1"/>
  <c r="BM115" i="3"/>
  <c r="BR32" i="3"/>
  <c r="BR33" i="3" s="1"/>
  <c r="BR51" i="3" s="1"/>
  <c r="BR78" i="3"/>
  <c r="BR31" i="3"/>
  <c r="BN114" i="3"/>
  <c r="BN120" i="3"/>
  <c r="BS24" i="3"/>
  <c r="BT27" i="3"/>
  <c r="BS81" i="3"/>
  <c r="BT81" i="3" s="1"/>
  <c r="BO112" i="3"/>
  <c r="BO196" i="1"/>
  <c r="BO201" i="1" s="1"/>
  <c r="BP196" i="1"/>
  <c r="BP201" i="1" s="1"/>
  <c r="BP105" i="3"/>
  <c r="BP112" i="3"/>
  <c r="BP220" i="4"/>
  <c r="BQ85" i="3"/>
  <c r="BQ87" i="3" s="1"/>
  <c r="T108" i="3"/>
  <c r="AJ52" i="3"/>
  <c r="AI53" i="3"/>
  <c r="U108" i="3"/>
  <c r="V53" i="3"/>
  <c r="AH55" i="3"/>
  <c r="AH108" i="3"/>
  <c r="S108" i="3"/>
  <c r="CX100" i="3"/>
  <c r="CX103" i="3" s="1"/>
  <c r="CS109" i="4"/>
  <c r="CU105" i="4"/>
  <c r="CT108" i="4"/>
  <c r="CT109" i="4" s="1"/>
  <c r="CQ79" i="4"/>
  <c r="CP80" i="4"/>
  <c r="CP81" i="4" s="1"/>
  <c r="CX47" i="2"/>
  <c r="CW57" i="2"/>
  <c r="CX57" i="2" s="1"/>
  <c r="BY139" i="310"/>
  <c r="CD190" i="310"/>
  <c r="CR155" i="4"/>
  <c r="CR166" i="4"/>
  <c r="CU67" i="4"/>
  <c r="CU94" i="4"/>
  <c r="AU264" i="310"/>
  <c r="BT193" i="310"/>
  <c r="BV157" i="310"/>
  <c r="BV163" i="310" s="1"/>
  <c r="BV165" i="310" s="1"/>
  <c r="BU159" i="310"/>
  <c r="BU192" i="310"/>
  <c r="BU198" i="310" s="1"/>
  <c r="BU182" i="310"/>
  <c r="BU185" i="310" s="1"/>
  <c r="BU186" i="310" s="1"/>
  <c r="BS184" i="310"/>
  <c r="BS174" i="310"/>
  <c r="AU257" i="310"/>
  <c r="AU258" i="310" s="1"/>
  <c r="BM77" i="310"/>
  <c r="BO76" i="310"/>
  <c r="BO77" i="310" s="1"/>
  <c r="CF153" i="310"/>
  <c r="CE189" i="310"/>
  <c r="CE155" i="310"/>
  <c r="BQ214" i="310"/>
  <c r="BQ216" i="310"/>
  <c r="BT198" i="310"/>
  <c r="BT199" i="310" s="1"/>
  <c r="AV226" i="310"/>
  <c r="AW225" i="310"/>
  <c r="AV257" i="310"/>
  <c r="AS276" i="310"/>
  <c r="AU275" i="310"/>
  <c r="AU276" i="310" s="1"/>
  <c r="BS198" i="310"/>
  <c r="BS199" i="310" s="1"/>
  <c r="BS185" i="310"/>
  <c r="BS186" i="310" s="1"/>
  <c r="BR176" i="310"/>
  <c r="BR207" i="310"/>
  <c r="BR213" i="310" s="1"/>
  <c r="BR175" i="310"/>
  <c r="BP76" i="310"/>
  <c r="BP77" i="310" s="1"/>
  <c r="BP217" i="310"/>
  <c r="BO217" i="310"/>
  <c r="BS79" i="310"/>
  <c r="BT79" i="310" s="1"/>
  <c r="BT80" i="310" s="1"/>
  <c r="AT284" i="310"/>
  <c r="AU284" i="310" s="1"/>
  <c r="AT269" i="310"/>
  <c r="AT270" i="310" s="1"/>
  <c r="AU242" i="310"/>
  <c r="AU249" i="310"/>
  <c r="AU250" i="310" s="1"/>
  <c r="AW241" i="310"/>
  <c r="AV263" i="310"/>
  <c r="AV281" i="310" s="1"/>
  <c r="AV242" i="310"/>
  <c r="AU267" i="310"/>
  <c r="AT281" i="310"/>
  <c r="AW245" i="310"/>
  <c r="AV246" i="310"/>
  <c r="AV266" i="310"/>
  <c r="AV249" i="310"/>
  <c r="AS285" i="310"/>
  <c r="AS287" i="310"/>
  <c r="AS288" i="310" s="1"/>
  <c r="AT250" i="310"/>
  <c r="AT251" i="310"/>
  <c r="CC132" i="310"/>
  <c r="CD132" i="310" s="1"/>
  <c r="CD133" i="310" s="1"/>
  <c r="CC110" i="310"/>
  <c r="CE108" i="310"/>
  <c r="CA96" i="310"/>
  <c r="CA123" i="310"/>
  <c r="CA138" i="310" s="1"/>
  <c r="CB94" i="310"/>
  <c r="CA115" i="310"/>
  <c r="BZ148" i="310"/>
  <c r="BZ143" i="310"/>
  <c r="BZ147" i="310"/>
  <c r="BZ146" i="310"/>
  <c r="BZ117" i="310"/>
  <c r="BZ145" i="310"/>
  <c r="BZ116" i="310"/>
  <c r="BZ139" i="310"/>
  <c r="BW171" i="310"/>
  <c r="BV173" i="310"/>
  <c r="BV204" i="310"/>
  <c r="BU165" i="310"/>
  <c r="CF135" i="310"/>
  <c r="CG112" i="310"/>
  <c r="CF114" i="310"/>
  <c r="CH98" i="310"/>
  <c r="CI98" i="310" s="1"/>
  <c r="CI100" i="310" s="1"/>
  <c r="CG100" i="310"/>
  <c r="CG126" i="310"/>
  <c r="BW160" i="310"/>
  <c r="BV195" i="310"/>
  <c r="BV162" i="310"/>
  <c r="BU199" i="310"/>
  <c r="BW180" i="310"/>
  <c r="BX178" i="310"/>
  <c r="CB92" i="310" l="1"/>
  <c r="CB120" i="310"/>
  <c r="CC90" i="310"/>
  <c r="CD90" i="310"/>
  <c r="CD92" i="310" s="1"/>
  <c r="CA139" i="310"/>
  <c r="CC80" i="310"/>
  <c r="CD129" i="310"/>
  <c r="CD130" i="310" s="1"/>
  <c r="CG101" i="310"/>
  <c r="CF104" i="310"/>
  <c r="CF103" i="310"/>
  <c r="CE129" i="310"/>
  <c r="CE80" i="310" s="1"/>
  <c r="CE106" i="310"/>
  <c r="BP120" i="3"/>
  <c r="BP114" i="3"/>
  <c r="BO114" i="3"/>
  <c r="BO120" i="3"/>
  <c r="BQ105" i="3"/>
  <c r="BQ196" i="1"/>
  <c r="BQ201" i="1" s="1"/>
  <c r="BQ112" i="3"/>
  <c r="BN117" i="3"/>
  <c r="BN118" i="3" s="1"/>
  <c r="BN115" i="3"/>
  <c r="BT24" i="3"/>
  <c r="BS78" i="3"/>
  <c r="BS32" i="3"/>
  <c r="BS33" i="3" s="1"/>
  <c r="BS51" i="3" s="1"/>
  <c r="BT51" i="3" s="1"/>
  <c r="BS31" i="3"/>
  <c r="BQ220" i="4"/>
  <c r="BR85" i="3"/>
  <c r="BR87" i="3" s="1"/>
  <c r="AK52" i="3"/>
  <c r="AJ53" i="3"/>
  <c r="AI55" i="3"/>
  <c r="AI108" i="3"/>
  <c r="CS79" i="4"/>
  <c r="CQ80" i="4"/>
  <c r="CQ81" i="4" s="1"/>
  <c r="CV105" i="4"/>
  <c r="CU108" i="4"/>
  <c r="CU109" i="4" s="1"/>
  <c r="CV94" i="4"/>
  <c r="CV67" i="4"/>
  <c r="CR182" i="4"/>
  <c r="CR156" i="4"/>
  <c r="CR163" i="4"/>
  <c r="CR164" i="4"/>
  <c r="AV275" i="310"/>
  <c r="BR216" i="310"/>
  <c r="BR214" i="310"/>
  <c r="AX225" i="310"/>
  <c r="AW226" i="310"/>
  <c r="AW257" i="310"/>
  <c r="AW275" i="310" s="1"/>
  <c r="AW276" i="310" s="1"/>
  <c r="BQ76" i="310"/>
  <c r="BQ77" i="310" s="1"/>
  <c r="BQ217" i="310"/>
  <c r="CF155" i="310"/>
  <c r="CF189" i="310"/>
  <c r="CG153" i="310"/>
  <c r="BS175" i="310"/>
  <c r="BS176" i="310"/>
  <c r="BS207" i="310"/>
  <c r="BS213" i="310" s="1"/>
  <c r="BT174" i="310"/>
  <c r="AU269" i="310"/>
  <c r="AU270" i="310" s="1"/>
  <c r="BV182" i="310"/>
  <c r="BU184" i="310"/>
  <c r="BU174" i="310"/>
  <c r="BV159" i="310"/>
  <c r="BV185" i="310"/>
  <c r="BV186" i="310" s="1"/>
  <c r="BV192" i="310"/>
  <c r="BV198" i="310" s="1"/>
  <c r="BV199" i="310" s="1"/>
  <c r="BW157" i="310"/>
  <c r="CF108" i="310"/>
  <c r="CE132" i="310"/>
  <c r="CE110" i="310"/>
  <c r="AV250" i="310"/>
  <c r="AV251" i="310"/>
  <c r="AX245" i="310"/>
  <c r="AW246" i="310"/>
  <c r="AW266" i="310"/>
  <c r="AW284" i="310" s="1"/>
  <c r="AW249" i="310"/>
  <c r="AV282" i="310"/>
  <c r="AU285" i="310"/>
  <c r="AV284" i="310"/>
  <c r="AV269" i="310"/>
  <c r="AV270" i="310" s="1"/>
  <c r="AT282" i="310"/>
  <c r="AU281" i="310"/>
  <c r="AU282" i="310" s="1"/>
  <c r="AX241" i="310"/>
  <c r="AW263" i="310"/>
  <c r="AW242" i="310"/>
  <c r="AT285" i="310"/>
  <c r="AT287" i="310"/>
  <c r="AT288" i="310" s="1"/>
  <c r="CA144" i="310"/>
  <c r="CA147" i="310"/>
  <c r="CA148" i="310"/>
  <c r="CA146" i="310"/>
  <c r="CA117" i="310"/>
  <c r="CA145" i="310"/>
  <c r="CA116" i="310"/>
  <c r="CA143" i="310"/>
  <c r="CB115" i="310"/>
  <c r="CB144" i="310" s="1"/>
  <c r="CB96" i="310"/>
  <c r="CC94" i="310"/>
  <c r="CB123" i="310"/>
  <c r="BX160" i="310"/>
  <c r="BW195" i="310"/>
  <c r="BW162" i="310"/>
  <c r="CH100" i="310"/>
  <c r="CH126" i="310"/>
  <c r="CI126" i="310" s="1"/>
  <c r="CI127" i="310" s="1"/>
  <c r="CJ98" i="310"/>
  <c r="CG135" i="310"/>
  <c r="CH112" i="310"/>
  <c r="CI112" i="310" s="1"/>
  <c r="CI114" i="310" s="1"/>
  <c r="CG114" i="310"/>
  <c r="BX171" i="310"/>
  <c r="BW204" i="310"/>
  <c r="BW173" i="310"/>
  <c r="BZ178" i="310"/>
  <c r="BX180" i="310"/>
  <c r="BY178" i="310"/>
  <c r="CE90" i="310" l="1"/>
  <c r="CC120" i="310"/>
  <c r="CD120" i="310" s="1"/>
  <c r="CD121" i="310" s="1"/>
  <c r="CC92" i="310"/>
  <c r="CH101" i="310"/>
  <c r="CG103" i="310"/>
  <c r="CG104" i="310"/>
  <c r="CF106" i="310"/>
  <c r="CF129" i="310"/>
  <c r="CF80" i="310" s="1"/>
  <c r="CK80" i="310" s="1"/>
  <c r="CP80" i="310" s="1"/>
  <c r="CU80" i="310" s="1"/>
  <c r="BP117" i="3"/>
  <c r="BP115" i="3"/>
  <c r="BU115" i="3"/>
  <c r="BT32" i="3"/>
  <c r="BT33" i="3" s="1"/>
  <c r="BY34" i="3" s="1"/>
  <c r="BT31" i="3"/>
  <c r="BQ120" i="3"/>
  <c r="BQ114" i="3"/>
  <c r="BO117" i="3"/>
  <c r="BO118" i="3" s="1"/>
  <c r="BO115" i="3"/>
  <c r="F42" i="447"/>
  <c r="F43" i="447" s="1"/>
  <c r="BR112" i="3"/>
  <c r="BR105" i="3"/>
  <c r="BR196" i="1"/>
  <c r="BR201" i="1" s="1"/>
  <c r="BT78" i="3"/>
  <c r="BS85" i="3"/>
  <c r="BS87" i="3" s="1"/>
  <c r="BV186" i="1" s="1"/>
  <c r="BR220" i="4"/>
  <c r="AJ55" i="3"/>
  <c r="AK53" i="3"/>
  <c r="AJ108" i="3"/>
  <c r="AL52" i="3"/>
  <c r="CW105" i="4"/>
  <c r="CV108" i="4"/>
  <c r="CT79" i="4"/>
  <c r="CS80" i="4"/>
  <c r="CS81" i="4" s="1"/>
  <c r="CR167" i="4"/>
  <c r="CR170" i="4"/>
  <c r="CR171" i="4" s="1"/>
  <c r="CR174" i="4" s="1"/>
  <c r="CR176" i="4" s="1"/>
  <c r="CW67" i="4"/>
  <c r="CV92" i="4" s="1"/>
  <c r="BR217" i="310"/>
  <c r="BR76" i="310"/>
  <c r="BR77" i="310" s="1"/>
  <c r="BU207" i="310"/>
  <c r="BU213" i="310" s="1"/>
  <c r="BU176" i="310"/>
  <c r="BU175" i="310"/>
  <c r="BS214" i="310"/>
  <c r="BS216" i="310"/>
  <c r="BW182" i="310"/>
  <c r="BW185" i="310" s="1"/>
  <c r="BW186" i="310" s="1"/>
  <c r="BV184" i="310"/>
  <c r="BV174" i="310"/>
  <c r="BW159" i="310"/>
  <c r="BW192" i="310"/>
  <c r="BW198" i="310" s="1"/>
  <c r="BX157" i="310"/>
  <c r="BW163" i="310"/>
  <c r="BW165" i="310" s="1"/>
  <c r="AU287" i="310"/>
  <c r="AU288" i="310" s="1"/>
  <c r="BT207" i="310"/>
  <c r="BT176" i="310"/>
  <c r="BT182" i="310"/>
  <c r="CG189" i="310"/>
  <c r="CH153" i="310"/>
  <c r="CG155" i="310"/>
  <c r="AX257" i="310"/>
  <c r="AX275" i="310" s="1"/>
  <c r="AX276" i="310" s="1"/>
  <c r="AX226" i="310"/>
  <c r="AY225" i="310"/>
  <c r="AV276" i="310"/>
  <c r="AY241" i="310"/>
  <c r="AZ241" i="310" s="1"/>
  <c r="AX263" i="310"/>
  <c r="AX281" i="310" s="1"/>
  <c r="AX282" i="310" s="1"/>
  <c r="AX242" i="310"/>
  <c r="AW251" i="310"/>
  <c r="AW250" i="310"/>
  <c r="AY245" i="310"/>
  <c r="AZ245" i="310" s="1"/>
  <c r="AZ246" i="310" s="1"/>
  <c r="AX266" i="310"/>
  <c r="AX246" i="310"/>
  <c r="AX249" i="310"/>
  <c r="CG108" i="310"/>
  <c r="CF110" i="310"/>
  <c r="CF132" i="310"/>
  <c r="AW285" i="310"/>
  <c r="AW281" i="310"/>
  <c r="AW287" i="310" s="1"/>
  <c r="AW288" i="310" s="1"/>
  <c r="AV285" i="310"/>
  <c r="AV287" i="310"/>
  <c r="AV288" i="310" s="1"/>
  <c r="AW269" i="310"/>
  <c r="AW270" i="310" s="1"/>
  <c r="CE94" i="310"/>
  <c r="CC123" i="310"/>
  <c r="CC138" i="310" s="1"/>
  <c r="CC115" i="310"/>
  <c r="CC144" i="310" s="1"/>
  <c r="CC96" i="310"/>
  <c r="CD94" i="310"/>
  <c r="CD96" i="310" s="1"/>
  <c r="CB117" i="310"/>
  <c r="CB145" i="310"/>
  <c r="CB146" i="310"/>
  <c r="CB116" i="310"/>
  <c r="CB147" i="310"/>
  <c r="CB143" i="310"/>
  <c r="CB148" i="310"/>
  <c r="CB138" i="310"/>
  <c r="BZ160" i="310"/>
  <c r="BX162" i="310"/>
  <c r="BX195" i="310"/>
  <c r="BY195" i="310" s="1"/>
  <c r="BY160" i="310"/>
  <c r="BY162" i="310" s="1"/>
  <c r="BZ171" i="310"/>
  <c r="BX173" i="310"/>
  <c r="BX204" i="310"/>
  <c r="BY204" i="310" s="1"/>
  <c r="BY171" i="310"/>
  <c r="CH135" i="310"/>
  <c r="CI135" i="310" s="1"/>
  <c r="CI136" i="310" s="1"/>
  <c r="CH114" i="310"/>
  <c r="CJ112" i="310"/>
  <c r="CJ126" i="310"/>
  <c r="CK98" i="310"/>
  <c r="CJ100" i="310"/>
  <c r="BY180" i="310"/>
  <c r="CA178" i="310"/>
  <c r="BZ180" i="310"/>
  <c r="CF90" i="310" l="1"/>
  <c r="CE92" i="310"/>
  <c r="CE120" i="310"/>
  <c r="CW68" i="4"/>
  <c r="CS92" i="4"/>
  <c r="CT92" i="4"/>
  <c r="CU92" i="4"/>
  <c r="CG106" i="310"/>
  <c r="CG129" i="310"/>
  <c r="CG80" i="310" s="1"/>
  <c r="CL80" i="310" s="1"/>
  <c r="CQ80" i="310" s="1"/>
  <c r="CV80" i="310" s="1"/>
  <c r="CH104" i="310"/>
  <c r="CI101" i="310"/>
  <c r="CI103" i="310" s="1"/>
  <c r="CH103" i="310"/>
  <c r="CJ101" i="310"/>
  <c r="BU186" i="1"/>
  <c r="BS220" i="4"/>
  <c r="BT85" i="3"/>
  <c r="BT87" i="3" s="1"/>
  <c r="BQ117" i="3"/>
  <c r="BQ115" i="3"/>
  <c r="BV115" i="3"/>
  <c r="BS105" i="3"/>
  <c r="BT105" i="3" s="1"/>
  <c r="BS112" i="3"/>
  <c r="BW186" i="1"/>
  <c r="BS196" i="1"/>
  <c r="BS201" i="1" s="1"/>
  <c r="BP118" i="3"/>
  <c r="BU118" i="3"/>
  <c r="BR120" i="3"/>
  <c r="BR114" i="3"/>
  <c r="AL106" i="3"/>
  <c r="AL53" i="3"/>
  <c r="AL55" i="3" s="1"/>
  <c r="AM52" i="3"/>
  <c r="AM53" i="3" s="1"/>
  <c r="AM55" i="3" s="1"/>
  <c r="AN52" i="3"/>
  <c r="AN53" i="3" s="1"/>
  <c r="AN55" i="3" s="1"/>
  <c r="AO52" i="3"/>
  <c r="AK108" i="3"/>
  <c r="CT80" i="4"/>
  <c r="CT81" i="4" s="1"/>
  <c r="CU79" i="4"/>
  <c r="CV109" i="4"/>
  <c r="CW108" i="4"/>
  <c r="CW109" i="4" s="1"/>
  <c r="CD123" i="310"/>
  <c r="CD124" i="310" s="1"/>
  <c r="BW199" i="310"/>
  <c r="BT184" i="310"/>
  <c r="BT185" i="310"/>
  <c r="BT186" i="310" s="1"/>
  <c r="BX182" i="310"/>
  <c r="BW184" i="310"/>
  <c r="BW174" i="310"/>
  <c r="BS76" i="310"/>
  <c r="BT216" i="310"/>
  <c r="BS217" i="310"/>
  <c r="BU214" i="310"/>
  <c r="BU216" i="310"/>
  <c r="AY257" i="310"/>
  <c r="AZ257" i="310" s="1"/>
  <c r="BA225" i="310"/>
  <c r="AY226" i="310"/>
  <c r="AZ225" i="310"/>
  <c r="AZ226" i="310" s="1"/>
  <c r="CI153" i="310"/>
  <c r="CI155" i="310" s="1"/>
  <c r="CJ153" i="310"/>
  <c r="CH155" i="310"/>
  <c r="CH189" i="310"/>
  <c r="CI189" i="310" s="1"/>
  <c r="BT213" i="310"/>
  <c r="BT214" i="310" s="1"/>
  <c r="BT208" i="310"/>
  <c r="BY157" i="310"/>
  <c r="BY159" i="310" s="1"/>
  <c r="BX163" i="310"/>
  <c r="BX159" i="310"/>
  <c r="BX192" i="310"/>
  <c r="BY192" i="310" s="1"/>
  <c r="BZ157" i="310"/>
  <c r="BV207" i="310"/>
  <c r="BV213" i="310" s="1"/>
  <c r="BV216" i="310" s="1"/>
  <c r="BV176" i="310"/>
  <c r="BV175" i="310"/>
  <c r="CH108" i="310"/>
  <c r="CG132" i="310"/>
  <c r="CG110" i="310"/>
  <c r="AX269" i="310"/>
  <c r="AX270" i="310" s="1"/>
  <c r="AW282" i="310"/>
  <c r="AY266" i="310"/>
  <c r="AY284" i="310" s="1"/>
  <c r="BA245" i="310"/>
  <c r="AY246" i="310"/>
  <c r="AY249" i="310"/>
  <c r="AZ242" i="310"/>
  <c r="BA241" i="310"/>
  <c r="AY263" i="310"/>
  <c r="AZ263" i="310" s="1"/>
  <c r="AZ264" i="310" s="1"/>
  <c r="AY242" i="310"/>
  <c r="AX250" i="310"/>
  <c r="AX251" i="310"/>
  <c r="AX284" i="310"/>
  <c r="CB139" i="310"/>
  <c r="CD138" i="310"/>
  <c r="CC117" i="310"/>
  <c r="CC145" i="310"/>
  <c r="CC116" i="310"/>
  <c r="CC148" i="310"/>
  <c r="CC143" i="310"/>
  <c r="CC147" i="310"/>
  <c r="CC146" i="310"/>
  <c r="CE96" i="310"/>
  <c r="CF94" i="310"/>
  <c r="CE115" i="310"/>
  <c r="CE123" i="310"/>
  <c r="CE138" i="310" s="1"/>
  <c r="CD115" i="310"/>
  <c r="CD117" i="310" s="1"/>
  <c r="CC139" i="310"/>
  <c r="BY196" i="310"/>
  <c r="BY80" i="310"/>
  <c r="BY205" i="310"/>
  <c r="CK126" i="310"/>
  <c r="CK100" i="310"/>
  <c r="CL98" i="310"/>
  <c r="CA160" i="310"/>
  <c r="BZ162" i="310"/>
  <c r="BZ195" i="310"/>
  <c r="CJ135" i="310"/>
  <c r="CJ114" i="310"/>
  <c r="CK112" i="310"/>
  <c r="BY173" i="310"/>
  <c r="CA171" i="310"/>
  <c r="BZ173" i="310"/>
  <c r="BZ204" i="310"/>
  <c r="BV214" i="310"/>
  <c r="CB178" i="310"/>
  <c r="CA180" i="310"/>
  <c r="CF92" i="310" l="1"/>
  <c r="CG90" i="310"/>
  <c r="CF120" i="310"/>
  <c r="CH106" i="310"/>
  <c r="CH129" i="310"/>
  <c r="CI104" i="310"/>
  <c r="CI106" i="310" s="1"/>
  <c r="CK101" i="310"/>
  <c r="CJ104" i="310"/>
  <c r="CJ103" i="310"/>
  <c r="BS120" i="3"/>
  <c r="BS114" i="3"/>
  <c r="BQ118" i="3"/>
  <c r="BV118" i="3"/>
  <c r="BW115" i="3"/>
  <c r="BR117" i="3"/>
  <c r="BR115" i="3"/>
  <c r="BT112" i="3"/>
  <c r="BT196" i="1"/>
  <c r="BT201" i="1" s="1"/>
  <c r="AL107" i="3"/>
  <c r="AM106" i="3" s="1"/>
  <c r="AM107" i="3" s="1"/>
  <c r="AN106" i="3" s="1"/>
  <c r="AN107" i="3" s="1"/>
  <c r="AO106" i="3" s="1"/>
  <c r="AO107" i="3" s="1"/>
  <c r="AP106" i="3"/>
  <c r="AP107" i="3" s="1"/>
  <c r="AP52" i="3"/>
  <c r="AO53" i="3"/>
  <c r="CU80" i="4"/>
  <c r="CU81" i="4" s="1"/>
  <c r="CV79" i="4"/>
  <c r="CV80" i="4" s="1"/>
  <c r="AZ249" i="310"/>
  <c r="AZ250" i="310" s="1"/>
  <c r="BY193" i="310"/>
  <c r="CI190" i="310"/>
  <c r="AZ258" i="310"/>
  <c r="BY198" i="310"/>
  <c r="AY275" i="310"/>
  <c r="AZ275" i="310" s="1"/>
  <c r="AZ276" i="310" s="1"/>
  <c r="BU76" i="310"/>
  <c r="BU77" i="310" s="1"/>
  <c r="BU217" i="310"/>
  <c r="BX165" i="310"/>
  <c r="BY163" i="310"/>
  <c r="BY165" i="310" s="1"/>
  <c r="BW207" i="310"/>
  <c r="BW213" i="310" s="1"/>
  <c r="BW176" i="310"/>
  <c r="BW175" i="310"/>
  <c r="BX198" i="310"/>
  <c r="BX199" i="310" s="1"/>
  <c r="BZ163" i="310"/>
  <c r="BZ165" i="310" s="1"/>
  <c r="BZ192" i="310"/>
  <c r="BZ198" i="310" s="1"/>
  <c r="BZ159" i="310"/>
  <c r="CA157" i="310"/>
  <c r="CA163" i="310" s="1"/>
  <c r="CA165" i="310" s="1"/>
  <c r="AY276" i="310"/>
  <c r="BA226" i="310"/>
  <c r="BA257" i="310"/>
  <c r="BB225" i="310"/>
  <c r="BS77" i="310"/>
  <c r="BT76" i="310"/>
  <c r="BT77" i="310" s="1"/>
  <c r="CJ189" i="310"/>
  <c r="CJ155" i="310"/>
  <c r="CK153" i="310"/>
  <c r="BT217" i="310"/>
  <c r="BZ182" i="310"/>
  <c r="BZ185" i="310" s="1"/>
  <c r="BZ186" i="310" s="1"/>
  <c r="BX184" i="310"/>
  <c r="BX174" i="310"/>
  <c r="BY174" i="310" s="1"/>
  <c r="BX185" i="310"/>
  <c r="BX186" i="310" s="1"/>
  <c r="AX285" i="310"/>
  <c r="AX287" i="310"/>
  <c r="AX288" i="310" s="1"/>
  <c r="AZ284" i="310"/>
  <c r="BB241" i="310"/>
  <c r="BA263" i="310"/>
  <c r="BA281" i="310" s="1"/>
  <c r="BA242" i="310"/>
  <c r="AY250" i="310"/>
  <c r="AY251" i="310"/>
  <c r="AY269" i="310"/>
  <c r="AY270" i="310" s="1"/>
  <c r="AZ266" i="310"/>
  <c r="CI108" i="310"/>
  <c r="CI110" i="310" s="1"/>
  <c r="CH110" i="310"/>
  <c r="CH132" i="310"/>
  <c r="CI132" i="310" s="1"/>
  <c r="CJ108" i="310"/>
  <c r="BA266" i="310"/>
  <c r="BA284" i="310" s="1"/>
  <c r="BB245" i="310"/>
  <c r="BA246" i="310"/>
  <c r="BA249" i="310"/>
  <c r="AY281" i="310"/>
  <c r="AY285" i="310"/>
  <c r="CF123" i="310"/>
  <c r="CF138" i="310" s="1"/>
  <c r="CF96" i="310"/>
  <c r="CF115" i="310"/>
  <c r="CG94" i="310"/>
  <c r="CD139" i="310"/>
  <c r="CE139" i="310"/>
  <c r="CE144" i="310"/>
  <c r="CE143" i="310"/>
  <c r="CE148" i="310"/>
  <c r="CE146" i="310"/>
  <c r="CE147" i="310"/>
  <c r="CE117" i="310"/>
  <c r="CE145" i="310"/>
  <c r="CE116" i="310"/>
  <c r="BV76" i="310"/>
  <c r="BV217" i="310"/>
  <c r="CL126" i="310"/>
  <c r="CM98" i="310"/>
  <c r="CL100" i="310"/>
  <c r="CK135" i="310"/>
  <c r="CK114" i="310"/>
  <c r="CL112" i="310"/>
  <c r="CB171" i="310"/>
  <c r="CA204" i="310"/>
  <c r="CA173" i="310"/>
  <c r="CB160" i="310"/>
  <c r="CA162" i="310"/>
  <c r="CA195" i="310"/>
  <c r="CB180" i="310"/>
  <c r="CC178" i="310"/>
  <c r="CG92" i="310" l="1"/>
  <c r="CH90" i="310"/>
  <c r="CG120" i="310"/>
  <c r="CI90" i="310"/>
  <c r="CI92" i="310" s="1"/>
  <c r="CK104" i="310"/>
  <c r="CL101" i="310"/>
  <c r="CK103" i="310"/>
  <c r="CH80" i="310"/>
  <c r="CM80" i="310" s="1"/>
  <c r="CR80" i="310" s="1"/>
  <c r="CW80" i="310" s="1"/>
  <c r="CI129" i="310"/>
  <c r="CI130" i="310" s="1"/>
  <c r="CJ106" i="310"/>
  <c r="CJ129" i="310"/>
  <c r="CJ80" i="310" s="1"/>
  <c r="CO80" i="310" s="1"/>
  <c r="CT80" i="310" s="1"/>
  <c r="BT120" i="3"/>
  <c r="BT114" i="3"/>
  <c r="BW118" i="3"/>
  <c r="BR118" i="3"/>
  <c r="BS115" i="3"/>
  <c r="BX115" i="3"/>
  <c r="BS117" i="3"/>
  <c r="AP53" i="3"/>
  <c r="AQ52" i="3"/>
  <c r="CV81" i="4"/>
  <c r="BY199" i="310"/>
  <c r="BZ199" i="310"/>
  <c r="BX207" i="310"/>
  <c r="BX176" i="310"/>
  <c r="BX175" i="310"/>
  <c r="BA275" i="310"/>
  <c r="BA287" i="310" s="1"/>
  <c r="BA288" i="310" s="1"/>
  <c r="CA192" i="310"/>
  <c r="CA198" i="310" s="1"/>
  <c r="CA199" i="310" s="1"/>
  <c r="CB157" i="310"/>
  <c r="CA159" i="310"/>
  <c r="BC225" i="310"/>
  <c r="BB226" i="310"/>
  <c r="BB257" i="310"/>
  <c r="BY176" i="310"/>
  <c r="BY182" i="310"/>
  <c r="CI133" i="310"/>
  <c r="CK155" i="310"/>
  <c r="CL153" i="310"/>
  <c r="CK189" i="310"/>
  <c r="BW216" i="310"/>
  <c r="BW214" i="310"/>
  <c r="CA182" i="310"/>
  <c r="BZ184" i="310"/>
  <c r="BZ174" i="310"/>
  <c r="BA285" i="310"/>
  <c r="AZ267" i="310"/>
  <c r="AZ269" i="310"/>
  <c r="AZ270" i="310" s="1"/>
  <c r="BB242" i="310"/>
  <c r="BC241" i="310"/>
  <c r="BB263" i="310"/>
  <c r="BB281" i="310" s="1"/>
  <c r="BB282" i="310" s="1"/>
  <c r="AY282" i="310"/>
  <c r="AZ281" i="310"/>
  <c r="AZ282" i="310" s="1"/>
  <c r="AZ285" i="310"/>
  <c r="CJ110" i="310"/>
  <c r="CJ132" i="310"/>
  <c r="CK108" i="310"/>
  <c r="CF139" i="310"/>
  <c r="BA250" i="310"/>
  <c r="BA251" i="310"/>
  <c r="BB266" i="310"/>
  <c r="BB284" i="310" s="1"/>
  <c r="BB246" i="310"/>
  <c r="BC245" i="310"/>
  <c r="BB249" i="310"/>
  <c r="BA282" i="310"/>
  <c r="AY287" i="310"/>
  <c r="AY288" i="310" s="1"/>
  <c r="BA269" i="310"/>
  <c r="BA270" i="310" s="1"/>
  <c r="CG123" i="310"/>
  <c r="CG96" i="310"/>
  <c r="CH94" i="310"/>
  <c r="CG115" i="310"/>
  <c r="CF144" i="310"/>
  <c r="CF117" i="310"/>
  <c r="CF145" i="310"/>
  <c r="CF116" i="310"/>
  <c r="CF148" i="310"/>
  <c r="CF143" i="310"/>
  <c r="CF147" i="310"/>
  <c r="CF146" i="310"/>
  <c r="CM112" i="310"/>
  <c r="CL135" i="310"/>
  <c r="CL114" i="310"/>
  <c r="CM126" i="310"/>
  <c r="CN126" i="310" s="1"/>
  <c r="CO98" i="310"/>
  <c r="CM100" i="310"/>
  <c r="CN98" i="310"/>
  <c r="CN100" i="310" s="1"/>
  <c r="CC160" i="310"/>
  <c r="CD160" i="310" s="1"/>
  <c r="CD162" i="310" s="1"/>
  <c r="CB195" i="310"/>
  <c r="CB162" i="310"/>
  <c r="CC171" i="310"/>
  <c r="CD171" i="310" s="1"/>
  <c r="CB204" i="310"/>
  <c r="CB173" i="310"/>
  <c r="BV77" i="310"/>
  <c r="CE178" i="310"/>
  <c r="CC180" i="310"/>
  <c r="CD178" i="310"/>
  <c r="CH120" i="310" l="1"/>
  <c r="CI120" i="310" s="1"/>
  <c r="CI121" i="310" s="1"/>
  <c r="CJ90" i="310"/>
  <c r="CH92" i="310"/>
  <c r="CM101" i="310"/>
  <c r="CL104" i="310"/>
  <c r="CL103" i="310"/>
  <c r="CK106" i="310"/>
  <c r="CK129" i="310"/>
  <c r="BS118" i="3"/>
  <c r="BX118" i="3"/>
  <c r="G42" i="447"/>
  <c r="G43" i="447" s="1"/>
  <c r="BT115" i="3"/>
  <c r="BT117" i="3"/>
  <c r="BY115" i="3"/>
  <c r="AQ106" i="3"/>
  <c r="AR52" i="3"/>
  <c r="AQ53" i="3"/>
  <c r="AQ55" i="3" s="1"/>
  <c r="BY184" i="310"/>
  <c r="BY185" i="310"/>
  <c r="BY186" i="310" s="1"/>
  <c r="CB182" i="310"/>
  <c r="CB185" i="310" s="1"/>
  <c r="CB186" i="310" s="1"/>
  <c r="CA184" i="310"/>
  <c r="CA174" i="310"/>
  <c r="CL189" i="310"/>
  <c r="CL155" i="310"/>
  <c r="CM153" i="310"/>
  <c r="CN153" i="310" s="1"/>
  <c r="CN155" i="310" s="1"/>
  <c r="BD225" i="310"/>
  <c r="BC257" i="310"/>
  <c r="BC275" i="310" s="1"/>
  <c r="BC276" i="310" s="1"/>
  <c r="BC226" i="310"/>
  <c r="CB159" i="310"/>
  <c r="CC157" i="310"/>
  <c r="CD157" i="310" s="1"/>
  <c r="CD159" i="310" s="1"/>
  <c r="CB192" i="310"/>
  <c r="CB163" i="310"/>
  <c r="CB165" i="310" s="1"/>
  <c r="BB275" i="310"/>
  <c r="BB276" i="310" s="1"/>
  <c r="CA185" i="310"/>
  <c r="CA186" i="310" s="1"/>
  <c r="BX213" i="310"/>
  <c r="BY207" i="310"/>
  <c r="BZ175" i="310"/>
  <c r="BZ207" i="310"/>
  <c r="BZ213" i="310" s="1"/>
  <c r="BZ176" i="310"/>
  <c r="BW217" i="310"/>
  <c r="BW76" i="310"/>
  <c r="BW77" i="310" s="1"/>
  <c r="BA276" i="310"/>
  <c r="BB285" i="310"/>
  <c r="AZ287" i="310"/>
  <c r="AZ288" i="310" s="1"/>
  <c r="BB251" i="310"/>
  <c r="BB250" i="310"/>
  <c r="BB269" i="310"/>
  <c r="BB270" i="310" s="1"/>
  <c r="CK132" i="310"/>
  <c r="CK110" i="310"/>
  <c r="CL108" i="310"/>
  <c r="BD241" i="310"/>
  <c r="BE241" i="310" s="1"/>
  <c r="BC263" i="310"/>
  <c r="BC281" i="310" s="1"/>
  <c r="BC242" i="310"/>
  <c r="BC266" i="310"/>
  <c r="BC284" i="310" s="1"/>
  <c r="BC246" i="310"/>
  <c r="BD245" i="310"/>
  <c r="BE245" i="310" s="1"/>
  <c r="BE246" i="310" s="1"/>
  <c r="BC249" i="310"/>
  <c r="CH123" i="310"/>
  <c r="CH138" i="310" s="1"/>
  <c r="CH96" i="310"/>
  <c r="CJ94" i="310"/>
  <c r="CH115" i="310"/>
  <c r="CI94" i="310"/>
  <c r="CI96" i="310" s="1"/>
  <c r="CG144" i="310"/>
  <c r="CG146" i="310"/>
  <c r="CG116" i="310"/>
  <c r="CG117" i="310"/>
  <c r="CG148" i="310"/>
  <c r="CG143" i="310"/>
  <c r="CG145" i="310"/>
  <c r="CG147" i="310"/>
  <c r="CN127" i="310"/>
  <c r="CG138" i="310"/>
  <c r="CB198" i="310"/>
  <c r="CD173" i="310"/>
  <c r="CE171" i="310"/>
  <c r="CC204" i="310"/>
  <c r="CC173" i="310"/>
  <c r="CE160" i="310"/>
  <c r="CC162" i="310"/>
  <c r="CC195" i="310"/>
  <c r="CD195" i="310" s="1"/>
  <c r="CC163" i="310"/>
  <c r="CO126" i="310"/>
  <c r="CO100" i="310"/>
  <c r="CP98" i="310"/>
  <c r="CO112" i="310"/>
  <c r="CM114" i="310"/>
  <c r="CM135" i="310"/>
  <c r="CN135" i="310" s="1"/>
  <c r="CN112" i="310"/>
  <c r="CN114" i="310" s="1"/>
  <c r="CF178" i="310"/>
  <c r="CE180" i="310"/>
  <c r="CD180" i="310"/>
  <c r="CJ120" i="310" l="1"/>
  <c r="CK90" i="310"/>
  <c r="CJ92" i="310"/>
  <c r="CB199" i="310"/>
  <c r="CL129" i="310"/>
  <c r="CL106" i="310"/>
  <c r="CN101" i="310"/>
  <c r="CN103" i="310" s="1"/>
  <c r="CM104" i="310"/>
  <c r="CM103" i="310"/>
  <c r="CO101" i="310"/>
  <c r="BY118" i="3"/>
  <c r="BT118" i="3"/>
  <c r="AQ107" i="3"/>
  <c r="AR106" i="3" s="1"/>
  <c r="AR107" i="3" s="1"/>
  <c r="AS106" i="3" s="1"/>
  <c r="AS107" i="3" s="1"/>
  <c r="AT106" i="3" s="1"/>
  <c r="AT107" i="3" s="1"/>
  <c r="AU106" i="3"/>
  <c r="AU107" i="3" s="1"/>
  <c r="AR53" i="3"/>
  <c r="AR55" i="3" s="1"/>
  <c r="AS52" i="3"/>
  <c r="BB287" i="310"/>
  <c r="BB288" i="310" s="1"/>
  <c r="CI123" i="310"/>
  <c r="CI124" i="310" s="1"/>
  <c r="BZ214" i="310"/>
  <c r="BZ216" i="310"/>
  <c r="CA175" i="310"/>
  <c r="CA207" i="310"/>
  <c r="CA213" i="310" s="1"/>
  <c r="CA176" i="310"/>
  <c r="BX214" i="310"/>
  <c r="BX216" i="310"/>
  <c r="CM155" i="310"/>
  <c r="CO153" i="310"/>
  <c r="CM189" i="310"/>
  <c r="CN189" i="310" s="1"/>
  <c r="CN190" i="310" s="1"/>
  <c r="BY208" i="310"/>
  <c r="BY213" i="310"/>
  <c r="BY214" i="310" s="1"/>
  <c r="CE157" i="310"/>
  <c r="CE163" i="310" s="1"/>
  <c r="CE165" i="310" s="1"/>
  <c r="CC192" i="310"/>
  <c r="CD192" i="310" s="1"/>
  <c r="CD193" i="310" s="1"/>
  <c r="CC159" i="310"/>
  <c r="BE225" i="310"/>
  <c r="BE226" i="310" s="1"/>
  <c r="BF225" i="310"/>
  <c r="BD257" i="310"/>
  <c r="BE257" i="310" s="1"/>
  <c r="BD226" i="310"/>
  <c r="CC182" i="310"/>
  <c r="CC185" i="310" s="1"/>
  <c r="CC186" i="310" s="1"/>
  <c r="CB184" i="310"/>
  <c r="CB174" i="310"/>
  <c r="BC285" i="310"/>
  <c r="BC287" i="310"/>
  <c r="BC288" i="310" s="1"/>
  <c r="BC282" i="310"/>
  <c r="BC251" i="310"/>
  <c r="BC250" i="310"/>
  <c r="BC269" i="310"/>
  <c r="BC270" i="310" s="1"/>
  <c r="BD242" i="310"/>
  <c r="BD263" i="310"/>
  <c r="BE263" i="310" s="1"/>
  <c r="BE264" i="310" s="1"/>
  <c r="BF241" i="310"/>
  <c r="BE242" i="310"/>
  <c r="CH139" i="310"/>
  <c r="BD266" i="310"/>
  <c r="BF245" i="310"/>
  <c r="BD246" i="310"/>
  <c r="BD249" i="310"/>
  <c r="CL132" i="310"/>
  <c r="CM108" i="310"/>
  <c r="CL110" i="310"/>
  <c r="CG139" i="310"/>
  <c r="CI138" i="310"/>
  <c r="CH144" i="310"/>
  <c r="CH146" i="310"/>
  <c r="CH143" i="310"/>
  <c r="CH117" i="310"/>
  <c r="CH145" i="310"/>
  <c r="CH148" i="310"/>
  <c r="CH116" i="310"/>
  <c r="CH147" i="310"/>
  <c r="CK94" i="310"/>
  <c r="CJ123" i="310"/>
  <c r="CJ138" i="310" s="1"/>
  <c r="CJ96" i="310"/>
  <c r="CJ115" i="310"/>
  <c r="CI115" i="310"/>
  <c r="CI117" i="310" s="1"/>
  <c r="CD196" i="310"/>
  <c r="CC165" i="310"/>
  <c r="CD163" i="310"/>
  <c r="CD165" i="310" s="1"/>
  <c r="CN136" i="310"/>
  <c r="CF160" i="310"/>
  <c r="CE195" i="310"/>
  <c r="CE162" i="310"/>
  <c r="CD204" i="310"/>
  <c r="CP112" i="310"/>
  <c r="CO114" i="310"/>
  <c r="CO135" i="310"/>
  <c r="CP126" i="310"/>
  <c r="CP100" i="310"/>
  <c r="CQ98" i="310"/>
  <c r="CF171" i="310"/>
  <c r="CE173" i="310"/>
  <c r="CE204" i="310"/>
  <c r="CG178" i="310"/>
  <c r="CF180" i="310"/>
  <c r="CL90" i="310" l="1"/>
  <c r="CK120" i="310"/>
  <c r="CK92" i="310"/>
  <c r="CN104" i="310"/>
  <c r="CN106" i="310" s="1"/>
  <c r="CM106" i="310"/>
  <c r="CM129" i="310"/>
  <c r="CN129" i="310" s="1"/>
  <c r="CJ139" i="310"/>
  <c r="CP101" i="310"/>
  <c r="CO104" i="310"/>
  <c r="CO103" i="310"/>
  <c r="AT52" i="3"/>
  <c r="AS53" i="3"/>
  <c r="AS55" i="3" s="1"/>
  <c r="CC198" i="310"/>
  <c r="CC199" i="310" s="1"/>
  <c r="CD80" i="310"/>
  <c r="BE249" i="310"/>
  <c r="BE250" i="310" s="1"/>
  <c r="BE258" i="310"/>
  <c r="CD198" i="310"/>
  <c r="CD199" i="310" s="1"/>
  <c r="CB207" i="310"/>
  <c r="CB213" i="310" s="1"/>
  <c r="CB216" i="310" s="1"/>
  <c r="CB175" i="310"/>
  <c r="CB176" i="310"/>
  <c r="CO155" i="310"/>
  <c r="CO189" i="310"/>
  <c r="CP153" i="310"/>
  <c r="CA214" i="310"/>
  <c r="CA216" i="310"/>
  <c r="CE182" i="310"/>
  <c r="CC184" i="310"/>
  <c r="CC174" i="310"/>
  <c r="BF257" i="310"/>
  <c r="BF226" i="310"/>
  <c r="BG225" i="310"/>
  <c r="BX76" i="310"/>
  <c r="BX217" i="310"/>
  <c r="BY216" i="310"/>
  <c r="BY217" i="310" s="1"/>
  <c r="BD275" i="310"/>
  <c r="CF157" i="310"/>
  <c r="CE192" i="310"/>
  <c r="CE159" i="310"/>
  <c r="BZ76" i="310"/>
  <c r="BZ77" i="310" s="1"/>
  <c r="BZ217" i="310"/>
  <c r="BD251" i="310"/>
  <c r="BD250" i="310"/>
  <c r="BG241" i="310"/>
  <c r="BF263" i="310"/>
  <c r="BF281" i="310" s="1"/>
  <c r="BF242" i="310"/>
  <c r="BF266" i="310"/>
  <c r="BF284" i="310" s="1"/>
  <c r="BG245" i="310"/>
  <c r="BF246" i="310"/>
  <c r="BF249" i="310"/>
  <c r="CN108" i="310"/>
  <c r="CN110" i="310" s="1"/>
  <c r="CM132" i="310"/>
  <c r="CN132" i="310" s="1"/>
  <c r="CO108" i="310"/>
  <c r="CM110" i="310"/>
  <c r="BD284" i="310"/>
  <c r="BD269" i="310"/>
  <c r="BD270" i="310" s="1"/>
  <c r="BD281" i="310"/>
  <c r="BE266" i="310"/>
  <c r="CJ143" i="310"/>
  <c r="CJ148" i="310"/>
  <c r="CJ117" i="310"/>
  <c r="CJ145" i="310"/>
  <c r="CJ147" i="310"/>
  <c r="CJ146" i="310"/>
  <c r="CJ116" i="310"/>
  <c r="CL94" i="310"/>
  <c r="CK115" i="310"/>
  <c r="CK96" i="310"/>
  <c r="CK123" i="310"/>
  <c r="CK138" i="310" s="1"/>
  <c r="CJ144" i="310"/>
  <c r="CI139" i="310"/>
  <c r="CE198" i="310"/>
  <c r="CE199" i="310" s="1"/>
  <c r="CG160" i="310"/>
  <c r="CF162" i="310"/>
  <c r="CF195" i="310"/>
  <c r="CG171" i="310"/>
  <c r="CF204" i="310"/>
  <c r="CF173" i="310"/>
  <c r="CP114" i="310"/>
  <c r="CQ112" i="310"/>
  <c r="CP135" i="310"/>
  <c r="CD205" i="310"/>
  <c r="CQ100" i="310"/>
  <c r="CQ126" i="310"/>
  <c r="CR98" i="310"/>
  <c r="CS98" i="310" s="1"/>
  <c r="CS100" i="310" s="1"/>
  <c r="CH178" i="310"/>
  <c r="CI178" i="310" s="1"/>
  <c r="CG180" i="310"/>
  <c r="CM90" i="310" l="1"/>
  <c r="CL92" i="310"/>
  <c r="CL120" i="310"/>
  <c r="CN130" i="310"/>
  <c r="CO106" i="310"/>
  <c r="CO129" i="310"/>
  <c r="CP104" i="310"/>
  <c r="CP103" i="310"/>
  <c r="CQ101" i="310"/>
  <c r="AT53" i="3"/>
  <c r="AU52" i="3"/>
  <c r="CF159" i="310"/>
  <c r="CG157" i="310"/>
  <c r="CF192" i="310"/>
  <c r="CF198" i="310" s="1"/>
  <c r="CF163" i="310"/>
  <c r="CF165" i="310" s="1"/>
  <c r="CB214" i="310"/>
  <c r="CN133" i="310"/>
  <c r="CF182" i="310"/>
  <c r="CE184" i="310"/>
  <c r="CE174" i="310"/>
  <c r="CE185" i="310"/>
  <c r="CE186" i="310" s="1"/>
  <c r="CP189" i="310"/>
  <c r="CP155" i="310"/>
  <c r="CQ153" i="310"/>
  <c r="CA76" i="310"/>
  <c r="CA77" i="310" s="1"/>
  <c r="CA217" i="310"/>
  <c r="BD276" i="310"/>
  <c r="BE275" i="310"/>
  <c r="BE276" i="310" s="1"/>
  <c r="CD174" i="310"/>
  <c r="CC175" i="310"/>
  <c r="CC176" i="310"/>
  <c r="CC207" i="310"/>
  <c r="CC213" i="310" s="1"/>
  <c r="BX77" i="310"/>
  <c r="BY76" i="310"/>
  <c r="BY77" i="310" s="1"/>
  <c r="BF275" i="310"/>
  <c r="BF287" i="310" s="1"/>
  <c r="BF288" i="310" s="1"/>
  <c r="BG257" i="310"/>
  <c r="BH225" i="310"/>
  <c r="BG226" i="310"/>
  <c r="BD285" i="310"/>
  <c r="BD287" i="310"/>
  <c r="BD288" i="310" s="1"/>
  <c r="BE284" i="310"/>
  <c r="BE267" i="310"/>
  <c r="BE269" i="310"/>
  <c r="BE270" i="310" s="1"/>
  <c r="BG246" i="310"/>
  <c r="BH245" i="310"/>
  <c r="BG266" i="310"/>
  <c r="BG284" i="310" s="1"/>
  <c r="BG249" i="310"/>
  <c r="BF285" i="310"/>
  <c r="BF282" i="310"/>
  <c r="BD282" i="310"/>
  <c r="BE281" i="310"/>
  <c r="BE282" i="310" s="1"/>
  <c r="CO132" i="310"/>
  <c r="CO110" i="310"/>
  <c r="CP108" i="310"/>
  <c r="BF251" i="310"/>
  <c r="BF250" i="310"/>
  <c r="BF269" i="310"/>
  <c r="BF270" i="310" s="1"/>
  <c r="BG242" i="310"/>
  <c r="BH241" i="310"/>
  <c r="BG263" i="310"/>
  <c r="BG281" i="310" s="1"/>
  <c r="BG282" i="310" s="1"/>
  <c r="CK139" i="310"/>
  <c r="CL123" i="310"/>
  <c r="CL115" i="310"/>
  <c r="CM94" i="310"/>
  <c r="CL96" i="310"/>
  <c r="CK116" i="310"/>
  <c r="CK145" i="310"/>
  <c r="CK146" i="310"/>
  <c r="CK117" i="310"/>
  <c r="CK148" i="310"/>
  <c r="CK147" i="310"/>
  <c r="CK143" i="310"/>
  <c r="CK144" i="310"/>
  <c r="CB76" i="310"/>
  <c r="CB217" i="310"/>
  <c r="CR126" i="310"/>
  <c r="CS126" i="310" s="1"/>
  <c r="CS127" i="310" s="1"/>
  <c r="CR100" i="310"/>
  <c r="CT98" i="310"/>
  <c r="CQ135" i="310"/>
  <c r="CR112" i="310"/>
  <c r="CQ114" i="310"/>
  <c r="CH171" i="310"/>
  <c r="CI171" i="310" s="1"/>
  <c r="CG204" i="310"/>
  <c r="CG173" i="310"/>
  <c r="CH160" i="310"/>
  <c r="CG162" i="310"/>
  <c r="CG195" i="310"/>
  <c r="CG163" i="310"/>
  <c r="CI180" i="310"/>
  <c r="CJ178" i="310"/>
  <c r="CH180" i="310"/>
  <c r="CM92" i="310" l="1"/>
  <c r="CO90" i="310"/>
  <c r="CM120" i="310"/>
  <c r="CN120" i="310" s="1"/>
  <c r="CN90" i="310"/>
  <c r="CN92" i="310" s="1"/>
  <c r="CP106" i="310"/>
  <c r="CP129" i="310"/>
  <c r="CR101" i="310"/>
  <c r="CQ103" i="310"/>
  <c r="CQ104" i="310"/>
  <c r="AU53" i="3"/>
  <c r="AV52" i="3"/>
  <c r="CD207" i="310"/>
  <c r="CD213" i="310" s="1"/>
  <c r="CF199" i="310"/>
  <c r="CD208" i="310"/>
  <c r="BG269" i="310"/>
  <c r="BG270" i="310" s="1"/>
  <c r="BF276" i="310"/>
  <c r="BH257" i="310"/>
  <c r="BH275" i="310" s="1"/>
  <c r="BH276" i="310" s="1"/>
  <c r="BH226" i="310"/>
  <c r="BI225" i="310"/>
  <c r="BJ225" i="310" s="1"/>
  <c r="BJ226" i="310" s="1"/>
  <c r="CG182" i="310"/>
  <c r="CF184" i="310"/>
  <c r="CF174" i="310"/>
  <c r="CF185" i="310"/>
  <c r="CF186" i="310" s="1"/>
  <c r="CD176" i="310"/>
  <c r="CD182" i="310"/>
  <c r="CG192" i="310"/>
  <c r="CG198" i="310" s="1"/>
  <c r="CG199" i="310" s="1"/>
  <c r="CG159" i="310"/>
  <c r="CH157" i="310"/>
  <c r="CH163" i="310" s="1"/>
  <c r="CH165" i="310" s="1"/>
  <c r="CG185" i="310"/>
  <c r="CG186" i="310" s="1"/>
  <c r="BG275" i="310"/>
  <c r="BG276" i="310" s="1"/>
  <c r="CC214" i="310"/>
  <c r="CC216" i="310"/>
  <c r="CR153" i="310"/>
  <c r="CQ155" i="310"/>
  <c r="CQ189" i="310"/>
  <c r="CE207" i="310"/>
  <c r="CE213" i="310" s="1"/>
  <c r="CE214" i="310" s="1"/>
  <c r="CE176" i="310"/>
  <c r="CE175" i="310"/>
  <c r="BG285" i="310"/>
  <c r="BG251" i="310"/>
  <c r="BG250" i="310"/>
  <c r="BE285" i="310"/>
  <c r="BE287" i="310"/>
  <c r="BE288" i="310" s="1"/>
  <c r="BI241" i="310"/>
  <c r="BH263" i="310"/>
  <c r="BH281" i="310" s="1"/>
  <c r="BH242" i="310"/>
  <c r="CP110" i="310"/>
  <c r="CQ108" i="310"/>
  <c r="CP132" i="310"/>
  <c r="BH266" i="310"/>
  <c r="BI245" i="310"/>
  <c r="BH246" i="310"/>
  <c r="BH249" i="310"/>
  <c r="CM115" i="310"/>
  <c r="CN115" i="310" s="1"/>
  <c r="CN117" i="310" s="1"/>
  <c r="CM123" i="310"/>
  <c r="CM138" i="310" s="1"/>
  <c r="CO94" i="310"/>
  <c r="CM96" i="310"/>
  <c r="CL144" i="310"/>
  <c r="CL146" i="310"/>
  <c r="CL117" i="310"/>
  <c r="CL116" i="310"/>
  <c r="CL145" i="310"/>
  <c r="CL147" i="310"/>
  <c r="CL148" i="310"/>
  <c r="CL143" i="310"/>
  <c r="CN94" i="310"/>
  <c r="CN96" i="310" s="1"/>
  <c r="CL138" i="310"/>
  <c r="CI173" i="310"/>
  <c r="CG165" i="310"/>
  <c r="CT100" i="310"/>
  <c r="CU98" i="310"/>
  <c r="CT126" i="310"/>
  <c r="CB77" i="310"/>
  <c r="CS112" i="310"/>
  <c r="CS114" i="310" s="1"/>
  <c r="CR135" i="310"/>
  <c r="CS135" i="310" s="1"/>
  <c r="CT112" i="310"/>
  <c r="CR114" i="310"/>
  <c r="CH195" i="310"/>
  <c r="CI195" i="310" s="1"/>
  <c r="CH162" i="310"/>
  <c r="CJ160" i="310"/>
  <c r="CI160" i="310"/>
  <c r="CH204" i="310"/>
  <c r="CH173" i="310"/>
  <c r="CJ171" i="310"/>
  <c r="CK178" i="310"/>
  <c r="CJ180" i="310"/>
  <c r="CN121" i="310" l="1"/>
  <c r="BG287" i="310"/>
  <c r="BG288" i="310" s="1"/>
  <c r="CO120" i="310"/>
  <c r="CP90" i="310"/>
  <c r="CO92" i="310"/>
  <c r="CR103" i="310"/>
  <c r="CS101" i="310"/>
  <c r="CS103" i="310" s="1"/>
  <c r="CR104" i="310"/>
  <c r="CT101" i="310"/>
  <c r="CQ106" i="310"/>
  <c r="CQ129" i="310"/>
  <c r="AV106" i="3"/>
  <c r="AV53" i="3"/>
  <c r="AV55" i="3" s="1"/>
  <c r="AW52" i="3"/>
  <c r="CD214" i="310"/>
  <c r="CS136" i="310"/>
  <c r="CI163" i="310"/>
  <c r="CI165" i="310" s="1"/>
  <c r="CT153" i="310"/>
  <c r="CR155" i="310"/>
  <c r="CR189" i="310"/>
  <c r="CS189" i="310" s="1"/>
  <c r="CF207" i="310"/>
  <c r="CF213" i="310" s="1"/>
  <c r="CF175" i="310"/>
  <c r="CF176" i="310"/>
  <c r="CE216" i="310"/>
  <c r="CE76" i="310" s="1"/>
  <c r="CS153" i="310"/>
  <c r="CS155" i="310" s="1"/>
  <c r="CC76" i="310"/>
  <c r="CC217" i="310"/>
  <c r="CD216" i="310"/>
  <c r="CD184" i="310"/>
  <c r="CD185" i="310"/>
  <c r="CD186" i="310" s="1"/>
  <c r="BK225" i="310"/>
  <c r="BI257" i="310"/>
  <c r="BI275" i="310" s="1"/>
  <c r="BI226" i="310"/>
  <c r="CI157" i="310"/>
  <c r="CI159" i="310" s="1"/>
  <c r="CH192" i="310"/>
  <c r="CH198" i="310" s="1"/>
  <c r="CH199" i="310" s="1"/>
  <c r="CH159" i="310"/>
  <c r="CJ157" i="310"/>
  <c r="CH182" i="310"/>
  <c r="CG184" i="310"/>
  <c r="CG174" i="310"/>
  <c r="BK241" i="310"/>
  <c r="BI242" i="310"/>
  <c r="BI263" i="310"/>
  <c r="BJ263" i="310" s="1"/>
  <c r="BH250" i="310"/>
  <c r="BH251" i="310"/>
  <c r="BJ241" i="310"/>
  <c r="CQ132" i="310"/>
  <c r="CQ110" i="310"/>
  <c r="CR108" i="310"/>
  <c r="CS108" i="310" s="1"/>
  <c r="CS110" i="310" s="1"/>
  <c r="BH284" i="310"/>
  <c r="BH269" i="310"/>
  <c r="BH270" i="310" s="1"/>
  <c r="CM139" i="310"/>
  <c r="BJ245" i="310"/>
  <c r="BJ246" i="310" s="1"/>
  <c r="BI266" i="310"/>
  <c r="BK245" i="310"/>
  <c r="BI246" i="310"/>
  <c r="BI249" i="310"/>
  <c r="BH282" i="310"/>
  <c r="CN123" i="310"/>
  <c r="CN124" i="310" s="1"/>
  <c r="CL139" i="310"/>
  <c r="CN138" i="310"/>
  <c r="CN139" i="310" s="1"/>
  <c r="CO96" i="310"/>
  <c r="CO115" i="310"/>
  <c r="CP94" i="310"/>
  <c r="CO123" i="310"/>
  <c r="CO138" i="310" s="1"/>
  <c r="CM144" i="310"/>
  <c r="CM116" i="310"/>
  <c r="CM148" i="310"/>
  <c r="CM146" i="310"/>
  <c r="CM117" i="310"/>
  <c r="CM147" i="310"/>
  <c r="CM143" i="310"/>
  <c r="CM145" i="310"/>
  <c r="CJ162" i="310"/>
  <c r="CJ195" i="310"/>
  <c r="CK160" i="310"/>
  <c r="CT114" i="310"/>
  <c r="CT135" i="310"/>
  <c r="CU112" i="310"/>
  <c r="CJ204" i="310"/>
  <c r="CK171" i="310"/>
  <c r="CJ173" i="310"/>
  <c r="CI196" i="310"/>
  <c r="CI162" i="310"/>
  <c r="CV98" i="310"/>
  <c r="CU126" i="310"/>
  <c r="CU100" i="310"/>
  <c r="CI204" i="310"/>
  <c r="CL178" i="310"/>
  <c r="CK180" i="310"/>
  <c r="CP120" i="310" l="1"/>
  <c r="CQ90" i="310"/>
  <c r="CP92" i="310"/>
  <c r="CT104" i="310"/>
  <c r="CT103" i="310"/>
  <c r="CU101" i="310"/>
  <c r="CR106" i="310"/>
  <c r="CR129" i="310"/>
  <c r="CS129" i="310" s="1"/>
  <c r="CS104" i="310"/>
  <c r="CS106" i="310" s="1"/>
  <c r="AW53" i="3"/>
  <c r="AW55" i="3" s="1"/>
  <c r="AX52" i="3"/>
  <c r="AV107" i="3"/>
  <c r="AW106" i="3" s="1"/>
  <c r="AW107" i="3" s="1"/>
  <c r="AX106" i="3" s="1"/>
  <c r="AX107" i="3" s="1"/>
  <c r="AY106" i="3" s="1"/>
  <c r="AY107" i="3" s="1"/>
  <c r="AZ106" i="3"/>
  <c r="AZ107" i="3" s="1"/>
  <c r="CI192" i="310"/>
  <c r="CI193" i="310" s="1"/>
  <c r="CD217" i="310"/>
  <c r="CS190" i="310"/>
  <c r="CI80" i="310"/>
  <c r="BI276" i="310"/>
  <c r="BJ275" i="310"/>
  <c r="BJ276" i="310" s="1"/>
  <c r="CJ182" i="310"/>
  <c r="CH184" i="310"/>
  <c r="CH174" i="310"/>
  <c r="CH185" i="310"/>
  <c r="CH186" i="310" s="1"/>
  <c r="CF216" i="310"/>
  <c r="CF214" i="310"/>
  <c r="CK157" i="310"/>
  <c r="CJ159" i="310"/>
  <c r="CJ192" i="310"/>
  <c r="CJ198" i="310" s="1"/>
  <c r="BK226" i="310"/>
  <c r="BL225" i="310"/>
  <c r="BK257" i="310"/>
  <c r="BK275" i="310" s="1"/>
  <c r="BJ257" i="310"/>
  <c r="BJ258" i="310" s="1"/>
  <c r="CE217" i="310"/>
  <c r="CJ163" i="310"/>
  <c r="CJ165" i="310" s="1"/>
  <c r="CG176" i="310"/>
  <c r="CG175" i="310"/>
  <c r="CG207" i="310"/>
  <c r="CG213" i="310" s="1"/>
  <c r="CC77" i="310"/>
  <c r="CD76" i="310"/>
  <c r="CD77" i="310" s="1"/>
  <c r="CT155" i="310"/>
  <c r="CU153" i="310"/>
  <c r="CT189" i="310"/>
  <c r="BJ242" i="310"/>
  <c r="BJ249" i="310"/>
  <c r="BJ250" i="310" s="1"/>
  <c r="BJ264" i="310"/>
  <c r="BL245" i="310"/>
  <c r="BK266" i="310"/>
  <c r="BK246" i="310"/>
  <c r="BK249" i="310"/>
  <c r="CR110" i="310"/>
  <c r="CR132" i="310"/>
  <c r="CS132" i="310" s="1"/>
  <c r="CS133" i="310" s="1"/>
  <c r="CT108" i="310"/>
  <c r="BI269" i="310"/>
  <c r="BI270" i="310" s="1"/>
  <c r="BI281" i="310"/>
  <c r="BI251" i="310"/>
  <c r="BI250" i="310"/>
  <c r="BI284" i="310"/>
  <c r="BH285" i="310"/>
  <c r="BH287" i="310"/>
  <c r="BH288" i="310" s="1"/>
  <c r="BL241" i="310"/>
  <c r="BK242" i="310"/>
  <c r="BK263" i="310"/>
  <c r="BK281" i="310" s="1"/>
  <c r="BJ266" i="310"/>
  <c r="CO139" i="310"/>
  <c r="CP115" i="310"/>
  <c r="CP144" i="310" s="1"/>
  <c r="CQ94" i="310"/>
  <c r="CP96" i="310"/>
  <c r="CP123" i="310"/>
  <c r="CP138" i="310" s="1"/>
  <c r="CO144" i="310"/>
  <c r="CO116" i="310"/>
  <c r="CO145" i="310"/>
  <c r="CO117" i="310"/>
  <c r="CO147" i="310"/>
  <c r="CO148" i="310"/>
  <c r="CO146" i="310"/>
  <c r="CO143" i="310"/>
  <c r="CI205" i="310"/>
  <c r="CV100" i="310"/>
  <c r="CW98" i="310"/>
  <c r="CV126" i="310"/>
  <c r="CE77" i="310"/>
  <c r="CK204" i="310"/>
  <c r="CL171" i="310"/>
  <c r="CK173" i="310"/>
  <c r="CK195" i="310"/>
  <c r="CK162" i="310"/>
  <c r="CL160" i="310"/>
  <c r="CV112" i="310"/>
  <c r="CU114" i="310"/>
  <c r="CU135" i="310"/>
  <c r="CL180" i="310"/>
  <c r="CM178" i="310"/>
  <c r="CR90" i="310" l="1"/>
  <c r="CQ120" i="310"/>
  <c r="CQ92" i="310"/>
  <c r="CS90" i="310"/>
  <c r="CS92" i="310" s="1"/>
  <c r="CS130" i="310"/>
  <c r="CV101" i="310"/>
  <c r="CU104" i="310"/>
  <c r="CU103" i="310"/>
  <c r="CI198" i="310"/>
  <c r="CI199" i="310" s="1"/>
  <c r="CT129" i="310"/>
  <c r="CT106" i="310"/>
  <c r="AX53" i="3"/>
  <c r="AX55" i="3" s="1"/>
  <c r="AY52" i="3"/>
  <c r="CJ199" i="310"/>
  <c r="BK276" i="310"/>
  <c r="CK182" i="310"/>
  <c r="CJ184" i="310"/>
  <c r="CJ185" i="310"/>
  <c r="CJ186" i="310" s="1"/>
  <c r="CJ174" i="310"/>
  <c r="CV153" i="310"/>
  <c r="CU189" i="310"/>
  <c r="CU155" i="310"/>
  <c r="CG216" i="310"/>
  <c r="CG214" i="310"/>
  <c r="CF217" i="310"/>
  <c r="CF76" i="310"/>
  <c r="CF77" i="310" s="1"/>
  <c r="BL226" i="310"/>
  <c r="BL257" i="310"/>
  <c r="BL275" i="310" s="1"/>
  <c r="BM225" i="310"/>
  <c r="CK159" i="310"/>
  <c r="CK192" i="310"/>
  <c r="CL157" i="310"/>
  <c r="CL163" i="310" s="1"/>
  <c r="CK185" i="310"/>
  <c r="CK186" i="310" s="1"/>
  <c r="CK163" i="310"/>
  <c r="CK165" i="310" s="1"/>
  <c r="CP139" i="310"/>
  <c r="CI174" i="310"/>
  <c r="CH175" i="310"/>
  <c r="CH176" i="310"/>
  <c r="CH207" i="310"/>
  <c r="BK282" i="310"/>
  <c r="BM241" i="310"/>
  <c r="BL263" i="310"/>
  <c r="BL281" i="310" s="1"/>
  <c r="BL282" i="310" s="1"/>
  <c r="BL242" i="310"/>
  <c r="BI285" i="310"/>
  <c r="BI287" i="310"/>
  <c r="BI288" i="310" s="1"/>
  <c r="BK250" i="310"/>
  <c r="BK251" i="310"/>
  <c r="BM245" i="310"/>
  <c r="BL246" i="310"/>
  <c r="BL266" i="310"/>
  <c r="BL249" i="310"/>
  <c r="BJ284" i="310"/>
  <c r="CT110" i="310"/>
  <c r="CU108" i="310"/>
  <c r="CT132" i="310"/>
  <c r="BJ267" i="310"/>
  <c r="BJ269" i="310"/>
  <c r="BJ270" i="310" s="1"/>
  <c r="BI282" i="310"/>
  <c r="BJ281" i="310"/>
  <c r="BJ282" i="310" s="1"/>
  <c r="BK284" i="310"/>
  <c r="BK269" i="310"/>
  <c r="BK270" i="310" s="1"/>
  <c r="CQ115" i="310"/>
  <c r="CQ144" i="310" s="1"/>
  <c r="CQ123" i="310"/>
  <c r="CQ138" i="310" s="1"/>
  <c r="CR94" i="310"/>
  <c r="CQ96" i="310"/>
  <c r="CP117" i="310"/>
  <c r="CP145" i="310"/>
  <c r="CP146" i="310"/>
  <c r="CP143" i="310"/>
  <c r="CP116" i="310"/>
  <c r="CP147" i="310"/>
  <c r="CP148" i="310"/>
  <c r="CL204" i="310"/>
  <c r="CM171" i="310"/>
  <c r="CL173" i="310"/>
  <c r="CW126" i="310"/>
  <c r="CX126" i="310" s="1"/>
  <c r="CW100" i="310"/>
  <c r="CV114" i="310"/>
  <c r="CV135" i="310"/>
  <c r="CW112" i="310"/>
  <c r="CM160" i="310"/>
  <c r="CL162" i="310"/>
  <c r="CL195" i="310"/>
  <c r="CX98" i="310"/>
  <c r="CX100" i="310" s="1"/>
  <c r="CO178" i="310"/>
  <c r="CM180" i="310"/>
  <c r="CN178" i="310"/>
  <c r="CT90" i="310" l="1"/>
  <c r="CR120" i="310"/>
  <c r="CS120" i="310" s="1"/>
  <c r="CS121" i="310" s="1"/>
  <c r="CR92" i="310"/>
  <c r="CU129" i="310"/>
  <c r="CU106" i="310"/>
  <c r="CV104" i="310"/>
  <c r="CW101" i="310"/>
  <c r="CV103" i="310"/>
  <c r="AZ52" i="3"/>
  <c r="AY53" i="3"/>
  <c r="BL276" i="310"/>
  <c r="CI176" i="310"/>
  <c r="CI182" i="310"/>
  <c r="CK79" i="310"/>
  <c r="CK198" i="310"/>
  <c r="CK199" i="310" s="1"/>
  <c r="CV155" i="310"/>
  <c r="CV189" i="310"/>
  <c r="CW153" i="310"/>
  <c r="CK184" i="310"/>
  <c r="CL182" i="310"/>
  <c r="CK174" i="310"/>
  <c r="BN225" i="310"/>
  <c r="BO225" i="310" s="1"/>
  <c r="BO226" i="310" s="1"/>
  <c r="BM257" i="310"/>
  <c r="BM226" i="310"/>
  <c r="BM275" i="310"/>
  <c r="BM276" i="310" s="1"/>
  <c r="CI207" i="310"/>
  <c r="CH213" i="310"/>
  <c r="CG76" i="310"/>
  <c r="CG77" i="310" s="1"/>
  <c r="CG217" i="310"/>
  <c r="CJ207" i="310"/>
  <c r="CJ213" i="310" s="1"/>
  <c r="CJ176" i="310"/>
  <c r="CJ175" i="310"/>
  <c r="CL159" i="310"/>
  <c r="CM157" i="310"/>
  <c r="CL192" i="310"/>
  <c r="CL198" i="310" s="1"/>
  <c r="CL199" i="310" s="1"/>
  <c r="CQ139" i="310"/>
  <c r="BK285" i="310"/>
  <c r="BK287" i="310"/>
  <c r="BK288" i="310" s="1"/>
  <c r="CU110" i="310"/>
  <c r="CU132" i="310"/>
  <c r="CV108" i="310"/>
  <c r="BM266" i="310"/>
  <c r="BN245" i="310"/>
  <c r="BM246" i="310"/>
  <c r="BM249" i="310"/>
  <c r="BJ285" i="310"/>
  <c r="BJ287" i="310"/>
  <c r="BJ288" i="310" s="1"/>
  <c r="BL250" i="310"/>
  <c r="BL251" i="310"/>
  <c r="BN241" i="310"/>
  <c r="BO241" i="310" s="1"/>
  <c r="BM242" i="310"/>
  <c r="BM263" i="310"/>
  <c r="BM281" i="310" s="1"/>
  <c r="BM282" i="310" s="1"/>
  <c r="BL284" i="310"/>
  <c r="BL269" i="310"/>
  <c r="BL270" i="310" s="1"/>
  <c r="CT94" i="310"/>
  <c r="CR115" i="310"/>
  <c r="CR144" i="310" s="1"/>
  <c r="CR96" i="310"/>
  <c r="CR123" i="310"/>
  <c r="CS94" i="310"/>
  <c r="CS96" i="310" s="1"/>
  <c r="CQ146" i="310"/>
  <c r="CQ148" i="310"/>
  <c r="CQ117" i="310"/>
  <c r="CQ143" i="310"/>
  <c r="CQ145" i="310"/>
  <c r="CQ147" i="310"/>
  <c r="CQ116" i="310"/>
  <c r="CW135" i="310"/>
  <c r="CX135" i="310" s="1"/>
  <c r="CW114" i="310"/>
  <c r="CO160" i="310"/>
  <c r="CM162" i="310"/>
  <c r="CM195" i="310"/>
  <c r="CN195" i="310" s="1"/>
  <c r="CX127" i="310"/>
  <c r="CL79" i="310"/>
  <c r="CM204" i="310"/>
  <c r="CO171" i="310"/>
  <c r="CM173" i="310"/>
  <c r="CN171" i="310"/>
  <c r="CL165" i="310"/>
  <c r="CN160" i="310"/>
  <c r="CN162" i="310" s="1"/>
  <c r="CX112" i="310"/>
  <c r="CX114" i="310" s="1"/>
  <c r="CP178" i="310"/>
  <c r="CO180" i="310"/>
  <c r="CN180" i="310"/>
  <c r="CU90" i="310" l="1"/>
  <c r="CT92" i="310"/>
  <c r="CT120" i="310"/>
  <c r="CW103" i="310"/>
  <c r="CX101" i="310"/>
  <c r="CX103" i="310" s="1"/>
  <c r="CW104" i="310"/>
  <c r="CV129" i="310"/>
  <c r="CV106" i="310"/>
  <c r="BA52" i="3"/>
  <c r="AY55" i="3"/>
  <c r="AZ53" i="3"/>
  <c r="CJ214" i="310"/>
  <c r="CJ216" i="310"/>
  <c r="CJ76" i="310" s="1"/>
  <c r="CL184" i="310"/>
  <c r="CM182" i="310"/>
  <c r="CL174" i="310"/>
  <c r="CI208" i="310"/>
  <c r="CI213" i="310"/>
  <c r="CI214" i="310" s="1"/>
  <c r="CN157" i="310"/>
  <c r="CN159" i="310" s="1"/>
  <c r="CM192" i="310"/>
  <c r="CM198" i="310" s="1"/>
  <c r="CO157" i="310"/>
  <c r="CO163" i="310" s="1"/>
  <c r="CO165" i="310" s="1"/>
  <c r="CM159" i="310"/>
  <c r="CH216" i="310"/>
  <c r="CH214" i="310"/>
  <c r="CM163" i="310"/>
  <c r="CL185" i="310"/>
  <c r="CL186" i="310" s="1"/>
  <c r="BN226" i="310"/>
  <c r="BN257" i="310"/>
  <c r="BO257" i="310" s="1"/>
  <c r="BO258" i="310" s="1"/>
  <c r="BP225" i="310"/>
  <c r="CX153" i="310"/>
  <c r="CX155" i="310" s="1"/>
  <c r="CW155" i="310"/>
  <c r="CW189" i="310"/>
  <c r="CX189" i="310" s="1"/>
  <c r="BM269" i="310"/>
  <c r="BM270" i="310" s="1"/>
  <c r="CK175" i="310"/>
  <c r="CK207" i="310"/>
  <c r="CK213" i="310" s="1"/>
  <c r="CK176" i="310"/>
  <c r="CI184" i="310"/>
  <c r="CI185" i="310"/>
  <c r="CI186" i="310" s="1"/>
  <c r="BL285" i="310"/>
  <c r="BL287" i="310"/>
  <c r="BL288" i="310" s="1"/>
  <c r="CW108" i="310"/>
  <c r="CX108" i="310" s="1"/>
  <c r="CX110" i="310" s="1"/>
  <c r="CV110" i="310"/>
  <c r="CV132" i="310"/>
  <c r="BO242" i="310"/>
  <c r="BN242" i="310"/>
  <c r="BN263" i="310"/>
  <c r="BN281" i="310" s="1"/>
  <c r="BP241" i="310"/>
  <c r="BM284" i="310"/>
  <c r="CS115" i="310"/>
  <c r="CS117" i="310" s="1"/>
  <c r="BM251" i="310"/>
  <c r="BM250" i="310"/>
  <c r="BP245" i="310"/>
  <c r="BN246" i="310"/>
  <c r="BN266" i="310"/>
  <c r="BN284" i="310" s="1"/>
  <c r="BN249" i="310"/>
  <c r="BO245" i="310"/>
  <c r="BO246" i="310" s="1"/>
  <c r="CR138" i="310"/>
  <c r="CS123" i="310"/>
  <c r="CS124" i="310" s="1"/>
  <c r="CR146" i="310"/>
  <c r="CR145" i="310"/>
  <c r="CR143" i="310"/>
  <c r="CR117" i="310"/>
  <c r="CR148" i="310"/>
  <c r="CR116" i="310"/>
  <c r="CR147" i="310"/>
  <c r="CT115" i="310"/>
  <c r="CT144" i="310" s="1"/>
  <c r="CU94" i="310"/>
  <c r="CT96" i="310"/>
  <c r="CT123" i="310"/>
  <c r="CT138" i="310" s="1"/>
  <c r="CO204" i="310"/>
  <c r="CO173" i="310"/>
  <c r="CP171" i="310"/>
  <c r="CN196" i="310"/>
  <c r="CN204" i="310"/>
  <c r="CN173" i="310"/>
  <c r="CO162" i="310"/>
  <c r="CO195" i="310"/>
  <c r="CP160" i="310"/>
  <c r="CX136" i="310"/>
  <c r="CP180" i="310"/>
  <c r="CQ178" i="310"/>
  <c r="CU120" i="310" l="1"/>
  <c r="CV90" i="310"/>
  <c r="CU92" i="310"/>
  <c r="CX104" i="310"/>
  <c r="CX106" i="310" s="1"/>
  <c r="CW129" i="310"/>
  <c r="CX129" i="310" s="1"/>
  <c r="CW106" i="310"/>
  <c r="BA53" i="3"/>
  <c r="BA55" i="3" s="1"/>
  <c r="BA106" i="3"/>
  <c r="BB52" i="3"/>
  <c r="CX190" i="310"/>
  <c r="BN275" i="310"/>
  <c r="BN276" i="310" s="1"/>
  <c r="CM199" i="310"/>
  <c r="CI216" i="310"/>
  <c r="CI217" i="310" s="1"/>
  <c r="CH76" i="310"/>
  <c r="CH217" i="310"/>
  <c r="CJ217" i="310"/>
  <c r="BO263" i="310"/>
  <c r="BO264" i="310" s="1"/>
  <c r="BO249" i="310"/>
  <c r="BO250" i="310" s="1"/>
  <c r="BP226" i="310"/>
  <c r="BQ225" i="310"/>
  <c r="BP257" i="310"/>
  <c r="CL176" i="310"/>
  <c r="CL207" i="310"/>
  <c r="CL213" i="310" s="1"/>
  <c r="CL175" i="310"/>
  <c r="CN192" i="310"/>
  <c r="CM79" i="310"/>
  <c r="CN79" i="310" s="1"/>
  <c r="CK214" i="310"/>
  <c r="CK216" i="310"/>
  <c r="CM165" i="310"/>
  <c r="CN163" i="310"/>
  <c r="CN165" i="310" s="1"/>
  <c r="CO159" i="310"/>
  <c r="CP157" i="310"/>
  <c r="CP163" i="310" s="1"/>
  <c r="CP165" i="310" s="1"/>
  <c r="CO192" i="310"/>
  <c r="CO198" i="310" s="1"/>
  <c r="CO199" i="310" s="1"/>
  <c r="CM184" i="310"/>
  <c r="CO182" i="310"/>
  <c r="CM174" i="310"/>
  <c r="CM185" i="310"/>
  <c r="CM186" i="310" s="1"/>
  <c r="BN282" i="310"/>
  <c r="BO281" i="310"/>
  <c r="BO282" i="310" s="1"/>
  <c r="BN285" i="310"/>
  <c r="BN287" i="310"/>
  <c r="BN288" i="310" s="1"/>
  <c r="BO284" i="310"/>
  <c r="CT139" i="310"/>
  <c r="CW110" i="310"/>
  <c r="CW132" i="310"/>
  <c r="CX132" i="310" s="1"/>
  <c r="CX133" i="310" s="1"/>
  <c r="BO266" i="310"/>
  <c r="BN269" i="310"/>
  <c r="BN270" i="310" s="1"/>
  <c r="BM285" i="310"/>
  <c r="BM287" i="310"/>
  <c r="BM288" i="310" s="1"/>
  <c r="BN251" i="310"/>
  <c r="BN250" i="310"/>
  <c r="BQ245" i="310"/>
  <c r="BP266" i="310"/>
  <c r="BP284" i="310" s="1"/>
  <c r="BP246" i="310"/>
  <c r="BP249" i="310"/>
  <c r="BQ241" i="310"/>
  <c r="BP263" i="310"/>
  <c r="BP281" i="310" s="1"/>
  <c r="BP242" i="310"/>
  <c r="CU123" i="310"/>
  <c r="CU138" i="310" s="1"/>
  <c r="CU115" i="310"/>
  <c r="CU96" i="310"/>
  <c r="CV94" i="310"/>
  <c r="CR139" i="310"/>
  <c r="CS138" i="310"/>
  <c r="CS139" i="310" s="1"/>
  <c r="CT146" i="310"/>
  <c r="CT148" i="310"/>
  <c r="CT143" i="310"/>
  <c r="CT116" i="310"/>
  <c r="CT117" i="310"/>
  <c r="CT145" i="310"/>
  <c r="CT147" i="310"/>
  <c r="CQ160" i="310"/>
  <c r="CP195" i="310"/>
  <c r="CP162" i="310"/>
  <c r="CP204" i="310"/>
  <c r="CP173" i="310"/>
  <c r="CQ171" i="310"/>
  <c r="CN205" i="310"/>
  <c r="CR178" i="310"/>
  <c r="CQ180" i="310"/>
  <c r="CV92" i="310" l="1"/>
  <c r="CW90" i="310"/>
  <c r="CV120" i="310"/>
  <c r="CX90" i="310"/>
  <c r="CX92" i="310" s="1"/>
  <c r="CX130" i="310"/>
  <c r="BC52" i="3"/>
  <c r="BB53" i="3"/>
  <c r="BB55" i="3" s="1"/>
  <c r="BA107" i="3"/>
  <c r="BB106" i="3" s="1"/>
  <c r="BB107" i="3" s="1"/>
  <c r="BC106" i="3" s="1"/>
  <c r="BC107" i="3" s="1"/>
  <c r="BD106" i="3" s="1"/>
  <c r="BD107" i="3" s="1"/>
  <c r="BE106" i="3"/>
  <c r="BE107" i="3" s="1"/>
  <c r="CN80" i="310"/>
  <c r="BO275" i="310"/>
  <c r="BO276" i="310" s="1"/>
  <c r="CO79" i="310"/>
  <c r="BQ257" i="310"/>
  <c r="BQ275" i="310" s="1"/>
  <c r="BQ276" i="310" s="1"/>
  <c r="BR225" i="310"/>
  <c r="BQ226" i="310"/>
  <c r="CO184" i="310"/>
  <c r="CP182" i="310"/>
  <c r="CO185" i="310"/>
  <c r="CO186" i="310" s="1"/>
  <c r="CO174" i="310"/>
  <c r="CL214" i="310"/>
  <c r="CL216" i="310"/>
  <c r="CN193" i="310"/>
  <c r="CN198" i="310"/>
  <c r="CN199" i="310" s="1"/>
  <c r="CI76" i="310"/>
  <c r="CI77" i="310" s="1"/>
  <c r="CH77" i="310"/>
  <c r="CM176" i="310"/>
  <c r="CM207" i="310"/>
  <c r="CN174" i="310"/>
  <c r="CM175" i="310"/>
  <c r="CP159" i="310"/>
  <c r="CQ157" i="310"/>
  <c r="CP192" i="310"/>
  <c r="CP79" i="310" s="1"/>
  <c r="CK76" i="310"/>
  <c r="CK217" i="310"/>
  <c r="BP275" i="310"/>
  <c r="BP287" i="310" s="1"/>
  <c r="BP288" i="310" s="1"/>
  <c r="BP282" i="310"/>
  <c r="BQ266" i="310"/>
  <c r="BQ284" i="310" s="1"/>
  <c r="BQ246" i="310"/>
  <c r="BR245" i="310"/>
  <c r="BQ249" i="310"/>
  <c r="BP285" i="310"/>
  <c r="BQ263" i="310"/>
  <c r="BQ281" i="310" s="1"/>
  <c r="BQ282" i="310" s="1"/>
  <c r="BQ242" i="310"/>
  <c r="BR241" i="310"/>
  <c r="BP250" i="310"/>
  <c r="BP251" i="310"/>
  <c r="BP269" i="310"/>
  <c r="BP270" i="310" s="1"/>
  <c r="BO267" i="310"/>
  <c r="BO269" i="310"/>
  <c r="BO270" i="310" s="1"/>
  <c r="BO285" i="310"/>
  <c r="BO287" i="310"/>
  <c r="BO288" i="310" s="1"/>
  <c r="CU144" i="310"/>
  <c r="CU116" i="310"/>
  <c r="CU145" i="310"/>
  <c r="CU117" i="310"/>
  <c r="CU148" i="310"/>
  <c r="CU146" i="310"/>
  <c r="CU147" i="310"/>
  <c r="CU143" i="310"/>
  <c r="CV123" i="310"/>
  <c r="CV115" i="310"/>
  <c r="CV144" i="310" s="1"/>
  <c r="CV96" i="310"/>
  <c r="CW94" i="310"/>
  <c r="CU139" i="310"/>
  <c r="CQ204" i="310"/>
  <c r="CR171" i="310"/>
  <c r="CS171" i="310" s="1"/>
  <c r="CQ173" i="310"/>
  <c r="CR160" i="310"/>
  <c r="CS160" i="310" s="1"/>
  <c r="CS162" i="310" s="1"/>
  <c r="CQ195" i="310"/>
  <c r="CQ162" i="310"/>
  <c r="CR180" i="310"/>
  <c r="CT178" i="310"/>
  <c r="CS178" i="310"/>
  <c r="CW120" i="310" l="1"/>
  <c r="CX120" i="310" s="1"/>
  <c r="CX121" i="310" s="1"/>
  <c r="CW92" i="310"/>
  <c r="BC53" i="3"/>
  <c r="BC55" i="3" s="1"/>
  <c r="BD52" i="3"/>
  <c r="CP198" i="310"/>
  <c r="CP199" i="310" s="1"/>
  <c r="CN176" i="310"/>
  <c r="CN182" i="310"/>
  <c r="CO176" i="310"/>
  <c r="CO207" i="310"/>
  <c r="CO213" i="310" s="1"/>
  <c r="CO175" i="310"/>
  <c r="BP276" i="310"/>
  <c r="CR157" i="310"/>
  <c r="CS157" i="310" s="1"/>
  <c r="CS159" i="310" s="1"/>
  <c r="CQ192" i="310"/>
  <c r="CQ79" i="310" s="1"/>
  <c r="CQ163" i="310"/>
  <c r="CQ165" i="310" s="1"/>
  <c r="CQ159" i="310"/>
  <c r="CN207" i="310"/>
  <c r="CM213" i="310"/>
  <c r="BR226" i="310"/>
  <c r="BR257" i="310"/>
  <c r="BS225" i="310"/>
  <c r="CL217" i="310"/>
  <c r="CL76" i="310"/>
  <c r="CQ182" i="310"/>
  <c r="CQ185" i="310" s="1"/>
  <c r="CQ186" i="310" s="1"/>
  <c r="CP184" i="310"/>
  <c r="CP185" i="310"/>
  <c r="CP186" i="310" s="1"/>
  <c r="CP174" i="310"/>
  <c r="BS241" i="310"/>
  <c r="BT241" i="310" s="1"/>
  <c r="BR263" i="310"/>
  <c r="BR281" i="310" s="1"/>
  <c r="BR242" i="310"/>
  <c r="BQ285" i="310"/>
  <c r="BQ287" i="310"/>
  <c r="BQ288" i="310" s="1"/>
  <c r="BQ250" i="310"/>
  <c r="BQ251" i="310"/>
  <c r="BQ269" i="310"/>
  <c r="BQ270" i="310" s="1"/>
  <c r="BS245" i="310"/>
  <c r="BR266" i="310"/>
  <c r="BR269" i="310" s="1"/>
  <c r="BR246" i="310"/>
  <c r="BR249" i="310"/>
  <c r="BT245" i="310"/>
  <c r="BT246" i="310" s="1"/>
  <c r="CW115" i="310"/>
  <c r="CW96" i="310"/>
  <c r="CW123" i="310"/>
  <c r="CW138" i="310" s="1"/>
  <c r="CV138" i="310"/>
  <c r="CX94" i="310"/>
  <c r="CX96" i="310" s="1"/>
  <c r="CV143" i="310"/>
  <c r="CV147" i="310"/>
  <c r="CV146" i="310"/>
  <c r="CV117" i="310"/>
  <c r="CV148" i="310"/>
  <c r="CV116" i="310"/>
  <c r="CV145" i="310"/>
  <c r="CS173" i="310"/>
  <c r="CT160" i="310"/>
  <c r="CR195" i="310"/>
  <c r="CS195" i="310" s="1"/>
  <c r="CS196" i="310" s="1"/>
  <c r="CR162" i="310"/>
  <c r="CR204" i="310"/>
  <c r="CT171" i="310"/>
  <c r="CR173" i="310"/>
  <c r="CS180" i="310"/>
  <c r="CT180" i="310"/>
  <c r="CU178" i="310"/>
  <c r="BR270" i="310" l="1"/>
  <c r="BD53" i="3"/>
  <c r="BE52" i="3"/>
  <c r="CQ198" i="310"/>
  <c r="CQ199" i="310" s="1"/>
  <c r="CO216" i="310"/>
  <c r="CO214" i="310"/>
  <c r="CM214" i="310"/>
  <c r="CM216" i="310"/>
  <c r="BS226" i="310"/>
  <c r="BS257" i="310"/>
  <c r="BS275" i="310" s="1"/>
  <c r="BS276" i="310" s="1"/>
  <c r="BU225" i="310"/>
  <c r="BT225" i="310"/>
  <c r="BT226" i="310" s="1"/>
  <c r="CN208" i="310"/>
  <c r="CN213" i="310"/>
  <c r="CN214" i="310" s="1"/>
  <c r="CN184" i="310"/>
  <c r="CN185" i="310"/>
  <c r="CN186" i="310" s="1"/>
  <c r="CP207" i="310"/>
  <c r="CP213" i="310" s="1"/>
  <c r="CP175" i="310"/>
  <c r="CP176" i="310"/>
  <c r="CT157" i="310"/>
  <c r="CR159" i="310"/>
  <c r="CR192" i="310"/>
  <c r="CR163" i="310"/>
  <c r="CR165" i="310" s="1"/>
  <c r="CR182" i="310"/>
  <c r="CQ184" i="310"/>
  <c r="CQ174" i="310"/>
  <c r="BR275" i="310"/>
  <c r="BR282" i="310"/>
  <c r="BR250" i="310"/>
  <c r="BR251" i="310"/>
  <c r="BS266" i="310"/>
  <c r="BT266" i="310" s="1"/>
  <c r="BS246" i="310"/>
  <c r="BU245" i="310"/>
  <c r="BS249" i="310"/>
  <c r="BT242" i="310"/>
  <c r="BS263" i="310"/>
  <c r="BT263" i="310" s="1"/>
  <c r="BT264" i="310" s="1"/>
  <c r="BU241" i="310"/>
  <c r="BS242" i="310"/>
  <c r="BR284" i="310"/>
  <c r="CW116" i="310"/>
  <c r="CW145" i="310"/>
  <c r="CW117" i="310"/>
  <c r="CW147" i="310"/>
  <c r="CW146" i="310"/>
  <c r="CW143" i="310"/>
  <c r="CW148" i="310"/>
  <c r="CW144" i="310"/>
  <c r="CV139" i="310"/>
  <c r="CX138" i="310"/>
  <c r="CX115" i="310"/>
  <c r="CX117" i="310" s="1"/>
  <c r="CW139" i="310"/>
  <c r="CX123" i="310"/>
  <c r="CX124" i="310" s="1"/>
  <c r="CT204" i="310"/>
  <c r="CU171" i="310"/>
  <c r="CT173" i="310"/>
  <c r="CT195" i="310"/>
  <c r="CT162" i="310"/>
  <c r="CU160" i="310"/>
  <c r="CS204" i="310"/>
  <c r="CU180" i="310"/>
  <c r="CV178" i="310"/>
  <c r="BE53" i="3" l="1"/>
  <c r="BD55" i="3"/>
  <c r="BF52" i="3"/>
  <c r="CS163" i="310"/>
  <c r="CS165" i="310" s="1"/>
  <c r="BT257" i="310"/>
  <c r="BT269" i="310" s="1"/>
  <c r="CT182" i="310"/>
  <c r="CR184" i="310"/>
  <c r="CR174" i="310"/>
  <c r="CP216" i="310"/>
  <c r="CP214" i="310"/>
  <c r="CN216" i="310"/>
  <c r="CN217" i="310" s="1"/>
  <c r="CM76" i="310"/>
  <c r="CM217" i="310"/>
  <c r="CQ207" i="310"/>
  <c r="CQ213" i="310" s="1"/>
  <c r="CQ175" i="310"/>
  <c r="CQ176" i="310"/>
  <c r="CS174" i="310"/>
  <c r="CR198" i="310"/>
  <c r="CR199" i="310" s="1"/>
  <c r="CR79" i="310"/>
  <c r="CS79" i="310" s="1"/>
  <c r="CS192" i="310"/>
  <c r="BR276" i="310"/>
  <c r="BT275" i="310"/>
  <c r="BT276" i="310" s="1"/>
  <c r="CU157" i="310"/>
  <c r="CT192" i="310"/>
  <c r="CT79" i="310" s="1"/>
  <c r="CT159" i="310"/>
  <c r="CT163" i="310"/>
  <c r="BT249" i="310"/>
  <c r="BT250" i="310" s="1"/>
  <c r="CR185" i="310"/>
  <c r="CR186" i="310" s="1"/>
  <c r="BU226" i="310"/>
  <c r="BU257" i="310"/>
  <c r="BV225" i="310"/>
  <c r="CO76" i="310"/>
  <c r="CO217" i="310"/>
  <c r="BS251" i="310"/>
  <c r="BS250" i="310"/>
  <c r="BR285" i="310"/>
  <c r="BR287" i="310"/>
  <c r="BR288" i="310" s="1"/>
  <c r="BU246" i="310"/>
  <c r="BV245" i="310"/>
  <c r="BU266" i="310"/>
  <c r="BU249" i="310"/>
  <c r="BT267" i="310"/>
  <c r="BS281" i="310"/>
  <c r="BU242" i="310"/>
  <c r="BU263" i="310"/>
  <c r="BU281" i="310" s="1"/>
  <c r="BV241" i="310"/>
  <c r="BS284" i="310"/>
  <c r="BS269" i="310"/>
  <c r="BS270" i="310" s="1"/>
  <c r="CX139" i="310"/>
  <c r="CS205" i="310"/>
  <c r="CT198" i="310"/>
  <c r="CT165" i="310"/>
  <c r="CV160" i="310"/>
  <c r="CU162" i="310"/>
  <c r="CU195" i="310"/>
  <c r="CU173" i="310"/>
  <c r="CV171" i="310"/>
  <c r="CU204" i="310"/>
  <c r="CW178" i="310"/>
  <c r="CV180" i="310"/>
  <c r="BT270" i="310" l="1"/>
  <c r="BF53" i="3"/>
  <c r="BF55" i="3" s="1"/>
  <c r="BG52" i="3"/>
  <c r="BF106" i="3"/>
  <c r="BT258" i="310"/>
  <c r="CT199" i="310"/>
  <c r="CQ214" i="310"/>
  <c r="CQ216" i="310"/>
  <c r="CU182" i="310"/>
  <c r="CU185" i="310" s="1"/>
  <c r="CU186" i="310" s="1"/>
  <c r="CT184" i="310"/>
  <c r="CT174" i="310"/>
  <c r="CP217" i="310"/>
  <c r="CP76" i="310"/>
  <c r="BU275" i="310"/>
  <c r="CS198" i="310"/>
  <c r="CS199" i="310" s="1"/>
  <c r="CS193" i="310"/>
  <c r="CN76" i="310"/>
  <c r="CR207" i="310"/>
  <c r="CR176" i="310"/>
  <c r="CR175" i="310"/>
  <c r="CS176" i="310"/>
  <c r="CS182" i="310"/>
  <c r="BV226" i="310"/>
  <c r="BV257" i="310"/>
  <c r="BV275" i="310" s="1"/>
  <c r="BV276" i="310" s="1"/>
  <c r="BW225" i="310"/>
  <c r="CU163" i="310"/>
  <c r="CU165" i="310" s="1"/>
  <c r="CU159" i="310"/>
  <c r="CV157" i="310"/>
  <c r="CU192" i="310"/>
  <c r="CU79" i="310" s="1"/>
  <c r="CS80" i="310"/>
  <c r="CT185" i="310"/>
  <c r="CT186" i="310" s="1"/>
  <c r="BU282" i="310"/>
  <c r="BS285" i="310"/>
  <c r="BS287" i="310"/>
  <c r="BS288" i="310" s="1"/>
  <c r="BU269" i="310"/>
  <c r="BU270" i="310" s="1"/>
  <c r="BU251" i="310"/>
  <c r="BU250" i="310"/>
  <c r="BV266" i="310"/>
  <c r="BW245" i="310"/>
  <c r="BV246" i="310"/>
  <c r="BV249" i="310"/>
  <c r="BT284" i="310"/>
  <c r="BS282" i="310"/>
  <c r="BT281" i="310"/>
  <c r="BT282" i="310" s="1"/>
  <c r="BV242" i="310"/>
  <c r="BW241" i="310"/>
  <c r="BV263" i="310"/>
  <c r="BV281" i="310" s="1"/>
  <c r="BU284" i="310"/>
  <c r="CW171" i="310"/>
  <c r="CV173" i="310"/>
  <c r="CV204" i="310"/>
  <c r="CW160" i="310"/>
  <c r="CV162" i="310"/>
  <c r="CV195" i="310"/>
  <c r="CW180" i="310"/>
  <c r="CX178" i="310"/>
  <c r="BF107" i="3" l="1"/>
  <c r="BG106" i="3" s="1"/>
  <c r="BG107" i="3" s="1"/>
  <c r="BH106" i="3" s="1"/>
  <c r="BH107" i="3" s="1"/>
  <c r="BI106" i="3" s="1"/>
  <c r="BI107" i="3" s="1"/>
  <c r="BJ106" i="3"/>
  <c r="BJ107" i="3" s="1"/>
  <c r="BG53" i="3"/>
  <c r="BG55" i="3" s="1"/>
  <c r="BH52" i="3"/>
  <c r="CU198" i="310"/>
  <c r="CU199" i="310" s="1"/>
  <c r="CS207" i="310"/>
  <c r="CR213" i="310"/>
  <c r="CU184" i="310"/>
  <c r="CV182" i="310"/>
  <c r="CU174" i="310"/>
  <c r="BW226" i="310"/>
  <c r="BX225" i="310"/>
  <c r="BY225" i="310" s="1"/>
  <c r="BY226" i="310" s="1"/>
  <c r="BW257" i="310"/>
  <c r="BW275" i="310" s="1"/>
  <c r="BU276" i="310"/>
  <c r="CT207" i="310"/>
  <c r="CT213" i="310" s="1"/>
  <c r="CT176" i="310"/>
  <c r="CT175" i="310"/>
  <c r="CS185" i="310"/>
  <c r="CS186" i="310" s="1"/>
  <c r="CS184" i="310"/>
  <c r="CQ217" i="310"/>
  <c r="CQ76" i="310"/>
  <c r="CW157" i="310"/>
  <c r="CW163" i="310" s="1"/>
  <c r="CW165" i="310" s="1"/>
  <c r="CV159" i="310"/>
  <c r="CV192" i="310"/>
  <c r="CV163" i="310"/>
  <c r="CV165" i="310" s="1"/>
  <c r="BV282" i="310"/>
  <c r="BW242" i="310"/>
  <c r="BX241" i="310"/>
  <c r="BY241" i="310" s="1"/>
  <c r="BW263" i="310"/>
  <c r="BW281" i="310" s="1"/>
  <c r="BW282" i="310" s="1"/>
  <c r="BV250" i="310"/>
  <c r="BV251" i="310"/>
  <c r="BW266" i="310"/>
  <c r="BX245" i="310"/>
  <c r="BW246" i="310"/>
  <c r="BW249" i="310"/>
  <c r="BU285" i="310"/>
  <c r="BU287" i="310"/>
  <c r="BU288" i="310" s="1"/>
  <c r="BT285" i="310"/>
  <c r="BT287" i="310"/>
  <c r="BT288" i="310" s="1"/>
  <c r="BV284" i="310"/>
  <c r="BV269" i="310"/>
  <c r="BV270" i="310" s="1"/>
  <c r="CW195" i="310"/>
  <c r="CX195" i="310" s="1"/>
  <c r="CW162" i="310"/>
  <c r="CX171" i="310"/>
  <c r="CW204" i="310"/>
  <c r="CX204" i="310" s="1"/>
  <c r="CW173" i="310"/>
  <c r="CX160" i="310"/>
  <c r="CX162" i="310" s="1"/>
  <c r="CX180" i="310"/>
  <c r="BH53" i="3" l="1"/>
  <c r="BH55" i="3" s="1"/>
  <c r="BI52" i="3"/>
  <c r="BW276" i="310"/>
  <c r="CV79" i="310"/>
  <c r="CV198" i="310"/>
  <c r="CV199" i="310" s="1"/>
  <c r="CW182" i="310"/>
  <c r="CW185" i="310" s="1"/>
  <c r="CW186" i="310" s="1"/>
  <c r="CV184" i="310"/>
  <c r="CV174" i="310"/>
  <c r="CX163" i="310"/>
  <c r="CX165" i="310" s="1"/>
  <c r="CV185" i="310"/>
  <c r="CV186" i="310" s="1"/>
  <c r="BZ225" i="310"/>
  <c r="BX226" i="310"/>
  <c r="BX257" i="310"/>
  <c r="BX275" i="310" s="1"/>
  <c r="CR214" i="310"/>
  <c r="CR216" i="310"/>
  <c r="CW192" i="310"/>
  <c r="CX192" i="310" s="1"/>
  <c r="CX157" i="310"/>
  <c r="CX159" i="310" s="1"/>
  <c r="CW159" i="310"/>
  <c r="CT214" i="310"/>
  <c r="CT216" i="310"/>
  <c r="CU176" i="310"/>
  <c r="CU175" i="310"/>
  <c r="CU207" i="310"/>
  <c r="CU213" i="310" s="1"/>
  <c r="CU216" i="310" s="1"/>
  <c r="CS208" i="310"/>
  <c r="CS213" i="310"/>
  <c r="CS214" i="310" s="1"/>
  <c r="BY242" i="310"/>
  <c r="BX266" i="310"/>
  <c r="BX246" i="310"/>
  <c r="BZ245" i="310"/>
  <c r="BX249" i="310"/>
  <c r="BY245" i="310"/>
  <c r="BY246" i="310" s="1"/>
  <c r="BW284" i="310"/>
  <c r="BW269" i="310"/>
  <c r="BW270" i="310" s="1"/>
  <c r="BW250" i="310"/>
  <c r="BW251" i="310"/>
  <c r="BZ241" i="310"/>
  <c r="BX263" i="310"/>
  <c r="BX242" i="310"/>
  <c r="BV285" i="310"/>
  <c r="BV287" i="310"/>
  <c r="BV288" i="310" s="1"/>
  <c r="CX205" i="310"/>
  <c r="CX173" i="310"/>
  <c r="CX196" i="310"/>
  <c r="CW79" i="310"/>
  <c r="CU214" i="310" l="1"/>
  <c r="BI53" i="3"/>
  <c r="BJ52" i="3"/>
  <c r="CW198" i="310"/>
  <c r="CW199" i="310" s="1"/>
  <c r="BX276" i="310"/>
  <c r="BY275" i="310"/>
  <c r="BY276" i="310" s="1"/>
  <c r="CX198" i="310"/>
  <c r="CX199" i="310" s="1"/>
  <c r="CX193" i="310"/>
  <c r="CS216" i="310"/>
  <c r="CS217" i="310" s="1"/>
  <c r="CR76" i="310"/>
  <c r="CR217" i="310"/>
  <c r="CT217" i="310"/>
  <c r="CT76" i="310"/>
  <c r="CV176" i="310"/>
  <c r="CV175" i="310"/>
  <c r="CV207" i="310"/>
  <c r="CV213" i="310" s="1"/>
  <c r="CV214" i="310" s="1"/>
  <c r="BY257" i="310"/>
  <c r="BY258" i="310" s="1"/>
  <c r="CA225" i="310"/>
  <c r="BZ226" i="310"/>
  <c r="BZ257" i="310"/>
  <c r="CW184" i="310"/>
  <c r="CW174" i="310"/>
  <c r="BX281" i="310"/>
  <c r="BY263" i="310"/>
  <c r="BY264" i="310" s="1"/>
  <c r="BX251" i="310"/>
  <c r="BX250" i="310"/>
  <c r="BX269" i="310"/>
  <c r="BX270" i="310" s="1"/>
  <c r="BY266" i="310"/>
  <c r="BZ242" i="310"/>
  <c r="CA241" i="310"/>
  <c r="BZ263" i="310"/>
  <c r="BZ281" i="310" s="1"/>
  <c r="BX284" i="310"/>
  <c r="BY249" i="310"/>
  <c r="BY250" i="310" s="1"/>
  <c r="BW285" i="310"/>
  <c r="BW287" i="310"/>
  <c r="BW288" i="310" s="1"/>
  <c r="BZ266" i="310"/>
  <c r="BZ246" i="310"/>
  <c r="CA245" i="310"/>
  <c r="BZ249" i="310"/>
  <c r="CX79" i="310"/>
  <c r="CX80" i="310" s="1"/>
  <c r="CU217" i="310"/>
  <c r="CU76" i="310"/>
  <c r="BJ53" i="3" l="1"/>
  <c r="BI55" i="3"/>
  <c r="BK52" i="3"/>
  <c r="CV216" i="310"/>
  <c r="CV76" i="310" s="1"/>
  <c r="CW207" i="310"/>
  <c r="CX174" i="310"/>
  <c r="CW175" i="310"/>
  <c r="CW176" i="310"/>
  <c r="CA226" i="310"/>
  <c r="CB225" i="310"/>
  <c r="CA257" i="310"/>
  <c r="CA275" i="310" s="1"/>
  <c r="CA276" i="310" s="1"/>
  <c r="CS76" i="310"/>
  <c r="BZ275" i="310"/>
  <c r="CB245" i="310"/>
  <c r="CA246" i="310"/>
  <c r="CA266" i="310"/>
  <c r="CA249" i="310"/>
  <c r="CB241" i="310"/>
  <c r="CA263" i="310"/>
  <c r="CA281" i="310" s="1"/>
  <c r="CA282" i="310" s="1"/>
  <c r="CA242" i="310"/>
  <c r="BY267" i="310"/>
  <c r="BY269" i="310"/>
  <c r="BY270" i="310" s="1"/>
  <c r="BZ282" i="310"/>
  <c r="BZ251" i="310"/>
  <c r="BZ250" i="310"/>
  <c r="BZ284" i="310"/>
  <c r="BZ269" i="310"/>
  <c r="BZ270" i="310" s="1"/>
  <c r="BX285" i="310"/>
  <c r="BX287" i="310"/>
  <c r="BX288" i="310" s="1"/>
  <c r="BY284" i="310"/>
  <c r="BX282" i="310"/>
  <c r="BY281" i="310"/>
  <c r="BY282" i="310" s="1"/>
  <c r="BL52" i="3" l="1"/>
  <c r="BK53" i="3"/>
  <c r="BK55" i="3" s="1"/>
  <c r="BK106" i="3"/>
  <c r="CV217" i="310"/>
  <c r="CX176" i="310"/>
  <c r="CX182" i="310"/>
  <c r="CB226" i="310"/>
  <c r="CB257" i="310"/>
  <c r="CB275" i="310" s="1"/>
  <c r="CB276" i="310" s="1"/>
  <c r="CC225" i="310"/>
  <c r="CD225" i="310" s="1"/>
  <c r="CD226" i="310" s="1"/>
  <c r="CX207" i="310"/>
  <c r="CW213" i="310"/>
  <c r="BZ276" i="310"/>
  <c r="CA250" i="310"/>
  <c r="CA251" i="310"/>
  <c r="CC241" i="310"/>
  <c r="CD241" i="310" s="1"/>
  <c r="CB242" i="310"/>
  <c r="CB263" i="310"/>
  <c r="CB281" i="310" s="1"/>
  <c r="CB282" i="310" s="1"/>
  <c r="CA284" i="310"/>
  <c r="CA269" i="310"/>
  <c r="CA270" i="310" s="1"/>
  <c r="BY285" i="310"/>
  <c r="BY287" i="310"/>
  <c r="BY288" i="310" s="1"/>
  <c r="BZ285" i="310"/>
  <c r="BZ287" i="310"/>
  <c r="BZ288" i="310" s="1"/>
  <c r="CB246" i="310"/>
  <c r="CB266" i="310"/>
  <c r="CB269" i="310" s="1"/>
  <c r="CC245" i="310"/>
  <c r="CD245" i="310" s="1"/>
  <c r="CD246" i="310" s="1"/>
  <c r="CB249" i="310"/>
  <c r="BL53" i="3" l="1"/>
  <c r="BL55" i="3" s="1"/>
  <c r="BM52" i="3"/>
  <c r="BO106" i="3"/>
  <c r="BO107" i="3" s="1"/>
  <c r="BK107" i="3"/>
  <c r="BL106" i="3" s="1"/>
  <c r="BL107" i="3" s="1"/>
  <c r="BM106" i="3" s="1"/>
  <c r="BM107" i="3" s="1"/>
  <c r="BN106" i="3" s="1"/>
  <c r="BN107" i="3" s="1"/>
  <c r="CB270" i="310"/>
  <c r="CB284" i="310"/>
  <c r="CB285" i="310" s="1"/>
  <c r="CX213" i="310"/>
  <c r="CX214" i="310" s="1"/>
  <c r="CX208" i="310"/>
  <c r="CX184" i="310"/>
  <c r="CX185" i="310"/>
  <c r="CX186" i="310" s="1"/>
  <c r="CW214" i="310"/>
  <c r="CW216" i="310"/>
  <c r="CC257" i="310"/>
  <c r="CC275" i="310" s="1"/>
  <c r="CC226" i="310"/>
  <c r="CE225" i="310"/>
  <c r="CA285" i="310"/>
  <c r="CA287" i="310"/>
  <c r="CA288" i="310" s="1"/>
  <c r="CD242" i="310"/>
  <c r="CD249" i="310"/>
  <c r="CD250" i="310" s="1"/>
  <c r="CC263" i="310"/>
  <c r="CD263" i="310" s="1"/>
  <c r="CD264" i="310" s="1"/>
  <c r="CC242" i="310"/>
  <c r="CE241" i="310"/>
  <c r="CB250" i="310"/>
  <c r="CB251" i="310"/>
  <c r="CE245" i="310"/>
  <c r="CC246" i="310"/>
  <c r="CC266" i="310"/>
  <c r="CC249" i="310"/>
  <c r="CB287" i="310" l="1"/>
  <c r="CB288" i="310" s="1"/>
  <c r="BM53" i="3"/>
  <c r="BM55" i="3" s="1"/>
  <c r="BN52" i="3"/>
  <c r="CD257" i="310"/>
  <c r="CD258" i="310" s="1"/>
  <c r="CC269" i="310"/>
  <c r="CC270" i="310" s="1"/>
  <c r="CC276" i="310"/>
  <c r="CD275" i="310"/>
  <c r="CD276" i="310" s="1"/>
  <c r="CE257" i="310"/>
  <c r="CE275" i="310" s="1"/>
  <c r="CF225" i="310"/>
  <c r="CE226" i="310"/>
  <c r="CX216" i="310"/>
  <c r="CX217" i="310" s="1"/>
  <c r="CW76" i="310"/>
  <c r="CW217" i="310"/>
  <c r="CC281" i="310"/>
  <c r="CC251" i="310"/>
  <c r="CC250" i="310"/>
  <c r="CE246" i="310"/>
  <c r="CE266" i="310"/>
  <c r="CF245" i="310"/>
  <c r="CE249" i="310"/>
  <c r="CE242" i="310"/>
  <c r="CF241" i="310"/>
  <c r="CE263" i="310"/>
  <c r="CE281" i="310" s="1"/>
  <c r="CD266" i="310"/>
  <c r="CC284" i="310"/>
  <c r="BN53" i="3" l="1"/>
  <c r="BO52" i="3"/>
  <c r="CE276" i="310"/>
  <c r="CG225" i="310"/>
  <c r="CF257" i="310"/>
  <c r="CF275" i="310" s="1"/>
  <c r="CF276" i="310" s="1"/>
  <c r="CF226" i="310"/>
  <c r="CX76" i="310"/>
  <c r="CE282" i="310"/>
  <c r="CC285" i="310"/>
  <c r="CC287" i="310"/>
  <c r="CC288" i="310" s="1"/>
  <c r="CD284" i="310"/>
  <c r="CE251" i="310"/>
  <c r="CE250" i="310"/>
  <c r="CD267" i="310"/>
  <c r="CD269" i="310"/>
  <c r="CD270" i="310" s="1"/>
  <c r="CF242" i="310"/>
  <c r="CG241" i="310"/>
  <c r="CF263" i="310"/>
  <c r="CF281" i="310" s="1"/>
  <c r="CF282" i="310" s="1"/>
  <c r="CF266" i="310"/>
  <c r="CF246" i="310"/>
  <c r="CG245" i="310"/>
  <c r="CF249" i="310"/>
  <c r="CE284" i="310"/>
  <c r="CE269" i="310"/>
  <c r="CE270" i="310" s="1"/>
  <c r="CC282" i="310"/>
  <c r="CD281" i="310"/>
  <c r="CD282" i="310" s="1"/>
  <c r="BN55" i="3" l="1"/>
  <c r="BP52" i="3"/>
  <c r="BO53" i="3"/>
  <c r="CH225" i="310"/>
  <c r="CI225" i="310" s="1"/>
  <c r="CI226" i="310" s="1"/>
  <c r="CG226" i="310"/>
  <c r="CG257" i="310"/>
  <c r="CG275" i="310" s="1"/>
  <c r="CF284" i="310"/>
  <c r="CF269" i="310"/>
  <c r="CF270" i="310" s="1"/>
  <c r="CF250" i="310"/>
  <c r="CF251" i="310"/>
  <c r="CD285" i="310"/>
  <c r="CD287" i="310"/>
  <c r="CD288" i="310" s="1"/>
  <c r="CE285" i="310"/>
  <c r="CE287" i="310"/>
  <c r="CE288" i="310" s="1"/>
  <c r="CH245" i="310"/>
  <c r="CG266" i="310"/>
  <c r="CG246" i="310"/>
  <c r="CG249" i="310"/>
  <c r="CI245" i="310"/>
  <c r="CI246" i="310" s="1"/>
  <c r="CG242" i="310"/>
  <c r="CH241" i="310"/>
  <c r="CG263" i="310"/>
  <c r="CG281" i="310" s="1"/>
  <c r="CG282" i="310" s="1"/>
  <c r="BQ52" i="3" l="1"/>
  <c r="BP53" i="3"/>
  <c r="BP55" i="3" s="1"/>
  <c r="BP106" i="3"/>
  <c r="CG276" i="310"/>
  <c r="CG269" i="310"/>
  <c r="CG270" i="310" s="1"/>
  <c r="CJ225" i="310"/>
  <c r="CH257" i="310"/>
  <c r="CH275" i="310" s="1"/>
  <c r="CH226" i="310"/>
  <c r="CJ241" i="310"/>
  <c r="CH242" i="310"/>
  <c r="CH263" i="310"/>
  <c r="CI263" i="310" s="1"/>
  <c r="CI241" i="310"/>
  <c r="CG284" i="310"/>
  <c r="CG251" i="310"/>
  <c r="CG250" i="310"/>
  <c r="CJ245" i="310"/>
  <c r="CH266" i="310"/>
  <c r="CH246" i="310"/>
  <c r="CH249" i="310"/>
  <c r="CF285" i="310"/>
  <c r="CF287" i="310"/>
  <c r="CF288" i="310" s="1"/>
  <c r="CI264" i="310" l="1"/>
  <c r="BR52" i="3"/>
  <c r="BQ53" i="3"/>
  <c r="BQ55" i="3" s="1"/>
  <c r="BT106" i="3"/>
  <c r="BT107" i="3" s="1"/>
  <c r="BP107" i="3"/>
  <c r="BQ106" i="3" s="1"/>
  <c r="BQ107" i="3" s="1"/>
  <c r="BR106" i="3" s="1"/>
  <c r="BR107" i="3" s="1"/>
  <c r="BS106" i="3" s="1"/>
  <c r="BS107" i="3" s="1"/>
  <c r="CI257" i="310"/>
  <c r="CI258" i="310" s="1"/>
  <c r="CH276" i="310"/>
  <c r="CI275" i="310"/>
  <c r="CI276" i="310" s="1"/>
  <c r="CH281" i="310"/>
  <c r="CK225" i="310"/>
  <c r="CJ257" i="310"/>
  <c r="CJ275" i="310" s="1"/>
  <c r="CJ226" i="310"/>
  <c r="CI266" i="310"/>
  <c r="CH269" i="310"/>
  <c r="CH270" i="310" s="1"/>
  <c r="CH251" i="310"/>
  <c r="CH250" i="310"/>
  <c r="CJ266" i="310"/>
  <c r="CK245" i="310"/>
  <c r="CJ246" i="310"/>
  <c r="CJ249" i="310"/>
  <c r="CG285" i="310"/>
  <c r="CG287" i="310"/>
  <c r="CG288" i="310" s="1"/>
  <c r="CH284" i="310"/>
  <c r="CI284" i="310" s="1"/>
  <c r="CI242" i="310"/>
  <c r="CI249" i="310"/>
  <c r="CI250" i="310" s="1"/>
  <c r="CJ242" i="310"/>
  <c r="CK241" i="310"/>
  <c r="CJ263" i="310"/>
  <c r="CJ281" i="310" s="1"/>
  <c r="BR53" i="3" l="1"/>
  <c r="BR55" i="3" s="1"/>
  <c r="BS52" i="3"/>
  <c r="CL225" i="310"/>
  <c r="CK226" i="310"/>
  <c r="CK257" i="310"/>
  <c r="CH282" i="310"/>
  <c r="CI281" i="310"/>
  <c r="CI282" i="310" s="1"/>
  <c r="CJ276" i="310"/>
  <c r="CK266" i="310"/>
  <c r="CK246" i="310"/>
  <c r="CL245" i="310"/>
  <c r="CK249" i="310"/>
  <c r="CJ282" i="310"/>
  <c r="CK263" i="310"/>
  <c r="CK281" i="310" s="1"/>
  <c r="CK282" i="310" s="1"/>
  <c r="CK242" i="310"/>
  <c r="CL241" i="310"/>
  <c r="CJ284" i="310"/>
  <c r="CJ269" i="310"/>
  <c r="CJ270" i="310" s="1"/>
  <c r="CI285" i="310"/>
  <c r="CH285" i="310"/>
  <c r="CH287" i="310"/>
  <c r="CH288" i="310" s="1"/>
  <c r="CJ250" i="310"/>
  <c r="CJ251" i="310"/>
  <c r="CI267" i="310"/>
  <c r="CI269" i="310"/>
  <c r="CI270" i="310" s="1"/>
  <c r="BS53" i="3" l="1"/>
  <c r="BT52" i="3"/>
  <c r="CI287" i="310"/>
  <c r="CI288" i="310" s="1"/>
  <c r="CK275" i="310"/>
  <c r="CM225" i="310"/>
  <c r="CN225" i="310" s="1"/>
  <c r="CN226" i="310" s="1"/>
  <c r="CL226" i="310"/>
  <c r="CL257" i="310"/>
  <c r="CL275" i="310" s="1"/>
  <c r="CL276" i="310" s="1"/>
  <c r="CJ285" i="310"/>
  <c r="CJ287" i="310"/>
  <c r="CJ288" i="310" s="1"/>
  <c r="CM241" i="310"/>
  <c r="CN241" i="310" s="1"/>
  <c r="CL242" i="310"/>
  <c r="CL263" i="310"/>
  <c r="CL281" i="310" s="1"/>
  <c r="CL282" i="310" s="1"/>
  <c r="CK284" i="310"/>
  <c r="CK269" i="310"/>
  <c r="CK270" i="310" s="1"/>
  <c r="CM245" i="310"/>
  <c r="CL246" i="310"/>
  <c r="CL266" i="310"/>
  <c r="CL249" i="310"/>
  <c r="CK251" i="310"/>
  <c r="CK250" i="310"/>
  <c r="BS55" i="3" l="1"/>
  <c r="BT53" i="3"/>
  <c r="BU52" i="3"/>
  <c r="CO225" i="310"/>
  <c r="CM226" i="310"/>
  <c r="CM257" i="310"/>
  <c r="CN257" i="310" s="1"/>
  <c r="CN258" i="310" s="1"/>
  <c r="CK276" i="310"/>
  <c r="CN242" i="310"/>
  <c r="CN245" i="310"/>
  <c r="CN246" i="310" s="1"/>
  <c r="CM246" i="310"/>
  <c r="CO245" i="310"/>
  <c r="CM266" i="310"/>
  <c r="CM249" i="310"/>
  <c r="CL251" i="310"/>
  <c r="CL250" i="310"/>
  <c r="CL284" i="310"/>
  <c r="CL269" i="310"/>
  <c r="CL270" i="310" s="1"/>
  <c r="CK285" i="310"/>
  <c r="CK287" i="310"/>
  <c r="CK288" i="310" s="1"/>
  <c r="CM263" i="310"/>
  <c r="CM281" i="310" s="1"/>
  <c r="CM282" i="310" s="1"/>
  <c r="CM242" i="310"/>
  <c r="CO241" i="310"/>
  <c r="BU106" i="3" l="1"/>
  <c r="BU53" i="3"/>
  <c r="BU55" i="3" s="1"/>
  <c r="CO257" i="310"/>
  <c r="CO275" i="310" s="1"/>
  <c r="CO276" i="310" s="1"/>
  <c r="CO226" i="310"/>
  <c r="CP225" i="310"/>
  <c r="CM275" i="310"/>
  <c r="CM251" i="310"/>
  <c r="CM250" i="310"/>
  <c r="CP241" i="310"/>
  <c r="CO263" i="310"/>
  <c r="CO281" i="310" s="1"/>
  <c r="CO242" i="310"/>
  <c r="CM284" i="310"/>
  <c r="CN284" i="310" s="1"/>
  <c r="CM269" i="310"/>
  <c r="CM270" i="310" s="1"/>
  <c r="CN249" i="310"/>
  <c r="CN250" i="310" s="1"/>
  <c r="CN266" i="310"/>
  <c r="CO266" i="310"/>
  <c r="CP245" i="310"/>
  <c r="CO246" i="310"/>
  <c r="CO249" i="310"/>
  <c r="CL285" i="310"/>
  <c r="CL287" i="310"/>
  <c r="CL288" i="310" s="1"/>
  <c r="CN281" i="310"/>
  <c r="CN282" i="310" s="1"/>
  <c r="CN263" i="310"/>
  <c r="CN264" i="310" s="1"/>
  <c r="BU107" i="3" l="1"/>
  <c r="BY106" i="3"/>
  <c r="BY107" i="3" s="1"/>
  <c r="CP226" i="310"/>
  <c r="CQ225" i="310"/>
  <c r="CP257" i="310"/>
  <c r="CP275" i="310" s="1"/>
  <c r="CP276" i="310" s="1"/>
  <c r="CM276" i="310"/>
  <c r="CN275" i="310"/>
  <c r="CN276" i="310" s="1"/>
  <c r="CN285" i="310"/>
  <c r="CO251" i="310"/>
  <c r="CO250" i="310"/>
  <c r="CO269" i="310"/>
  <c r="CO270" i="310" s="1"/>
  <c r="CO282" i="310"/>
  <c r="CO284" i="310"/>
  <c r="CN267" i="310"/>
  <c r="CN269" i="310"/>
  <c r="CN270" i="310" s="1"/>
  <c r="CP263" i="310"/>
  <c r="CP281" i="310" s="1"/>
  <c r="CP242" i="310"/>
  <c r="CQ241" i="310"/>
  <c r="CM285" i="310"/>
  <c r="CM287" i="310"/>
  <c r="CM288" i="310" s="1"/>
  <c r="CP246" i="310"/>
  <c r="CQ245" i="310"/>
  <c r="CP266" i="310"/>
  <c r="CP284" i="310" s="1"/>
  <c r="CP249" i="310"/>
  <c r="BV106" i="3" l="1"/>
  <c r="BV107" i="3" s="1"/>
  <c r="BW106" i="3" s="1"/>
  <c r="BW107" i="3" s="1"/>
  <c r="BX106" i="3" s="1"/>
  <c r="BX107" i="3" s="1"/>
  <c r="BU108" i="3"/>
  <c r="CN287" i="310"/>
  <c r="CN288" i="310" s="1"/>
  <c r="CQ226" i="310"/>
  <c r="CR225" i="310"/>
  <c r="CQ257" i="310"/>
  <c r="CQ275" i="310" s="1"/>
  <c r="CQ276" i="310" s="1"/>
  <c r="CP282" i="310"/>
  <c r="CR245" i="310"/>
  <c r="CQ246" i="310"/>
  <c r="CQ266" i="310"/>
  <c r="CQ284" i="310" s="1"/>
  <c r="CQ249" i="310"/>
  <c r="CP251" i="310"/>
  <c r="CP250" i="310"/>
  <c r="CP285" i="310"/>
  <c r="CP287" i="310"/>
  <c r="CP288" i="310" s="1"/>
  <c r="CQ263" i="310"/>
  <c r="CQ242" i="310"/>
  <c r="CR241" i="310"/>
  <c r="CS241" i="310" s="1"/>
  <c r="CP269" i="310"/>
  <c r="CP270" i="310" s="1"/>
  <c r="CO285" i="310"/>
  <c r="CO287" i="310"/>
  <c r="CO288" i="310" s="1"/>
  <c r="CR226" i="310" l="1"/>
  <c r="CT225" i="310"/>
  <c r="CR257" i="310"/>
  <c r="CS257" i="310" s="1"/>
  <c r="CS225" i="310"/>
  <c r="CS226" i="310" s="1"/>
  <c r="CS242" i="310"/>
  <c r="CQ251" i="310"/>
  <c r="CQ250" i="310"/>
  <c r="CQ285" i="310"/>
  <c r="CR263" i="310"/>
  <c r="CS263" i="310" s="1"/>
  <c r="CS264" i="310" s="1"/>
  <c r="CT241" i="310"/>
  <c r="CR242" i="310"/>
  <c r="CS245" i="310"/>
  <c r="CS246" i="310" s="1"/>
  <c r="CR246" i="310"/>
  <c r="CR266" i="310"/>
  <c r="CR284" i="310" s="1"/>
  <c r="CT245" i="310"/>
  <c r="CR249" i="310"/>
  <c r="CQ281" i="310"/>
  <c r="CQ287" i="310" s="1"/>
  <c r="CQ288" i="310" s="1"/>
  <c r="CQ269" i="310"/>
  <c r="CQ270" i="310" s="1"/>
  <c r="CS258" i="310" l="1"/>
  <c r="CR281" i="310"/>
  <c r="CR282" i="310" s="1"/>
  <c r="CU225" i="310"/>
  <c r="CT226" i="310"/>
  <c r="CT257" i="310"/>
  <c r="CR275" i="310"/>
  <c r="CR287" i="310" s="1"/>
  <c r="CR288" i="310" s="1"/>
  <c r="CU245" i="310"/>
  <c r="CT246" i="310"/>
  <c r="CT266" i="310"/>
  <c r="CT284" i="310" s="1"/>
  <c r="CT249" i="310"/>
  <c r="CQ282" i="310"/>
  <c r="CR269" i="310"/>
  <c r="CR270" i="310" s="1"/>
  <c r="CS266" i="310"/>
  <c r="CT242" i="310"/>
  <c r="CT263" i="310"/>
  <c r="CT281" i="310" s="1"/>
  <c r="CU241" i="310"/>
  <c r="CS249" i="310"/>
  <c r="CS250" i="310" s="1"/>
  <c r="CR285" i="310"/>
  <c r="CS284" i="310"/>
  <c r="CR251" i="310"/>
  <c r="CR250" i="310"/>
  <c r="CS281" i="310" l="1"/>
  <c r="CS282" i="310" s="1"/>
  <c r="CT275" i="310"/>
  <c r="CT287" i="310" s="1"/>
  <c r="CT288" i="310" s="1"/>
  <c r="CS275" i="310"/>
  <c r="CS276" i="310" s="1"/>
  <c r="CR276" i="310"/>
  <c r="CV225" i="310"/>
  <c r="CU257" i="310"/>
  <c r="CU275" i="310" s="1"/>
  <c r="CU276" i="310" s="1"/>
  <c r="CU226" i="310"/>
  <c r="CT285" i="310"/>
  <c r="CT282" i="310"/>
  <c r="CS285" i="310"/>
  <c r="CS267" i="310"/>
  <c r="CS269" i="310"/>
  <c r="CS270" i="310" s="1"/>
  <c r="CT251" i="310"/>
  <c r="CT250" i="310"/>
  <c r="CT269" i="310"/>
  <c r="CT270" i="310" s="1"/>
  <c r="CV241" i="310"/>
  <c r="CU242" i="310"/>
  <c r="CU263" i="310"/>
  <c r="CU281" i="310" s="1"/>
  <c r="CU282" i="310" s="1"/>
  <c r="CU246" i="310"/>
  <c r="CV245" i="310"/>
  <c r="CU266" i="310"/>
  <c r="CU249" i="310"/>
  <c r="CU269" i="310" l="1"/>
  <c r="CU270" i="310" s="1"/>
  <c r="CS287" i="310"/>
  <c r="CS288" i="310" s="1"/>
  <c r="CV226" i="310"/>
  <c r="CV257" i="310"/>
  <c r="CW225" i="310"/>
  <c r="CX225" i="310" s="1"/>
  <c r="CX226" i="310" s="1"/>
  <c r="CT276" i="310"/>
  <c r="CV266" i="310"/>
  <c r="CV246" i="310"/>
  <c r="CW245" i="310"/>
  <c r="CV249" i="310"/>
  <c r="CV263" i="310"/>
  <c r="CV281" i="310" s="1"/>
  <c r="CV282" i="310" s="1"/>
  <c r="CW241" i="310"/>
  <c r="CV242" i="310"/>
  <c r="CU284" i="310"/>
  <c r="CU250" i="310"/>
  <c r="CU251" i="310"/>
  <c r="CW257" i="310" l="1"/>
  <c r="CX257" i="310" s="1"/>
  <c r="CX258" i="310" s="1"/>
  <c r="CW226" i="310"/>
  <c r="CV275" i="310"/>
  <c r="CU285" i="310"/>
  <c r="CU287" i="310"/>
  <c r="CU288" i="310" s="1"/>
  <c r="CW266" i="310"/>
  <c r="CW246" i="310"/>
  <c r="CW249" i="310"/>
  <c r="CV250" i="310"/>
  <c r="CV251" i="310"/>
  <c r="CW263" i="310"/>
  <c r="CX263" i="310" s="1"/>
  <c r="CW242" i="310"/>
  <c r="CX241" i="310"/>
  <c r="CX245" i="310"/>
  <c r="CX246" i="310" s="1"/>
  <c r="CV284" i="310"/>
  <c r="CV269" i="310"/>
  <c r="CV270" i="310" s="1"/>
  <c r="CW281" i="310" l="1"/>
  <c r="CX281" i="310" s="1"/>
  <c r="CX282" i="310" s="1"/>
  <c r="CW275" i="310"/>
  <c r="CW276" i="310" s="1"/>
  <c r="CX264" i="310"/>
  <c r="CV276" i="310"/>
  <c r="CW269" i="310"/>
  <c r="CW270" i="310" s="1"/>
  <c r="CX266" i="310"/>
  <c r="CW284" i="310"/>
  <c r="CV285" i="310"/>
  <c r="CV287" i="310"/>
  <c r="CV288" i="310" s="1"/>
  <c r="CW250" i="310"/>
  <c r="CW251" i="310"/>
  <c r="CX242" i="310"/>
  <c r="CX249" i="310"/>
  <c r="CX250" i="310" s="1"/>
  <c r="CW282" i="310" l="1"/>
  <c r="CX275" i="310"/>
  <c r="CX276" i="310" s="1"/>
  <c r="CW285" i="310"/>
  <c r="CW287" i="310"/>
  <c r="CW288" i="310" s="1"/>
  <c r="CX267" i="310"/>
  <c r="CX269" i="310"/>
  <c r="CX270" i="310" s="1"/>
  <c r="CX284" i="310"/>
  <c r="CX285" i="310" l="1"/>
  <c r="CX287" i="310"/>
  <c r="CX288" i="310" s="1"/>
  <c r="BK73" i="4" l="1"/>
  <c r="BK71" i="4" s="1"/>
  <c r="BK96" i="4"/>
  <c r="BK87" i="4" l="1"/>
  <c r="BK85" i="4"/>
  <c r="BK98" i="4"/>
  <c r="BK86" i="4" l="1"/>
  <c r="BL73" i="310"/>
  <c r="BL73" i="4"/>
  <c r="BL71" i="4" s="1"/>
  <c r="BL96" i="4"/>
  <c r="BL87" i="4" s="1"/>
  <c r="BL98" i="4" l="1"/>
  <c r="BL85" i="4"/>
  <c r="BL86" i="4" l="1"/>
  <c r="BM73" i="310"/>
  <c r="BM73" i="4"/>
  <c r="BM71" i="4" s="1"/>
  <c r="BO73" i="4"/>
  <c r="BO71" i="4" s="1"/>
  <c r="BM96" i="4"/>
  <c r="BM87" i="4" s="1"/>
  <c r="BN87" i="4" s="1"/>
  <c r="BO96" i="4"/>
  <c r="BO87" i="4" s="1"/>
  <c r="BO98" i="4" l="1"/>
  <c r="BM98" i="4"/>
  <c r="BO85" i="4"/>
  <c r="BM85" i="4"/>
  <c r="BN73" i="4"/>
  <c r="BN71" i="4" s="1"/>
  <c r="BN96" i="4"/>
  <c r="BN98" i="4" s="1"/>
  <c r="BP96" i="4"/>
  <c r="BN85" i="4" l="1"/>
  <c r="BO73" i="310" s="1"/>
  <c r="BM86" i="4"/>
  <c r="BN86" i="4" s="1"/>
  <c r="BN73" i="310"/>
  <c r="BP87" i="4"/>
  <c r="BP98" i="4"/>
  <c r="BP73" i="4"/>
  <c r="BP71" i="4" s="1"/>
  <c r="BQ96" i="4"/>
  <c r="BO86" i="4"/>
  <c r="BP73" i="310"/>
  <c r="BP85" i="4" l="1"/>
  <c r="BQ87" i="4"/>
  <c r="BQ98" i="4"/>
  <c r="BQ73" i="4"/>
  <c r="BQ71" i="4" s="1"/>
  <c r="BP86" i="4" l="1"/>
  <c r="BQ73" i="310"/>
  <c r="BQ85" i="4"/>
  <c r="BR73" i="4"/>
  <c r="BR96" i="4"/>
  <c r="BS73" i="4" l="1"/>
  <c r="BS71" i="4" s="1"/>
  <c r="BS72" i="4" s="1"/>
  <c r="BR71" i="4"/>
  <c r="BR87" i="4"/>
  <c r="BS87" i="4" s="1"/>
  <c r="BR98" i="4"/>
  <c r="BS96" i="4"/>
  <c r="BS98" i="4" s="1"/>
  <c r="BQ86" i="4"/>
  <c r="BS86" i="4" s="1"/>
  <c r="BR73" i="310"/>
  <c r="BR85" i="4" l="1"/>
  <c r="BR88" i="4" l="1"/>
  <c r="BS88" i="4" s="1"/>
  <c r="BS73" i="310"/>
  <c r="BS85" i="4"/>
  <c r="BT73" i="310" s="1"/>
  <c r="BT73" i="4"/>
  <c r="BT71" i="4" s="1"/>
  <c r="BU73" i="4"/>
  <c r="BU71" i="4" s="1"/>
  <c r="BV73" i="4"/>
  <c r="BV71" i="4" s="1"/>
  <c r="BW93" i="4"/>
  <c r="BW97" i="4" s="1"/>
  <c r="BT96" i="4"/>
  <c r="BT87" i="4" s="1"/>
  <c r="BW96" i="4"/>
  <c r="BW87" i="4" s="1"/>
  <c r="BV93" i="4" l="1"/>
  <c r="BV97" i="4" s="1"/>
  <c r="BV98" i="4" s="1"/>
  <c r="BV96" i="4"/>
  <c r="BV87" i="4" s="1"/>
  <c r="BW98" i="4"/>
  <c r="BW73" i="4"/>
  <c r="BW71" i="4" s="1"/>
  <c r="BT93" i="4"/>
  <c r="BT97" i="4" s="1"/>
  <c r="BU96" i="4"/>
  <c r="BU93" i="4"/>
  <c r="BU97" i="4" s="1"/>
  <c r="BT85" i="4"/>
  <c r="BX73" i="4"/>
  <c r="BX71" i="4" s="1"/>
  <c r="BX72" i="4" s="1"/>
  <c r="BV85" i="4"/>
  <c r="BU85" i="4"/>
  <c r="BX93" i="4" l="1"/>
  <c r="BX97" i="4"/>
  <c r="BT98" i="4"/>
  <c r="BU87" i="4"/>
  <c r="BX87" i="4" s="1"/>
  <c r="BU98" i="4"/>
  <c r="BX96" i="4"/>
  <c r="BV73" i="310"/>
  <c r="BV88" i="4"/>
  <c r="BW73" i="310"/>
  <c r="BW85" i="4"/>
  <c r="BX85" i="4"/>
  <c r="BY73" i="310" s="1"/>
  <c r="BT88" i="4"/>
  <c r="BU73" i="310"/>
  <c r="BX98" i="4" l="1"/>
  <c r="BU88" i="4"/>
  <c r="BY73" i="4"/>
  <c r="BY71" i="4" s="1"/>
  <c r="BY96" i="4"/>
  <c r="BZ96" i="4"/>
  <c r="BW88" i="4"/>
  <c r="BX88" i="4" s="1"/>
  <c r="BX73" i="310"/>
  <c r="BY87" i="4" l="1"/>
  <c r="BZ87" i="4"/>
  <c r="BZ73" i="4"/>
  <c r="BZ71" i="4" s="1"/>
  <c r="CA96" i="4"/>
  <c r="BY85" i="4"/>
  <c r="CA87" i="4" l="1"/>
  <c r="BZ85" i="4"/>
  <c r="BY88" i="4"/>
  <c r="BZ73" i="310"/>
  <c r="CA73" i="4"/>
  <c r="CA71" i="4" s="1"/>
  <c r="CB96" i="4"/>
  <c r="CD97" i="4" l="1"/>
  <c r="CB87" i="4"/>
  <c r="CC87" i="4" s="1"/>
  <c r="CC96" i="4"/>
  <c r="CA85" i="4"/>
  <c r="CD96" i="4"/>
  <c r="CB73" i="4"/>
  <c r="BZ88" i="4"/>
  <c r="CA73" i="310"/>
  <c r="CD87" i="4" l="1"/>
  <c r="CD98" i="4"/>
  <c r="CE97" i="4"/>
  <c r="CA88" i="4"/>
  <c r="CB73" i="310"/>
  <c r="CC73" i="4"/>
  <c r="CC71" i="4" s="1"/>
  <c r="CC72" i="4" s="1"/>
  <c r="CB71" i="4"/>
  <c r="CD73" i="4"/>
  <c r="CD71" i="4" s="1"/>
  <c r="CB85" i="4" l="1"/>
  <c r="CD85" i="4"/>
  <c r="CF96" i="4"/>
  <c r="CE73" i="4"/>
  <c r="CE71" i="4" s="1"/>
  <c r="CE96" i="4"/>
  <c r="CF97" i="4"/>
  <c r="CG97" i="4" l="1"/>
  <c r="CH97" i="4" s="1"/>
  <c r="CB88" i="4"/>
  <c r="CC88" i="4" s="1"/>
  <c r="CC73" i="310"/>
  <c r="CC85" i="4"/>
  <c r="CD73" i="310" s="1"/>
  <c r="CD88" i="4"/>
  <c r="CE73" i="310"/>
  <c r="CF87" i="4"/>
  <c r="CF98" i="4"/>
  <c r="CF71" i="4"/>
  <c r="CE85" i="4"/>
  <c r="CE87" i="4"/>
  <c r="CE98" i="4"/>
  <c r="CG96" i="4"/>
  <c r="CH96" i="4" s="1"/>
  <c r="CF73" i="4"/>
  <c r="CH98" i="4" l="1"/>
  <c r="CE88" i="4"/>
  <c r="CF73" i="310"/>
  <c r="CK73" i="310" s="1"/>
  <c r="CP73" i="310" s="1"/>
  <c r="CU73" i="310" s="1"/>
  <c r="CG98" i="4"/>
  <c r="CG87" i="4"/>
  <c r="CH87" i="4" s="1"/>
  <c r="CG71" i="4"/>
  <c r="CF85" i="4"/>
  <c r="CG73" i="4"/>
  <c r="CH73" i="4" s="1"/>
  <c r="CH71" i="4" s="1"/>
  <c r="CH72" i="4" s="1"/>
  <c r="CI97" i="4"/>
  <c r="CG85" i="4" l="1"/>
  <c r="CI71" i="4"/>
  <c r="CJ96" i="4"/>
  <c r="CI73" i="4"/>
  <c r="CJ97" i="4"/>
  <c r="CI96" i="4"/>
  <c r="CI87" i="4" s="1"/>
  <c r="CF88" i="4"/>
  <c r="CG73" i="310"/>
  <c r="CL73" i="310" s="1"/>
  <c r="CQ73" i="310" s="1"/>
  <c r="CV73" i="310" s="1"/>
  <c r="CI85" i="4" l="1"/>
  <c r="CJ71" i="4"/>
  <c r="CI98" i="4"/>
  <c r="CJ87" i="4"/>
  <c r="CJ98" i="4"/>
  <c r="CK97" i="4"/>
  <c r="CJ73" i="4"/>
  <c r="CG88" i="4"/>
  <c r="CH88" i="4" s="1"/>
  <c r="CH73" i="310"/>
  <c r="CM73" i="310" s="1"/>
  <c r="CR73" i="310" s="1"/>
  <c r="CW73" i="310" s="1"/>
  <c r="CH85" i="4"/>
  <c r="CI73" i="310" s="1"/>
  <c r="CL97" i="4" l="1"/>
  <c r="CM97" i="4" s="1"/>
  <c r="CI75" i="4"/>
  <c r="CI77" i="4"/>
  <c r="CI78" i="4"/>
  <c r="CK73" i="4"/>
  <c r="CK71" i="4"/>
  <c r="CL71" i="4" s="1"/>
  <c r="CJ85" i="4"/>
  <c r="CJ74" i="4"/>
  <c r="CK96" i="4"/>
  <c r="CJ75" i="4" l="1"/>
  <c r="CJ77" i="4"/>
  <c r="CJ78" i="4"/>
  <c r="CJ111" i="4"/>
  <c r="CL73" i="4"/>
  <c r="CM73" i="4" s="1"/>
  <c r="CN96" i="4"/>
  <c r="CJ23" i="1"/>
  <c r="CJ22" i="1"/>
  <c r="CN97" i="4"/>
  <c r="CK98" i="4"/>
  <c r="CK87" i="4"/>
  <c r="CK85" i="4"/>
  <c r="CK74" i="4"/>
  <c r="CL96" i="4"/>
  <c r="CM96" i="4" s="1"/>
  <c r="CM98" i="4" s="1"/>
  <c r="CI112" i="4"/>
  <c r="CI113" i="4"/>
  <c r="CI114" i="4"/>
  <c r="CI115" i="4" l="1"/>
  <c r="CN87" i="4"/>
  <c r="CN98" i="4"/>
  <c r="CL87" i="4"/>
  <c r="CM87" i="4" s="1"/>
  <c r="CL98" i="4"/>
  <c r="CO97" i="4"/>
  <c r="CJ114" i="4"/>
  <c r="CJ112" i="4"/>
  <c r="CJ113" i="4"/>
  <c r="CK75" i="4"/>
  <c r="CK77" i="4"/>
  <c r="CK78" i="4"/>
  <c r="CK111" i="4"/>
  <c r="CL74" i="4"/>
  <c r="CL85" i="4"/>
  <c r="CO96" i="4"/>
  <c r="CN73" i="4"/>
  <c r="CM75" i="4" l="1"/>
  <c r="CJ115" i="4"/>
  <c r="CO98" i="4"/>
  <c r="CO87" i="4"/>
  <c r="CK114" i="4"/>
  <c r="CK112" i="4"/>
  <c r="CK113" i="4"/>
  <c r="CO73" i="4"/>
  <c r="CP96" i="4"/>
  <c r="CM85" i="4"/>
  <c r="CL111" i="4"/>
  <c r="CM74" i="4"/>
  <c r="CL75" i="4"/>
  <c r="CL77" i="4"/>
  <c r="CL78" i="4"/>
  <c r="CP97" i="4"/>
  <c r="CK115" i="4" l="1"/>
  <c r="CM111" i="4"/>
  <c r="CL114" i="4"/>
  <c r="CL112" i="4"/>
  <c r="CL113" i="4"/>
  <c r="CQ96" i="4"/>
  <c r="CP73" i="4"/>
  <c r="CP87" i="4"/>
  <c r="CP98" i="4"/>
  <c r="CQ97" i="4"/>
  <c r="CR97" i="4" s="1"/>
  <c r="CM184" i="4"/>
  <c r="CM71" i="4"/>
  <c r="CL115" i="4" l="1"/>
  <c r="CM72" i="4"/>
  <c r="CN71" i="4"/>
  <c r="CJ20" i="1"/>
  <c r="CJ19" i="1"/>
  <c r="CJ24" i="1"/>
  <c r="CQ73" i="4"/>
  <c r="CR73" i="4" s="1"/>
  <c r="CS96" i="4"/>
  <c r="CM113" i="4"/>
  <c r="CM116" i="4"/>
  <c r="CM114" i="4"/>
  <c r="CQ87" i="4"/>
  <c r="CR87" i="4" s="1"/>
  <c r="CQ98" i="4"/>
  <c r="CM183" i="4"/>
  <c r="CM185" i="4"/>
  <c r="CS97" i="4"/>
  <c r="CR96" i="4"/>
  <c r="CR98" i="4" s="1"/>
  <c r="CJ105" i="2" l="1"/>
  <c r="CO105" i="2" s="1"/>
  <c r="CT105" i="2" s="1"/>
  <c r="CJ110" i="2"/>
  <c r="CO110" i="2" s="1"/>
  <c r="CT110" i="2" s="1"/>
  <c r="CJ96" i="2"/>
  <c r="CJ106" i="2"/>
  <c r="CO106" i="2" s="1"/>
  <c r="CT106" i="2" s="1"/>
  <c r="CJ109" i="2"/>
  <c r="CO109" i="2" s="1"/>
  <c r="CT109" i="2" s="1"/>
  <c r="CJ95" i="2"/>
  <c r="CJ211" i="1"/>
  <c r="CJ210" i="1"/>
  <c r="CJ180" i="1"/>
  <c r="CJ38" i="1"/>
  <c r="CJ41" i="1" s="1"/>
  <c r="CJ155" i="1"/>
  <c r="CJ49" i="1"/>
  <c r="CO49" i="1" s="1"/>
  <c r="CT49" i="1" s="1"/>
  <c r="CJ139" i="1"/>
  <c r="CJ169" i="1"/>
  <c r="CJ170" i="1"/>
  <c r="CJ171" i="1"/>
  <c r="CJ53" i="1"/>
  <c r="CO53" i="1" s="1"/>
  <c r="CT53" i="1" s="1"/>
  <c r="CJ45" i="1"/>
  <c r="CO45" i="1" s="1"/>
  <c r="CT45" i="1" s="1"/>
  <c r="CS98" i="4"/>
  <c r="CS87" i="4"/>
  <c r="CT97" i="4"/>
  <c r="CJ26" i="3"/>
  <c r="CJ190" i="1"/>
  <c r="CI9" i="4"/>
  <c r="CJ25" i="1"/>
  <c r="CJ26" i="1"/>
  <c r="CJ209" i="1"/>
  <c r="CJ11" i="8"/>
  <c r="CJ43" i="8"/>
  <c r="CO71" i="4"/>
  <c r="CN85" i="4"/>
  <c r="CN74" i="4"/>
  <c r="CS73" i="4"/>
  <c r="CT96" i="4"/>
  <c r="CJ198" i="1" l="1"/>
  <c r="CO95" i="2"/>
  <c r="CI197" i="4"/>
  <c r="CT87" i="4"/>
  <c r="CT98" i="4"/>
  <c r="CN75" i="4"/>
  <c r="CN77" i="4"/>
  <c r="CN78" i="4"/>
  <c r="CN111" i="4"/>
  <c r="CI11" i="4"/>
  <c r="CI21" i="4" s="1"/>
  <c r="CI23" i="4" s="1"/>
  <c r="CI24" i="4" s="1"/>
  <c r="CI8" i="4"/>
  <c r="CJ26" i="8"/>
  <c r="CI211" i="4"/>
  <c r="CJ33" i="1"/>
  <c r="CU97" i="4"/>
  <c r="CV97" i="4"/>
  <c r="CJ80" i="3"/>
  <c r="CI194" i="4"/>
  <c r="CJ39" i="8"/>
  <c r="CJ40" i="8"/>
  <c r="CJ41" i="8"/>
  <c r="CJ79" i="8"/>
  <c r="CJ94" i="8"/>
  <c r="CJ81" i="3"/>
  <c r="CP71" i="4"/>
  <c r="CO85" i="4"/>
  <c r="CO74" i="4"/>
  <c r="CT73" i="4"/>
  <c r="CI202" i="4"/>
  <c r="CJ65" i="1"/>
  <c r="CJ98" i="2" l="1"/>
  <c r="CJ99" i="2"/>
  <c r="CN197" i="4"/>
  <c r="CT95" i="2"/>
  <c r="CO198" i="1"/>
  <c r="CJ67" i="1"/>
  <c r="CJ71" i="1" s="1"/>
  <c r="CJ72" i="1" s="1"/>
  <c r="CJ181" i="1"/>
  <c r="CJ113" i="2" s="1"/>
  <c r="CO113" i="2" s="1"/>
  <c r="CT113" i="2" s="1"/>
  <c r="CJ146" i="1"/>
  <c r="CJ162" i="1"/>
  <c r="CJ172" i="1"/>
  <c r="CJ68" i="1"/>
  <c r="CW97" i="4"/>
  <c r="CV73" i="4"/>
  <c r="CW73" i="4" s="1"/>
  <c r="CU73" i="4"/>
  <c r="CO75" i="4"/>
  <c r="CO77" i="4"/>
  <c r="CO78" i="4"/>
  <c r="CO111" i="4"/>
  <c r="CJ66" i="1"/>
  <c r="CJ23" i="3"/>
  <c r="CU96" i="4"/>
  <c r="CJ54" i="8"/>
  <c r="CJ77" i="8"/>
  <c r="CJ31" i="3"/>
  <c r="CJ78" i="3"/>
  <c r="CP74" i="4"/>
  <c r="CQ71" i="4"/>
  <c r="CP85" i="4"/>
  <c r="CJ53" i="8"/>
  <c r="CJ76" i="8"/>
  <c r="CJ77" i="3"/>
  <c r="CJ9" i="8"/>
  <c r="CJ52" i="8"/>
  <c r="CJ75" i="8"/>
  <c r="CK125" i="2"/>
  <c r="CN112" i="4"/>
  <c r="CN114" i="4"/>
  <c r="CN113" i="4"/>
  <c r="CO98" i="2" l="1"/>
  <c r="CI215" i="4"/>
  <c r="CS197" i="4"/>
  <c r="CT198" i="1"/>
  <c r="CJ69" i="1"/>
  <c r="CJ148" i="1"/>
  <c r="CJ183" i="1"/>
  <c r="CJ164" i="1"/>
  <c r="CJ182" i="1"/>
  <c r="CJ174" i="1"/>
  <c r="CQ74" i="4"/>
  <c r="CQ85" i="4"/>
  <c r="CR85" i="4" s="1"/>
  <c r="CU87" i="4"/>
  <c r="CU98" i="4"/>
  <c r="CP111" i="4"/>
  <c r="CP75" i="4"/>
  <c r="CP77" i="4"/>
  <c r="CP78" i="4"/>
  <c r="CJ102" i="1"/>
  <c r="CJ80" i="1"/>
  <c r="CJ76" i="3"/>
  <c r="CO112" i="4"/>
  <c r="CO114" i="4"/>
  <c r="CO113" i="4"/>
  <c r="CV96" i="4"/>
  <c r="CJ15" i="8"/>
  <c r="CJ24" i="8"/>
  <c r="CJ34" i="8"/>
  <c r="CJ35" i="8" s="1"/>
  <c r="CJ10" i="8"/>
  <c r="CJ55" i="8"/>
  <c r="CJ81" i="8"/>
  <c r="CJ86" i="8" s="1"/>
  <c r="CJ34" i="2"/>
  <c r="CJ43" i="2" s="1"/>
  <c r="CJ22" i="3"/>
  <c r="CJ32" i="3" s="1"/>
  <c r="CJ58" i="8"/>
  <c r="CJ19" i="8" s="1"/>
  <c r="CJ82" i="8"/>
  <c r="CJ87" i="8" s="1"/>
  <c r="CJ85" i="3"/>
  <c r="CJ59" i="8"/>
  <c r="CJ20" i="8" s="1"/>
  <c r="CJ83" i="8"/>
  <c r="CJ88" i="8" s="1"/>
  <c r="CT98" i="2" l="1"/>
  <c r="CS215" i="4" s="1"/>
  <c r="CN215" i="4"/>
  <c r="CJ103" i="1"/>
  <c r="CJ105" i="1"/>
  <c r="CJ107" i="1" s="1"/>
  <c r="CJ82" i="1"/>
  <c r="CJ188" i="1" s="1"/>
  <c r="CJ189" i="1" s="1"/>
  <c r="CJ84" i="1"/>
  <c r="CI200" i="4"/>
  <c r="CJ29" i="8"/>
  <c r="CJ16" i="8"/>
  <c r="CJ30" i="8" s="1"/>
  <c r="CJ25" i="8"/>
  <c r="CV87" i="4"/>
  <c r="CW87" i="4" s="1"/>
  <c r="CV98" i="4"/>
  <c r="CJ60" i="8"/>
  <c r="CJ84" i="8"/>
  <c r="CJ75" i="3"/>
  <c r="CI195" i="4"/>
  <c r="CP112" i="4"/>
  <c r="CP114" i="4"/>
  <c r="CP113" i="4"/>
  <c r="CW96" i="4"/>
  <c r="CW98" i="4" s="1"/>
  <c r="CQ111" i="4"/>
  <c r="CR74" i="4"/>
  <c r="CQ75" i="4"/>
  <c r="CR75" i="4" s="1"/>
  <c r="CQ77" i="4"/>
  <c r="CQ78" i="4"/>
  <c r="CJ87" i="1" l="1"/>
  <c r="CJ165" i="1"/>
  <c r="CJ149" i="1"/>
  <c r="CJ175" i="1"/>
  <c r="CK82" i="1"/>
  <c r="CJ91" i="1"/>
  <c r="CJ110" i="1"/>
  <c r="CJ92" i="1"/>
  <c r="CJ93" i="1" s="1"/>
  <c r="CJ94" i="1" s="1"/>
  <c r="CJ89" i="1"/>
  <c r="CJ14" i="8"/>
  <c r="CJ31" i="8"/>
  <c r="CJ89" i="8"/>
  <c r="CR184" i="4"/>
  <c r="CR71" i="4"/>
  <c r="CQ113" i="4"/>
  <c r="CR111" i="4"/>
  <c r="CQ112" i="4"/>
  <c r="CQ114" i="4"/>
  <c r="CJ21" i="8"/>
  <c r="CJ64" i="8"/>
  <c r="CJ166" i="1" l="1"/>
  <c r="CJ150" i="1"/>
  <c r="CJ185" i="1"/>
  <c r="CL82" i="1"/>
  <c r="CK91" i="1"/>
  <c r="CR114" i="4"/>
  <c r="CR113" i="4"/>
  <c r="CR116" i="4"/>
  <c r="CR115" i="4"/>
  <c r="CR183" i="4"/>
  <c r="CR185" i="4"/>
  <c r="CJ97" i="1"/>
  <c r="CJ111" i="1"/>
  <c r="CJ115" i="1"/>
  <c r="CJ112" i="1" s="1"/>
  <c r="CJ113" i="1" s="1"/>
  <c r="CS71" i="4"/>
  <c r="CR72" i="4"/>
  <c r="CJ88" i="1"/>
  <c r="CM82" i="1" l="1"/>
  <c r="CM91" i="1" s="1"/>
  <c r="CL91" i="1"/>
  <c r="CJ98" i="1"/>
  <c r="CJ99" i="1" s="1"/>
  <c r="CJ62" i="3"/>
  <c r="CJ88" i="2" s="1"/>
  <c r="CJ89" i="2" s="1"/>
  <c r="CN89" i="2" s="1"/>
  <c r="CT71" i="4"/>
  <c r="CS85" i="4"/>
  <c r="CS74" i="4"/>
  <c r="CN91" i="1" l="1"/>
  <c r="CS75" i="4"/>
  <c r="CS77" i="4"/>
  <c r="CS78" i="4"/>
  <c r="CS111" i="4"/>
  <c r="CT74" i="4"/>
  <c r="CU71" i="4"/>
  <c r="CT85" i="4"/>
  <c r="CU74" i="4" l="1"/>
  <c r="CV71" i="4"/>
  <c r="CU85" i="4"/>
  <c r="CT111" i="4"/>
  <c r="CT75" i="4"/>
  <c r="CT77" i="4"/>
  <c r="CT78" i="4"/>
  <c r="CS112" i="4"/>
  <c r="CS114" i="4"/>
  <c r="CS113" i="4"/>
  <c r="CJ50" i="2" l="1"/>
  <c r="CJ51" i="2" s="1"/>
  <c r="CK87" i="2"/>
  <c r="CV85" i="4"/>
  <c r="CW85" i="4" s="1"/>
  <c r="CV74" i="4"/>
  <c r="CT112" i="4"/>
  <c r="CT114" i="4"/>
  <c r="CT113" i="4"/>
  <c r="CU111" i="4"/>
  <c r="CU75" i="4"/>
  <c r="CU77" i="4"/>
  <c r="CU78" i="4"/>
  <c r="CW75" i="4" l="1"/>
  <c r="CV111" i="4"/>
  <c r="CW74" i="4"/>
  <c r="CV75" i="4"/>
  <c r="CV77" i="4"/>
  <c r="CV78" i="4"/>
  <c r="CJ192" i="1"/>
  <c r="CU113" i="4"/>
  <c r="CU112" i="4"/>
  <c r="CU114" i="4"/>
  <c r="CJ15" i="2" l="1"/>
  <c r="CJ24" i="2" s="1"/>
  <c r="CI210" i="4"/>
  <c r="CI214" i="4" s="1"/>
  <c r="CK78" i="1"/>
  <c r="CW71" i="4"/>
  <c r="CW72" i="4" s="1"/>
  <c r="CV114" i="4"/>
  <c r="CV113" i="4"/>
  <c r="CW111" i="4"/>
  <c r="CV112" i="4"/>
  <c r="CI199" i="4" l="1"/>
  <c r="CJ52" i="2"/>
  <c r="CK76" i="1"/>
  <c r="CW115" i="4"/>
  <c r="CW114" i="4"/>
  <c r="CW113" i="4"/>
  <c r="CW116" i="4"/>
  <c r="CK104" i="1" l="1"/>
  <c r="CK10" i="3" l="1"/>
  <c r="CL10" i="3" s="1"/>
  <c r="CJ64" i="3"/>
  <c r="CJ140" i="2" s="1"/>
  <c r="CK64" i="3"/>
  <c r="CJ218" i="4" s="1"/>
  <c r="CI218" i="4"/>
  <c r="CJ197" i="1"/>
  <c r="CJ229" i="1"/>
  <c r="CK197" i="1" l="1"/>
  <c r="CM10" i="3"/>
  <c r="CL64" i="3"/>
  <c r="CN140" i="2"/>
  <c r="CJ138" i="2"/>
  <c r="CN138" i="2" s="1"/>
  <c r="CK218" i="4" l="1"/>
  <c r="CL197" i="1"/>
  <c r="CN10" i="3"/>
  <c r="CM64" i="3"/>
  <c r="CL218" i="4" l="1"/>
  <c r="CM197" i="1"/>
  <c r="CN64" i="3"/>
  <c r="CM218" i="4" l="1"/>
  <c r="CN197" i="1"/>
  <c r="CJ33" i="3" l="1"/>
  <c r="CJ74" i="3"/>
  <c r="CI220" i="4" s="1"/>
  <c r="CJ86" i="3" l="1"/>
  <c r="CJ87" i="3" s="1"/>
  <c r="CJ196" i="1" l="1"/>
  <c r="CJ40" i="3" l="1"/>
  <c r="CJ89" i="3"/>
  <c r="CJ126" i="2" s="1"/>
  <c r="CJ94" i="3"/>
  <c r="CJ112" i="3"/>
  <c r="CI221" i="4"/>
  <c r="CJ195" i="1"/>
  <c r="CJ201" i="1"/>
  <c r="CJ114" i="3" l="1"/>
  <c r="CJ130" i="2"/>
  <c r="CJ128" i="2"/>
  <c r="CN128" i="2" s="1"/>
  <c r="CJ115" i="3" l="1"/>
  <c r="CK46" i="3" l="1"/>
  <c r="CL46" i="3" s="1"/>
  <c r="CJ100" i="3"/>
  <c r="CJ83" i="2" s="1"/>
  <c r="CN83" i="2" s="1"/>
  <c r="CJ117" i="3"/>
  <c r="CJ118" i="3" s="1"/>
  <c r="CJ120" i="3"/>
  <c r="CK100" i="3" l="1"/>
  <c r="CL100" i="3"/>
  <c r="CM46" i="3"/>
  <c r="CM100" i="3" l="1"/>
  <c r="CN100" i="3" s="1"/>
  <c r="CN46" i="3"/>
  <c r="CK43" i="3"/>
  <c r="CJ49" i="3"/>
  <c r="CJ51" i="3" s="1"/>
  <c r="CJ53" i="3" s="1"/>
  <c r="CJ55" i="3" s="1"/>
  <c r="CJ97" i="3"/>
  <c r="CJ82" i="2" s="1"/>
  <c r="CN82" i="2" s="1"/>
  <c r="CJ103" i="3" l="1"/>
  <c r="CJ105" i="3" s="1"/>
  <c r="CJ107" i="3" s="1"/>
  <c r="CK106" i="3" s="1"/>
  <c r="CL43" i="3"/>
  <c r="CK49" i="3"/>
  <c r="CK97" i="3"/>
  <c r="CJ84" i="2"/>
  <c r="CN84" i="2" s="1"/>
  <c r="CK103" i="3" l="1"/>
  <c r="CM43" i="3"/>
  <c r="CL49" i="3"/>
  <c r="CL97" i="3"/>
  <c r="CL103" i="3" s="1"/>
  <c r="CM97" i="3" l="1"/>
  <c r="CM103" i="3" s="1"/>
  <c r="CN43" i="3"/>
  <c r="CM49" i="3"/>
  <c r="CN49" i="3" s="1"/>
  <c r="CN97" i="3" l="1"/>
  <c r="CN103" i="3" s="1"/>
  <c r="CJ8" i="310"/>
  <c r="CJ9" i="310"/>
  <c r="CJ31" i="310"/>
  <c r="CJ40" i="310" l="1"/>
  <c r="CJ68" i="310"/>
  <c r="CJ62" i="310"/>
  <c r="CJ33" i="310"/>
  <c r="CJ32" i="310"/>
  <c r="CI89" i="4"/>
  <c r="CI88" i="4" s="1"/>
  <c r="CJ14" i="310"/>
  <c r="CJ15" i="310"/>
  <c r="CJ69" i="310" l="1"/>
  <c r="CJ70" i="310"/>
  <c r="CJ77" i="310"/>
  <c r="CJ42" i="310"/>
  <c r="CJ41" i="310"/>
  <c r="CK88" i="4"/>
  <c r="CK89" i="4" s="1"/>
  <c r="CL13" i="310" s="1"/>
  <c r="CJ89" i="4"/>
  <c r="CK13" i="310" s="1"/>
  <c r="CK7" i="310" s="1"/>
  <c r="CL88" i="4" l="1"/>
  <c r="CM88" i="4" s="1"/>
  <c r="CK14" i="310"/>
  <c r="CK15" i="310"/>
  <c r="CK48" i="310"/>
  <c r="CK8" i="310"/>
  <c r="CK9" i="310"/>
  <c r="CL14" i="310"/>
  <c r="CL15" i="310"/>
  <c r="CL7" i="310"/>
  <c r="CL89" i="4"/>
  <c r="CM13" i="310" s="1"/>
  <c r="CN13" i="310" s="1"/>
  <c r="CN88" i="4" l="1"/>
  <c r="CN89" i="4" s="1"/>
  <c r="CN14" i="310"/>
  <c r="K59" i="447" s="1"/>
  <c r="CN7" i="310"/>
  <c r="CM15" i="310"/>
  <c r="CM7" i="310"/>
  <c r="CM14" i="310"/>
  <c r="CM89" i="4"/>
  <c r="CL8" i="310"/>
  <c r="CL9" i="310"/>
  <c r="CL48" i="310"/>
  <c r="CO88" i="4" l="1"/>
  <c r="CP88" i="4" s="1"/>
  <c r="CM48" i="310"/>
  <c r="CN48" i="310" s="1"/>
  <c r="CM9" i="310"/>
  <c r="CM8" i="310"/>
  <c r="CY7" i="310"/>
  <c r="CN8" i="310"/>
  <c r="CO13" i="310"/>
  <c r="K12" i="447"/>
  <c r="K11" i="447" s="1"/>
  <c r="K58" i="447"/>
  <c r="K60" i="447"/>
  <c r="CO89" i="4" l="1"/>
  <c r="CP13" i="310" s="1"/>
  <c r="CP15" i="310" s="1"/>
  <c r="CO7" i="310"/>
  <c r="CO14" i="310"/>
  <c r="CO15" i="310"/>
  <c r="CP89" i="4"/>
  <c r="CQ88" i="4"/>
  <c r="K13" i="447"/>
  <c r="CN49" i="310"/>
  <c r="CP14" i="310" l="1"/>
  <c r="CP7" i="310"/>
  <c r="CP8" i="310" s="1"/>
  <c r="CQ13" i="310"/>
  <c r="CO9" i="310"/>
  <c r="CO48" i="310"/>
  <c r="CO8" i="310"/>
  <c r="K14" i="447"/>
  <c r="CQ89" i="4"/>
  <c r="CR13" i="310" s="1"/>
  <c r="CS88" i="4"/>
  <c r="CR88" i="4"/>
  <c r="CP48" i="310" l="1"/>
  <c r="CP9" i="310"/>
  <c r="CR15" i="310"/>
  <c r="CR14" i="310"/>
  <c r="CR7" i="310"/>
  <c r="CR89" i="4"/>
  <c r="CT88" i="4"/>
  <c r="CS89" i="4"/>
  <c r="CQ7" i="310"/>
  <c r="CQ15" i="310"/>
  <c r="CQ14" i="310"/>
  <c r="CS13" i="310"/>
  <c r="CQ9" i="310" l="1"/>
  <c r="CQ48" i="310"/>
  <c r="CQ8" i="310"/>
  <c r="CS7" i="310"/>
  <c r="CS14" i="310"/>
  <c r="L59" i="447" s="1"/>
  <c r="CT13" i="310"/>
  <c r="CT89" i="4"/>
  <c r="CU13" i="310" s="1"/>
  <c r="CU88" i="4"/>
  <c r="CR8" i="310"/>
  <c r="CR9" i="310"/>
  <c r="CR48" i="310"/>
  <c r="CT14" i="310" l="1"/>
  <c r="CT15" i="310"/>
  <c r="CT7" i="310"/>
  <c r="CS48" i="310"/>
  <c r="CU89" i="4"/>
  <c r="CV13" i="310" s="1"/>
  <c r="CV88" i="4"/>
  <c r="CV89" i="4" s="1"/>
  <c r="CW13" i="310" s="1"/>
  <c r="CU7" i="310"/>
  <c r="CU15" i="310"/>
  <c r="CU14" i="310"/>
  <c r="L12" i="447"/>
  <c r="L11" i="447" s="1"/>
  <c r="L58" i="447"/>
  <c r="L60" i="447"/>
  <c r="CS8" i="310"/>
  <c r="CX13" i="310" l="1"/>
  <c r="CX7" i="310" s="1"/>
  <c r="CW88" i="4"/>
  <c r="CU48" i="310"/>
  <c r="CU8" i="310"/>
  <c r="CU9" i="310"/>
  <c r="CS49" i="310"/>
  <c r="CW7" i="310"/>
  <c r="CW15" i="310"/>
  <c r="CW14" i="310"/>
  <c r="CV14" i="310"/>
  <c r="CV7" i="310"/>
  <c r="CV15" i="310"/>
  <c r="O11" i="447"/>
  <c r="L13" i="447"/>
  <c r="N11" i="447"/>
  <c r="CW89" i="4"/>
  <c r="CT8" i="310"/>
  <c r="CT9" i="310"/>
  <c r="CT48" i="310"/>
  <c r="CX14" i="310" l="1"/>
  <c r="CV8" i="310"/>
  <c r="CV9" i="310"/>
  <c r="CV48" i="310"/>
  <c r="CW48" i="310"/>
  <c r="CW8" i="310"/>
  <c r="CW9" i="310"/>
  <c r="O13" i="447"/>
  <c r="L14" i="447"/>
  <c r="N13" i="447"/>
  <c r="CX8" i="310"/>
  <c r="CX48" i="310" l="1"/>
  <c r="CX49" i="310" l="1"/>
  <c r="CJ27" i="310"/>
  <c r="CJ83" i="310"/>
  <c r="CJ85" i="310" s="1"/>
  <c r="CJ84" i="310"/>
  <c r="CJ28" i="310" l="1"/>
  <c r="CJ73" i="310"/>
  <c r="CO73" i="310" s="1"/>
  <c r="CT73" i="310" s="1"/>
  <c r="CJ63" i="310"/>
  <c r="CK27" i="310"/>
  <c r="CJ24" i="310"/>
  <c r="CK24" i="310" l="1"/>
  <c r="CJ26" i="310"/>
  <c r="CO26" i="310" s="1"/>
  <c r="CT26" i="310" s="1"/>
  <c r="CJ64" i="310"/>
  <c r="CJ25" i="310"/>
  <c r="CK72" i="310"/>
  <c r="CK83" i="310"/>
  <c r="CL27" i="310"/>
  <c r="CK28" i="310"/>
  <c r="CK25" i="310" l="1"/>
  <c r="CK21" i="310"/>
  <c r="CL24" i="310"/>
  <c r="CK54" i="310"/>
  <c r="CL72" i="310"/>
  <c r="CL21" i="1" s="1"/>
  <c r="CL83" i="310"/>
  <c r="CM27" i="310"/>
  <c r="CN27" i="310" s="1"/>
  <c r="CN28" i="310" s="1"/>
  <c r="CL28" i="310"/>
  <c r="CK51" i="310"/>
  <c r="CK84" i="310"/>
  <c r="CK85" i="310"/>
  <c r="CK21" i="1"/>
  <c r="CJ57" i="310"/>
  <c r="CJ58" i="310" s="1"/>
  <c r="CK57" i="310" l="1"/>
  <c r="CL85" i="310"/>
  <c r="CL51" i="310"/>
  <c r="CL84" i="310"/>
  <c r="CL25" i="310"/>
  <c r="CL21" i="310"/>
  <c r="CM24" i="310"/>
  <c r="CL54" i="310"/>
  <c r="CL23" i="1"/>
  <c r="CL22" i="1"/>
  <c r="CL36" i="1"/>
  <c r="CL138" i="1"/>
  <c r="CL154" i="1"/>
  <c r="CK31" i="310"/>
  <c r="CK23" i="310"/>
  <c r="CK22" i="310"/>
  <c r="CK23" i="1"/>
  <c r="CK22" i="1"/>
  <c r="CK36" i="1"/>
  <c r="CK154" i="1"/>
  <c r="CK138" i="1"/>
  <c r="CO27" i="310"/>
  <c r="CM28" i="310"/>
  <c r="CM72" i="310"/>
  <c r="CM83" i="310"/>
  <c r="CL57" i="310" l="1"/>
  <c r="CO72" i="310"/>
  <c r="CO83" i="310"/>
  <c r="CP27" i="310"/>
  <c r="CO28" i="310"/>
  <c r="CM85" i="310"/>
  <c r="CM51" i="310"/>
  <c r="CM84" i="310"/>
  <c r="CN83" i="310"/>
  <c r="CK40" i="310"/>
  <c r="CK33" i="310"/>
  <c r="CK62" i="310"/>
  <c r="CK68" i="310"/>
  <c r="CK32" i="310"/>
  <c r="CK63" i="310"/>
  <c r="CK64" i="310"/>
  <c r="CM54" i="310"/>
  <c r="CN54" i="310" s="1"/>
  <c r="CM25" i="310"/>
  <c r="CM21" i="310"/>
  <c r="CN24" i="310"/>
  <c r="CM21" i="1"/>
  <c r="CN72" i="310"/>
  <c r="CN73" i="310" s="1"/>
  <c r="CL22" i="310"/>
  <c r="CL31" i="310"/>
  <c r="CL23" i="310"/>
  <c r="CN51" i="310"/>
  <c r="CK58" i="310"/>
  <c r="CN55" i="310" l="1"/>
  <c r="CY83" i="310"/>
  <c r="CN84" i="310"/>
  <c r="CO21" i="1"/>
  <c r="CM22" i="1"/>
  <c r="CM23" i="1"/>
  <c r="CM36" i="1"/>
  <c r="CN36" i="1" s="1"/>
  <c r="CM138" i="1"/>
  <c r="CM154" i="1"/>
  <c r="CN21" i="1"/>
  <c r="CL32" i="310"/>
  <c r="CL40" i="310"/>
  <c r="CL33" i="310"/>
  <c r="CL62" i="310"/>
  <c r="CL68" i="310"/>
  <c r="CL63" i="310"/>
  <c r="CL64" i="310"/>
  <c r="CN25" i="310"/>
  <c r="CM22" i="310"/>
  <c r="CM31" i="310"/>
  <c r="CM23" i="310"/>
  <c r="CN21" i="310"/>
  <c r="CN22" i="310" s="1"/>
  <c r="CK42" i="310"/>
  <c r="CK41" i="310"/>
  <c r="CP72" i="310"/>
  <c r="CP21" i="1" s="1"/>
  <c r="CP83" i="310"/>
  <c r="CQ27" i="310"/>
  <c r="CP28" i="310"/>
  <c r="CL58" i="310"/>
  <c r="CN52" i="310"/>
  <c r="CN57" i="310"/>
  <c r="CK18" i="1"/>
  <c r="CK70" i="310"/>
  <c r="CK69" i="310"/>
  <c r="CK77" i="310"/>
  <c r="CM57" i="310"/>
  <c r="CO51" i="310"/>
  <c r="CO84" i="310"/>
  <c r="CO85" i="310"/>
  <c r="CO24" i="310" l="1"/>
  <c r="CM58" i="310"/>
  <c r="CM68" i="310"/>
  <c r="CM32" i="310"/>
  <c r="CM33" i="310"/>
  <c r="CM62" i="310"/>
  <c r="CM63" i="310"/>
  <c r="CN31" i="310"/>
  <c r="CM64" i="310"/>
  <c r="CL42" i="310"/>
  <c r="CL41" i="310"/>
  <c r="CN22" i="1"/>
  <c r="CN138" i="1"/>
  <c r="CP23" i="1"/>
  <c r="CP22" i="1"/>
  <c r="CP36" i="1"/>
  <c r="CP154" i="1"/>
  <c r="CP138" i="1"/>
  <c r="CQ28" i="310"/>
  <c r="CQ72" i="310"/>
  <c r="CQ21" i="1" s="1"/>
  <c r="CQ83" i="310"/>
  <c r="CR27" i="310"/>
  <c r="CS27" i="310" s="1"/>
  <c r="CS28" i="310" s="1"/>
  <c r="CP51" i="310"/>
  <c r="CP84" i="310"/>
  <c r="CP85" i="310"/>
  <c r="CL18" i="1"/>
  <c r="CL70" i="310"/>
  <c r="CL69" i="310"/>
  <c r="CL77" i="310"/>
  <c r="CK20" i="1"/>
  <c r="CK19" i="1"/>
  <c r="CK24" i="1"/>
  <c r="CK34" i="1"/>
  <c r="CK137" i="1"/>
  <c r="CK153" i="1"/>
  <c r="CN37" i="1"/>
  <c r="CN40" i="1" s="1"/>
  <c r="CO22" i="1"/>
  <c r="CO23" i="1"/>
  <c r="CO36" i="1"/>
  <c r="CO154" i="1"/>
  <c r="CN58" i="310" l="1"/>
  <c r="CM40" i="310"/>
  <c r="CO25" i="310"/>
  <c r="CO21" i="310"/>
  <c r="CO54" i="310"/>
  <c r="CO57" i="310" s="1"/>
  <c r="CP24" i="310"/>
  <c r="CQ22" i="1"/>
  <c r="CQ23" i="1"/>
  <c r="CQ36" i="1"/>
  <c r="CQ138" i="1"/>
  <c r="CQ154" i="1"/>
  <c r="CN62" i="310"/>
  <c r="CY31" i="310"/>
  <c r="CN32" i="310"/>
  <c r="CN63" i="310"/>
  <c r="CN64" i="310"/>
  <c r="CM41" i="310"/>
  <c r="CM42" i="310"/>
  <c r="CN40" i="310"/>
  <c r="CN41" i="310" s="1"/>
  <c r="CK14" i="2"/>
  <c r="CK10" i="2"/>
  <c r="CK28" i="2"/>
  <c r="CK22" i="2"/>
  <c r="CK26" i="3" s="1"/>
  <c r="CK39" i="2"/>
  <c r="CK27" i="3" s="1"/>
  <c r="CJ9" i="4"/>
  <c r="CK25" i="1"/>
  <c r="CK26" i="1"/>
  <c r="CK44" i="1"/>
  <c r="CK52" i="1"/>
  <c r="CK48" i="1"/>
  <c r="CK180" i="1"/>
  <c r="CK126" i="2" s="1"/>
  <c r="CK43" i="8"/>
  <c r="CK139" i="1"/>
  <c r="CK155" i="1"/>
  <c r="CK11" i="8"/>
  <c r="K16" i="447"/>
  <c r="K15" i="447" s="1"/>
  <c r="K62" i="447"/>
  <c r="K64" i="447"/>
  <c r="CK32" i="1"/>
  <c r="CL19" i="1"/>
  <c r="CL24" i="1"/>
  <c r="CL20" i="1"/>
  <c r="CL34" i="1"/>
  <c r="CL32" i="1" s="1"/>
  <c r="CL137" i="1"/>
  <c r="CL153" i="1"/>
  <c r="CT27" i="310"/>
  <c r="CR28" i="310"/>
  <c r="CR72" i="310"/>
  <c r="CR21" i="1" s="1"/>
  <c r="CR83" i="310"/>
  <c r="CS83" i="310" s="1"/>
  <c r="CM18" i="1"/>
  <c r="CM77" i="310"/>
  <c r="CM70" i="310"/>
  <c r="CM69" i="310"/>
  <c r="CN68" i="310"/>
  <c r="CQ85" i="310"/>
  <c r="CQ51" i="310"/>
  <c r="CQ84" i="310"/>
  <c r="CP21" i="310" l="1"/>
  <c r="CQ24" i="310"/>
  <c r="CP25" i="310"/>
  <c r="CP54" i="310"/>
  <c r="CP57" i="310" s="1"/>
  <c r="CO22" i="310"/>
  <c r="CO31" i="310"/>
  <c r="CO58" i="310" s="1"/>
  <c r="CO23" i="310"/>
  <c r="CS72" i="310"/>
  <c r="CS73" i="310" s="1"/>
  <c r="CL33" i="1"/>
  <c r="CL141" i="1"/>
  <c r="CL157" i="1"/>
  <c r="CK54" i="1"/>
  <c r="CK55" i="1"/>
  <c r="CK171" i="1"/>
  <c r="CK145" i="1"/>
  <c r="CK161" i="1"/>
  <c r="CJ8" i="4"/>
  <c r="CJ11" i="4"/>
  <c r="CJ21" i="4" s="1"/>
  <c r="CJ23" i="4" s="1"/>
  <c r="CJ24" i="4" s="1"/>
  <c r="CM19" i="1"/>
  <c r="CM24" i="1"/>
  <c r="CM20" i="1"/>
  <c r="CM34" i="1"/>
  <c r="CM32" i="1" s="1"/>
  <c r="CN32" i="1" s="1"/>
  <c r="CM137" i="1"/>
  <c r="CM153" i="1"/>
  <c r="CN18" i="1"/>
  <c r="CN34" i="1"/>
  <c r="CK51" i="1"/>
  <c r="CK65" i="1"/>
  <c r="CK26" i="2" s="1"/>
  <c r="CK50" i="1"/>
  <c r="CK160" i="1"/>
  <c r="CK170" i="1"/>
  <c r="CK144" i="1"/>
  <c r="CK46" i="1"/>
  <c r="CK47" i="1"/>
  <c r="CK184" i="1"/>
  <c r="CK159" i="1"/>
  <c r="CK169" i="1"/>
  <c r="CK143" i="1"/>
  <c r="CK20" i="3"/>
  <c r="CJ211" i="4"/>
  <c r="K18" i="447"/>
  <c r="CS84" i="310"/>
  <c r="CR85" i="310"/>
  <c r="CR51" i="310"/>
  <c r="CR84" i="310"/>
  <c r="CL10" i="2"/>
  <c r="CK211" i="4" s="1"/>
  <c r="CL22" i="2"/>
  <c r="CL26" i="3" s="1"/>
  <c r="CL28" i="2"/>
  <c r="CL39" i="2"/>
  <c r="CL27" i="3" s="1"/>
  <c r="CL14" i="2"/>
  <c r="CL26" i="1"/>
  <c r="CK9" i="4"/>
  <c r="CL25" i="1"/>
  <c r="CL44" i="1"/>
  <c r="CL52" i="1"/>
  <c r="CL38" i="1"/>
  <c r="CL48" i="1"/>
  <c r="CL139" i="1"/>
  <c r="CL155" i="1"/>
  <c r="CL11" i="8"/>
  <c r="CL43" i="8"/>
  <c r="CK33" i="1"/>
  <c r="CK141" i="1"/>
  <c r="CK157" i="1"/>
  <c r="CK26" i="8"/>
  <c r="CK39" i="8"/>
  <c r="CK41" i="8"/>
  <c r="CK40" i="8"/>
  <c r="CK94" i="8"/>
  <c r="CK79" i="8"/>
  <c r="CK38" i="1"/>
  <c r="CK81" i="3"/>
  <c r="CK96" i="2"/>
  <c r="CK35" i="3"/>
  <c r="CK129" i="2"/>
  <c r="CK103" i="2"/>
  <c r="CK102" i="2"/>
  <c r="CK24" i="3"/>
  <c r="CJ202" i="4"/>
  <c r="CK190" i="1"/>
  <c r="CN69" i="310"/>
  <c r="CN77" i="310"/>
  <c r="CT72" i="310"/>
  <c r="CT83" i="310"/>
  <c r="CU27" i="310"/>
  <c r="CT28" i="310"/>
  <c r="CR22" i="1"/>
  <c r="CR23" i="1"/>
  <c r="CR36" i="1"/>
  <c r="CS36" i="1" s="1"/>
  <c r="CR138" i="1"/>
  <c r="CR154" i="1"/>
  <c r="CS21" i="1"/>
  <c r="CL180" i="1"/>
  <c r="CL126" i="2" s="1"/>
  <c r="CK80" i="3"/>
  <c r="CK21" i="3"/>
  <c r="CL184" i="1" l="1"/>
  <c r="CO62" i="310"/>
  <c r="CO64" i="310"/>
  <c r="CO40" i="310"/>
  <c r="CO63" i="310"/>
  <c r="CO68" i="310"/>
  <c r="CO33" i="310"/>
  <c r="CO32" i="310"/>
  <c r="CR24" i="310"/>
  <c r="CQ21" i="310"/>
  <c r="CQ54" i="310"/>
  <c r="CQ57" i="310" s="1"/>
  <c r="CQ25" i="310"/>
  <c r="CP22" i="310"/>
  <c r="CP31" i="310"/>
  <c r="CP23" i="310"/>
  <c r="CS37" i="1"/>
  <c r="CS40" i="1" s="1"/>
  <c r="CL81" i="3"/>
  <c r="CK41" i="1"/>
  <c r="CJ194" i="4" s="1"/>
  <c r="CK67" i="1"/>
  <c r="CK66" i="1"/>
  <c r="CK172" i="1"/>
  <c r="CK146" i="1"/>
  <c r="CK162" i="1"/>
  <c r="CK181" i="1"/>
  <c r="CK27" i="2" s="1"/>
  <c r="CK23" i="3" s="1"/>
  <c r="CS22" i="1"/>
  <c r="CS138" i="1"/>
  <c r="CU28" i="310"/>
  <c r="CU72" i="310"/>
  <c r="CU21" i="1" s="1"/>
  <c r="CU83" i="310"/>
  <c r="CV27" i="310"/>
  <c r="CK52" i="8"/>
  <c r="CK75" i="8"/>
  <c r="CK9" i="8"/>
  <c r="CK99" i="2"/>
  <c r="CL55" i="1"/>
  <c r="CL54" i="1"/>
  <c r="CL145" i="1"/>
  <c r="CL161" i="1"/>
  <c r="CL171" i="1"/>
  <c r="L16" i="447"/>
  <c r="L15" i="447" s="1"/>
  <c r="L62" i="447"/>
  <c r="L64" i="447"/>
  <c r="CM10" i="2"/>
  <c r="CM96" i="2" s="1"/>
  <c r="CM22" i="2"/>
  <c r="CN22" i="2" s="1"/>
  <c r="CM28" i="2"/>
  <c r="CM39" i="2"/>
  <c r="CN39" i="2" s="1"/>
  <c r="CM14" i="2"/>
  <c r="CM26" i="1"/>
  <c r="CL9" i="4"/>
  <c r="CM9" i="4" s="1"/>
  <c r="CM25" i="1"/>
  <c r="CM38" i="1"/>
  <c r="CN38" i="1" s="1"/>
  <c r="CM48" i="1"/>
  <c r="CM44" i="1"/>
  <c r="CN44" i="1" s="1"/>
  <c r="CM52" i="1"/>
  <c r="CM139" i="1"/>
  <c r="CM155" i="1"/>
  <c r="CM11" i="8"/>
  <c r="CM43" i="8"/>
  <c r="CM180" i="1"/>
  <c r="CM126" i="2" s="1"/>
  <c r="CN126" i="2" s="1"/>
  <c r="CL80" i="3"/>
  <c r="CK22" i="3"/>
  <c r="CK8" i="4"/>
  <c r="CK11" i="4"/>
  <c r="CK21" i="4" s="1"/>
  <c r="CK23" i="4" s="1"/>
  <c r="CK24" i="4" s="1"/>
  <c r="CL21" i="3"/>
  <c r="CK77" i="3"/>
  <c r="CL20" i="3"/>
  <c r="CK74" i="3"/>
  <c r="CK54" i="8"/>
  <c r="CK77" i="8"/>
  <c r="CN19" i="1"/>
  <c r="CN24" i="1"/>
  <c r="CN33" i="1" s="1"/>
  <c r="CN137" i="1"/>
  <c r="CT51" i="310"/>
  <c r="CT84" i="310"/>
  <c r="CT85" i="310"/>
  <c r="CK17" i="2"/>
  <c r="CL125" i="2"/>
  <c r="CL129" i="2" s="1"/>
  <c r="CL40" i="8"/>
  <c r="CL39" i="8"/>
  <c r="CL41" i="8"/>
  <c r="CL79" i="8"/>
  <c r="CL94" i="8"/>
  <c r="CL50" i="1"/>
  <c r="CL51" i="1"/>
  <c r="CL65" i="1"/>
  <c r="CL67" i="1" s="1"/>
  <c r="CL160" i="1"/>
  <c r="CL170" i="1"/>
  <c r="CL144" i="1"/>
  <c r="CL47" i="1"/>
  <c r="CL46" i="1"/>
  <c r="CL143" i="1"/>
  <c r="CL159" i="1"/>
  <c r="CL169" i="1"/>
  <c r="CL102" i="2"/>
  <c r="CL103" i="2"/>
  <c r="CK202" i="4"/>
  <c r="CL190" i="1"/>
  <c r="CT21" i="1"/>
  <c r="CL24" i="3"/>
  <c r="CK31" i="3"/>
  <c r="CK78" i="3"/>
  <c r="CL35" i="3"/>
  <c r="CK40" i="3"/>
  <c r="CK89" i="3"/>
  <c r="CK53" i="8"/>
  <c r="CK76" i="8"/>
  <c r="CN141" i="1"/>
  <c r="CL26" i="8"/>
  <c r="CL41" i="1"/>
  <c r="CK194" i="4" s="1"/>
  <c r="CL96" i="2"/>
  <c r="K19" i="447"/>
  <c r="CN35" i="1"/>
  <c r="CN39" i="1" s="1"/>
  <c r="CM33" i="1"/>
  <c r="CM157" i="1"/>
  <c r="CM141" i="1"/>
  <c r="CS51" i="310"/>
  <c r="CR21" i="310" l="1"/>
  <c r="CS24" i="310"/>
  <c r="CR54" i="310"/>
  <c r="CT24" i="310"/>
  <c r="CR25" i="310"/>
  <c r="CO41" i="310"/>
  <c r="CO42" i="310"/>
  <c r="CP58" i="310"/>
  <c r="CP40" i="310"/>
  <c r="CP63" i="310"/>
  <c r="CP62" i="310"/>
  <c r="CP32" i="310"/>
  <c r="CP68" i="310"/>
  <c r="CP33" i="310"/>
  <c r="CP64" i="310"/>
  <c r="CQ22" i="310"/>
  <c r="CQ23" i="310"/>
  <c r="CQ31" i="310"/>
  <c r="CO69" i="310"/>
  <c r="CO77" i="310"/>
  <c r="CO70" i="310"/>
  <c r="CO18" i="1"/>
  <c r="CK32" i="3"/>
  <c r="CM26" i="3"/>
  <c r="CN26" i="3" s="1"/>
  <c r="CK34" i="2"/>
  <c r="CK43" i="2" s="1"/>
  <c r="CJ200" i="4" s="1"/>
  <c r="CT22" i="1"/>
  <c r="CT23" i="1"/>
  <c r="CT36" i="1"/>
  <c r="CT154" i="1"/>
  <c r="CK58" i="8"/>
  <c r="CK19" i="8" s="1"/>
  <c r="CK82" i="8"/>
  <c r="CS52" i="310"/>
  <c r="CL31" i="3"/>
  <c r="CL78" i="3"/>
  <c r="CL85" i="3" s="1"/>
  <c r="CM24" i="3"/>
  <c r="CL52" i="8"/>
  <c r="CL75" i="8"/>
  <c r="CL9" i="8"/>
  <c r="CK59" i="8"/>
  <c r="CK20" i="8" s="1"/>
  <c r="CK83" i="8"/>
  <c r="CK88" i="8" s="1"/>
  <c r="CM21" i="3"/>
  <c r="CL77" i="3"/>
  <c r="CM41" i="8"/>
  <c r="CM40" i="8"/>
  <c r="CM39" i="8"/>
  <c r="CM94" i="8"/>
  <c r="CM79" i="8"/>
  <c r="CM41" i="1"/>
  <c r="CL194" i="4" s="1"/>
  <c r="CN28" i="2"/>
  <c r="CM102" i="2"/>
  <c r="CM103" i="2"/>
  <c r="CL202" i="4"/>
  <c r="CM190" i="1"/>
  <c r="CK24" i="8"/>
  <c r="CK15" i="8"/>
  <c r="CK34" i="8"/>
  <c r="CK35" i="8" s="1"/>
  <c r="CK10" i="8"/>
  <c r="CK68" i="1"/>
  <c r="CK80" i="1"/>
  <c r="CK69" i="1"/>
  <c r="CK102" i="1"/>
  <c r="CK188" i="1"/>
  <c r="CK189" i="1" s="1"/>
  <c r="CK229" i="1"/>
  <c r="CK164" i="1"/>
  <c r="CK183" i="1"/>
  <c r="CK174" i="1"/>
  <c r="CK182" i="1"/>
  <c r="CL183" i="1"/>
  <c r="CK148" i="1"/>
  <c r="CL182" i="1"/>
  <c r="CK71" i="1"/>
  <c r="CM27" i="3"/>
  <c r="CL102" i="1"/>
  <c r="CL68" i="1"/>
  <c r="CL69" i="1"/>
  <c r="CL148" i="1"/>
  <c r="CL188" i="1"/>
  <c r="CL189" i="1" s="1"/>
  <c r="CL229" i="1"/>
  <c r="CL164" i="1"/>
  <c r="CL174" i="1"/>
  <c r="CL71" i="1"/>
  <c r="CL72" i="1" s="1"/>
  <c r="CL53" i="8"/>
  <c r="CL76" i="8"/>
  <c r="CN25" i="1"/>
  <c r="CM142" i="4"/>
  <c r="CN139" i="1"/>
  <c r="CM26" i="8"/>
  <c r="CM55" i="1"/>
  <c r="CM54" i="1"/>
  <c r="CM171" i="1"/>
  <c r="CM145" i="1"/>
  <c r="CM161" i="1"/>
  <c r="CN52" i="1"/>
  <c r="N15" i="447"/>
  <c r="O15" i="447"/>
  <c r="CW27" i="310"/>
  <c r="CV28" i="310"/>
  <c r="CV72" i="310"/>
  <c r="CV83" i="310"/>
  <c r="CX27" i="310"/>
  <c r="CX28" i="310" s="1"/>
  <c r="CM35" i="3"/>
  <c r="CL40" i="3"/>
  <c r="CL89" i="3"/>
  <c r="CL66" i="1"/>
  <c r="CL172" i="1"/>
  <c r="CL146" i="1"/>
  <c r="CL162" i="1"/>
  <c r="CL26" i="2"/>
  <c r="CL99" i="2" s="1"/>
  <c r="CM20" i="3"/>
  <c r="CL74" i="3"/>
  <c r="CM47" i="1"/>
  <c r="CM46" i="1"/>
  <c r="CM169" i="1"/>
  <c r="CM143" i="1"/>
  <c r="CM159" i="1"/>
  <c r="CM184" i="1"/>
  <c r="CL8" i="4"/>
  <c r="CL11" i="4"/>
  <c r="CL21" i="4" s="1"/>
  <c r="CL23" i="4" s="1"/>
  <c r="CL24" i="4" s="1"/>
  <c r="CN14" i="2"/>
  <c r="CN10" i="2"/>
  <c r="CL211" i="4"/>
  <c r="CK55" i="8"/>
  <c r="CK81" i="8"/>
  <c r="CK86" i="8" s="1"/>
  <c r="CU51" i="310"/>
  <c r="CU84" i="310"/>
  <c r="CU85" i="310"/>
  <c r="CN41" i="1"/>
  <c r="CK87" i="8"/>
  <c r="CM8" i="4"/>
  <c r="CM11" i="4"/>
  <c r="CM21" i="4" s="1"/>
  <c r="CM23" i="4" s="1"/>
  <c r="CM24" i="4" s="1"/>
  <c r="CK85" i="3"/>
  <c r="CK94" i="3"/>
  <c r="CJ221" i="4"/>
  <c r="CK195" i="1"/>
  <c r="CN46" i="1"/>
  <c r="CN45" i="1"/>
  <c r="CN169" i="1"/>
  <c r="CN143" i="1"/>
  <c r="CL54" i="8"/>
  <c r="CL77" i="8"/>
  <c r="CL17" i="2"/>
  <c r="CM125" i="2"/>
  <c r="CK75" i="3"/>
  <c r="CM65" i="1"/>
  <c r="CM181" i="1" s="1"/>
  <c r="CM27" i="2" s="1"/>
  <c r="CN27" i="2" s="1"/>
  <c r="CM50" i="1"/>
  <c r="CM51" i="1"/>
  <c r="CM160" i="1"/>
  <c r="CM170" i="1"/>
  <c r="CM144" i="1"/>
  <c r="CU22" i="1"/>
  <c r="CU23" i="1"/>
  <c r="CU36" i="1"/>
  <c r="CU154" i="1"/>
  <c r="CU138" i="1"/>
  <c r="CK76" i="3"/>
  <c r="CL181" i="1"/>
  <c r="CL27" i="2" s="1"/>
  <c r="CL23" i="3" s="1"/>
  <c r="CN48" i="1"/>
  <c r="CU24" i="310" l="1"/>
  <c r="CT54" i="310"/>
  <c r="CT57" i="310" s="1"/>
  <c r="CT21" i="310"/>
  <c r="CT25" i="310"/>
  <c r="CS54" i="310"/>
  <c r="CR57" i="310"/>
  <c r="CO24" i="1"/>
  <c r="CO34" i="1"/>
  <c r="CO32" i="1" s="1"/>
  <c r="CO38" i="1" s="1"/>
  <c r="CO41" i="1" s="1"/>
  <c r="CN194" i="4" s="1"/>
  <c r="CO137" i="1"/>
  <c r="CO20" i="1"/>
  <c r="CO153" i="1"/>
  <c r="CO19" i="1"/>
  <c r="CQ68" i="310"/>
  <c r="CQ62" i="310"/>
  <c r="CQ40" i="310"/>
  <c r="CQ32" i="310"/>
  <c r="CQ64" i="310"/>
  <c r="CQ58" i="310"/>
  <c r="CQ33" i="310"/>
  <c r="CQ63" i="310"/>
  <c r="CS25" i="310"/>
  <c r="CP18" i="1"/>
  <c r="CP77" i="310"/>
  <c r="CP70" i="310"/>
  <c r="CP69" i="310"/>
  <c r="CP42" i="310"/>
  <c r="CP41" i="310"/>
  <c r="CS21" i="310"/>
  <c r="CS22" i="310" s="1"/>
  <c r="CR23" i="310"/>
  <c r="CR22" i="310"/>
  <c r="CR31" i="310"/>
  <c r="CM80" i="3"/>
  <c r="CN80" i="3" s="1"/>
  <c r="CL22" i="3"/>
  <c r="CL32" i="3" s="1"/>
  <c r="CM23" i="3"/>
  <c r="CL76" i="3"/>
  <c r="CN125" i="2"/>
  <c r="CN129" i="2" s="1"/>
  <c r="CM129" i="2"/>
  <c r="CN27" i="3"/>
  <c r="CM81" i="3"/>
  <c r="CN81" i="3" s="1"/>
  <c r="CK16" i="8"/>
  <c r="CK30" i="8" s="1"/>
  <c r="CK25" i="8"/>
  <c r="CN102" i="2"/>
  <c r="CM202" i="4"/>
  <c r="CN190" i="1"/>
  <c r="CL55" i="8"/>
  <c r="CL81" i="8"/>
  <c r="CM66" i="1"/>
  <c r="CM162" i="1"/>
  <c r="CM172" i="1"/>
  <c r="CM146" i="1"/>
  <c r="CM26" i="2"/>
  <c r="CM99" i="2" s="1"/>
  <c r="CN49" i="1"/>
  <c r="CN50" i="1"/>
  <c r="CN144" i="1"/>
  <c r="CN170" i="1"/>
  <c r="CM194" i="4"/>
  <c r="CN81" i="310"/>
  <c r="K67" i="447"/>
  <c r="CN95" i="2"/>
  <c r="CM211" i="4"/>
  <c r="CL34" i="2"/>
  <c r="CL43" i="2" s="1"/>
  <c r="CL94" i="3"/>
  <c r="CK221" i="4"/>
  <c r="CL195" i="1"/>
  <c r="CW72" i="310"/>
  <c r="CW21" i="1" s="1"/>
  <c r="CW83" i="310"/>
  <c r="CW28" i="310"/>
  <c r="CK195" i="4"/>
  <c r="CK72" i="1"/>
  <c r="CK105" i="1"/>
  <c r="CK103" i="1"/>
  <c r="CK81" i="1"/>
  <c r="CK84" i="1" s="1"/>
  <c r="CM67" i="1"/>
  <c r="CM52" i="8"/>
  <c r="CM75" i="8"/>
  <c r="CM9" i="8"/>
  <c r="CN21" i="3"/>
  <c r="CM77" i="3"/>
  <c r="CN77" i="3" s="1"/>
  <c r="CV85" i="310"/>
  <c r="CV51" i="310"/>
  <c r="CV84" i="310"/>
  <c r="CN54" i="1"/>
  <c r="CN53" i="1"/>
  <c r="CN171" i="1"/>
  <c r="CN145" i="1"/>
  <c r="CL58" i="8"/>
  <c r="CL19" i="8" s="1"/>
  <c r="CL82" i="8"/>
  <c r="CL87" i="8" s="1"/>
  <c r="CL103" i="1"/>
  <c r="CJ195" i="4"/>
  <c r="CK29" i="8"/>
  <c r="CM53" i="8"/>
  <c r="CM76" i="8"/>
  <c r="CJ220" i="4"/>
  <c r="CL24" i="8"/>
  <c r="CL15" i="8"/>
  <c r="CL34" i="8"/>
  <c r="CL35" i="8" s="1"/>
  <c r="CL10" i="8"/>
  <c r="CL59" i="8"/>
  <c r="CL20" i="8" s="1"/>
  <c r="CL83" i="8"/>
  <c r="CL88" i="8" s="1"/>
  <c r="CK60" i="8"/>
  <c r="CK84" i="8"/>
  <c r="CN20" i="3"/>
  <c r="CM74" i="3"/>
  <c r="CN35" i="3"/>
  <c r="CM40" i="3"/>
  <c r="CN40" i="3" s="1"/>
  <c r="CM89" i="3"/>
  <c r="CV21" i="1"/>
  <c r="CN96" i="2"/>
  <c r="CM54" i="8"/>
  <c r="CM77" i="8"/>
  <c r="CK86" i="3"/>
  <c r="CL86" i="8"/>
  <c r="CN24" i="3"/>
  <c r="CN31" i="3" s="1"/>
  <c r="CM31" i="3"/>
  <c r="CM78" i="3"/>
  <c r="CN65" i="1"/>
  <c r="CO33" i="1" l="1"/>
  <c r="CO157" i="1"/>
  <c r="CO141" i="1"/>
  <c r="CR63" i="310"/>
  <c r="CR32" i="310"/>
  <c r="CR64" i="310"/>
  <c r="CR33" i="310"/>
  <c r="CS31" i="310"/>
  <c r="CR62" i="310"/>
  <c r="CR40" i="310"/>
  <c r="CR68" i="310"/>
  <c r="CP34" i="1"/>
  <c r="CP32" i="1" s="1"/>
  <c r="CP20" i="1"/>
  <c r="CP19" i="1"/>
  <c r="CP153" i="1"/>
  <c r="CP24" i="1"/>
  <c r="CP137" i="1"/>
  <c r="CQ41" i="310"/>
  <c r="CQ42" i="310"/>
  <c r="CO14" i="2"/>
  <c r="CO21" i="3" s="1"/>
  <c r="CO22" i="2"/>
  <c r="CO26" i="3" s="1"/>
  <c r="CO80" i="3" s="1"/>
  <c r="CO26" i="1"/>
  <c r="CO155" i="1"/>
  <c r="CO39" i="2"/>
  <c r="CO27" i="3" s="1"/>
  <c r="CO81" i="3" s="1"/>
  <c r="CO44" i="1"/>
  <c r="CO139" i="1"/>
  <c r="CO28" i="2"/>
  <c r="CO25" i="1"/>
  <c r="CO48" i="1"/>
  <c r="CO10" i="2"/>
  <c r="CN9" i="4"/>
  <c r="CO52" i="1"/>
  <c r="CO180" i="1"/>
  <c r="CO126" i="2" s="1"/>
  <c r="CO35" i="3" s="1"/>
  <c r="CO40" i="3" s="1"/>
  <c r="CT22" i="310"/>
  <c r="CT23" i="310"/>
  <c r="CT31" i="310"/>
  <c r="N17" i="447"/>
  <c r="L18" i="447"/>
  <c r="O17" i="447"/>
  <c r="CR58" i="310"/>
  <c r="CQ70" i="310"/>
  <c r="CQ69" i="310"/>
  <c r="CQ18" i="1"/>
  <c r="CQ77" i="310"/>
  <c r="CS55" i="310"/>
  <c r="CS57" i="310"/>
  <c r="CU54" i="310"/>
  <c r="CU57" i="310" s="1"/>
  <c r="CV24" i="310"/>
  <c r="CU25" i="310"/>
  <c r="CU21" i="310"/>
  <c r="CX72" i="310"/>
  <c r="CX73" i="310" s="1"/>
  <c r="CL75" i="3"/>
  <c r="CK220" i="4" s="1"/>
  <c r="CK14" i="8"/>
  <c r="CM22" i="3"/>
  <c r="CM32" i="3" s="1"/>
  <c r="CW51" i="310"/>
  <c r="CW84" i="310"/>
  <c r="CW85" i="310"/>
  <c r="CV22" i="1"/>
  <c r="CV23" i="1"/>
  <c r="CV36" i="1"/>
  <c r="CV138" i="1"/>
  <c r="CV154" i="1"/>
  <c r="CX21" i="1"/>
  <c r="CL29" i="8"/>
  <c r="CK106" i="1"/>
  <c r="CK110" i="1" s="1"/>
  <c r="K22" i="447"/>
  <c r="K21" i="447" s="1"/>
  <c r="K66" i="447"/>
  <c r="K68" i="447"/>
  <c r="CN66" i="1"/>
  <c r="CN146" i="1"/>
  <c r="CN172" i="1"/>
  <c r="K71" i="447" s="1"/>
  <c r="CM94" i="3"/>
  <c r="CL221" i="4"/>
  <c r="CM195" i="1"/>
  <c r="CN89" i="3"/>
  <c r="CK31" i="8"/>
  <c r="CK89" i="8"/>
  <c r="CX83" i="310"/>
  <c r="CM55" i="8"/>
  <c r="CM81" i="8"/>
  <c r="CM86" i="8" s="1"/>
  <c r="CW22" i="1"/>
  <c r="CW23" i="1"/>
  <c r="CW36" i="1"/>
  <c r="CW138" i="1"/>
  <c r="CW154" i="1"/>
  <c r="CK200" i="4"/>
  <c r="CN26" i="2"/>
  <c r="CM34" i="2"/>
  <c r="CM85" i="3"/>
  <c r="CN78" i="3"/>
  <c r="CN85" i="3" s="1"/>
  <c r="CX51" i="310"/>
  <c r="CM59" i="8"/>
  <c r="CM20" i="8" s="1"/>
  <c r="CM83" i="8"/>
  <c r="CM88" i="8" s="1"/>
  <c r="CK21" i="8"/>
  <c r="CK64" i="8"/>
  <c r="CL25" i="8"/>
  <c r="CL16" i="8"/>
  <c r="CL30" i="8" s="1"/>
  <c r="CM58" i="8"/>
  <c r="CM19" i="8" s="1"/>
  <c r="CM82" i="8"/>
  <c r="CM87" i="8" s="1"/>
  <c r="CM69" i="1"/>
  <c r="CM102" i="1"/>
  <c r="CM68" i="1"/>
  <c r="CM174" i="1"/>
  <c r="CM148" i="1"/>
  <c r="CM188" i="1"/>
  <c r="CM189" i="1" s="1"/>
  <c r="CM229" i="1"/>
  <c r="CM164" i="1"/>
  <c r="CM71" i="1"/>
  <c r="CM183" i="1"/>
  <c r="CN67" i="1"/>
  <c r="CM182" i="1"/>
  <c r="CM197" i="4"/>
  <c r="CN198" i="1"/>
  <c r="CL60" i="8"/>
  <c r="CL84" i="8"/>
  <c r="CM34" i="8"/>
  <c r="CM35" i="8" s="1"/>
  <c r="CM24" i="8"/>
  <c r="CM15" i="8"/>
  <c r="CM10" i="8"/>
  <c r="CK87" i="1"/>
  <c r="CK89" i="1"/>
  <c r="CK92" i="1"/>
  <c r="CK93" i="1" s="1"/>
  <c r="CK94" i="1" s="1"/>
  <c r="CK165" i="1"/>
  <c r="CK175" i="1"/>
  <c r="CK149" i="1"/>
  <c r="CM17" i="2"/>
  <c r="CN17" i="2" s="1"/>
  <c r="CO125" i="2"/>
  <c r="CN74" i="3"/>
  <c r="CN23" i="3"/>
  <c r="CM76" i="3"/>
  <c r="CN76" i="3" s="1"/>
  <c r="CO89" i="3" l="1"/>
  <c r="CO94" i="3" s="1"/>
  <c r="CO129" i="2"/>
  <c r="CU22" i="310"/>
  <c r="CU23" i="310"/>
  <c r="CU31" i="310"/>
  <c r="CS58" i="310"/>
  <c r="L19" i="447"/>
  <c r="N18" i="447"/>
  <c r="O18" i="447"/>
  <c r="CN211" i="4"/>
  <c r="CO96" i="2"/>
  <c r="CO20" i="3"/>
  <c r="CS68" i="310"/>
  <c r="CR18" i="1"/>
  <c r="CR69" i="310"/>
  <c r="CR77" i="310"/>
  <c r="CR70" i="310"/>
  <c r="CO77" i="3"/>
  <c r="CO170" i="1"/>
  <c r="CO51" i="1"/>
  <c r="CO144" i="1"/>
  <c r="CO65" i="1"/>
  <c r="CO160" i="1"/>
  <c r="CO50" i="1"/>
  <c r="CO47" i="1"/>
  <c r="CO184" i="1"/>
  <c r="CO159" i="1"/>
  <c r="CO169" i="1"/>
  <c r="CO46" i="1"/>
  <c r="CO143" i="1"/>
  <c r="CR42" i="310"/>
  <c r="CS40" i="310"/>
  <c r="CS41" i="310" s="1"/>
  <c r="CR41" i="310"/>
  <c r="CV21" i="310"/>
  <c r="CW24" i="310"/>
  <c r="CV54" i="310"/>
  <c r="CV57" i="310" s="1"/>
  <c r="CV25" i="310"/>
  <c r="CT33" i="310"/>
  <c r="CT58" i="310"/>
  <c r="CT40" i="310"/>
  <c r="CT64" i="310"/>
  <c r="CT62" i="310"/>
  <c r="CT32" i="310"/>
  <c r="CT63" i="310"/>
  <c r="CT68" i="310"/>
  <c r="CO54" i="1"/>
  <c r="CO145" i="1"/>
  <c r="CO55" i="1"/>
  <c r="CO161" i="1"/>
  <c r="CO171" i="1"/>
  <c r="CQ19" i="1"/>
  <c r="CQ153" i="1"/>
  <c r="CQ24" i="1"/>
  <c r="CQ137" i="1"/>
  <c r="CQ20" i="1"/>
  <c r="CQ34" i="1"/>
  <c r="CQ32" i="1" s="1"/>
  <c r="CN8" i="4"/>
  <c r="CN11" i="4"/>
  <c r="CN21" i="4" s="1"/>
  <c r="CN23" i="4" s="1"/>
  <c r="CN24" i="4" s="1"/>
  <c r="CO102" i="2"/>
  <c r="CN202" i="4"/>
  <c r="CO103" i="2"/>
  <c r="CO190" i="1"/>
  <c r="CO24" i="3"/>
  <c r="CP180" i="1"/>
  <c r="CP126" i="2" s="1"/>
  <c r="CP35" i="3" s="1"/>
  <c r="CP40" i="3" s="1"/>
  <c r="CP39" i="2"/>
  <c r="CP27" i="3" s="1"/>
  <c r="CP81" i="3" s="1"/>
  <c r="CP25" i="1"/>
  <c r="CP38" i="1"/>
  <c r="CP41" i="1" s="1"/>
  <c r="CO194" i="4" s="1"/>
  <c r="CP10" i="2"/>
  <c r="CP14" i="2"/>
  <c r="CP21" i="3" s="1"/>
  <c r="CP26" i="1"/>
  <c r="CP48" i="1"/>
  <c r="CP22" i="2"/>
  <c r="CP26" i="3" s="1"/>
  <c r="CP80" i="3" s="1"/>
  <c r="CP44" i="1"/>
  <c r="CP139" i="1"/>
  <c r="CP28" i="2"/>
  <c r="CO9" i="4"/>
  <c r="CP52" i="1"/>
  <c r="CP155" i="1"/>
  <c r="CP157" i="1"/>
  <c r="CP33" i="1"/>
  <c r="CP141" i="1"/>
  <c r="CS63" i="310"/>
  <c r="CS64" i="310"/>
  <c r="CS62" i="310"/>
  <c r="CS32" i="310"/>
  <c r="CM75" i="3"/>
  <c r="CN75" i="3" s="1"/>
  <c r="CL86" i="3"/>
  <c r="CN22" i="3"/>
  <c r="CN32" i="3" s="1"/>
  <c r="CL14" i="8"/>
  <c r="CL31" i="8"/>
  <c r="CL89" i="8"/>
  <c r="CN199" i="1"/>
  <c r="CN200" i="1"/>
  <c r="CN98" i="2"/>
  <c r="CM215" i="4" s="1"/>
  <c r="CK8" i="3"/>
  <c r="CK97" i="1"/>
  <c r="CK111" i="1"/>
  <c r="CK115" i="1"/>
  <c r="CX22" i="1"/>
  <c r="CX138" i="1"/>
  <c r="CK88" i="1"/>
  <c r="CK150" i="1"/>
  <c r="CK166" i="1"/>
  <c r="CK185" i="1"/>
  <c r="CL21" i="8"/>
  <c r="CL64" i="8"/>
  <c r="CM72" i="1"/>
  <c r="CN71" i="1"/>
  <c r="CN72" i="1" s="1"/>
  <c r="CL195" i="4"/>
  <c r="CX52" i="310"/>
  <c r="CN94" i="3"/>
  <c r="CM221" i="4"/>
  <c r="CN195" i="1"/>
  <c r="CN177" i="1"/>
  <c r="CN176" i="1" s="1"/>
  <c r="CN99" i="2"/>
  <c r="CM60" i="8"/>
  <c r="CM84" i="8"/>
  <c r="CM25" i="8"/>
  <c r="CM16" i="8"/>
  <c r="CM30" i="8" s="1"/>
  <c r="CM103" i="1"/>
  <c r="CN102" i="1"/>
  <c r="CN103" i="1" s="1"/>
  <c r="K26" i="447"/>
  <c r="K25" i="447" s="1"/>
  <c r="K28" i="447" s="1"/>
  <c r="K29" i="447" s="1"/>
  <c r="K70" i="447"/>
  <c r="K72" i="447"/>
  <c r="CO17" i="2"/>
  <c r="CP125" i="2"/>
  <c r="CM29" i="8"/>
  <c r="CN69" i="1"/>
  <c r="CN68" i="1"/>
  <c r="CN174" i="1"/>
  <c r="CN148" i="1"/>
  <c r="CN229" i="1"/>
  <c r="CN34" i="2"/>
  <c r="CM43" i="2"/>
  <c r="CX84" i="310"/>
  <c r="CX36" i="1"/>
  <c r="CX37" i="1" s="1"/>
  <c r="CX40" i="1" s="1"/>
  <c r="CP89" i="3" l="1"/>
  <c r="CP195" i="1" s="1"/>
  <c r="CL220" i="4"/>
  <c r="CM86" i="3"/>
  <c r="CO195" i="1"/>
  <c r="CN221" i="4"/>
  <c r="CP129" i="2"/>
  <c r="CP77" i="3"/>
  <c r="CO8" i="4"/>
  <c r="CO11" i="4"/>
  <c r="CO21" i="4" s="1"/>
  <c r="CO23" i="4" s="1"/>
  <c r="CO24" i="4" s="1"/>
  <c r="CQ28" i="2"/>
  <c r="CQ139" i="1"/>
  <c r="CQ39" i="2"/>
  <c r="CQ27" i="3" s="1"/>
  <c r="CQ81" i="3" s="1"/>
  <c r="CP9" i="4"/>
  <c r="CQ44" i="1"/>
  <c r="CQ180" i="1"/>
  <c r="CQ126" i="2" s="1"/>
  <c r="CQ10" i="2"/>
  <c r="CQ14" i="2"/>
  <c r="CQ21" i="3" s="1"/>
  <c r="CQ25" i="1"/>
  <c r="CQ52" i="1"/>
  <c r="CQ48" i="1"/>
  <c r="CQ22" i="2"/>
  <c r="CQ26" i="3" s="1"/>
  <c r="CQ80" i="3" s="1"/>
  <c r="CQ38" i="1"/>
  <c r="CQ41" i="1" s="1"/>
  <c r="CP194" i="4" s="1"/>
  <c r="CQ155" i="1"/>
  <c r="CQ26" i="1"/>
  <c r="CT69" i="310"/>
  <c r="CT70" i="310"/>
  <c r="CT77" i="310"/>
  <c r="CT18" i="1"/>
  <c r="CS77" i="310"/>
  <c r="CS69" i="310"/>
  <c r="CU40" i="310"/>
  <c r="CU58" i="310"/>
  <c r="CU33" i="310"/>
  <c r="CU68" i="310"/>
  <c r="CU62" i="310"/>
  <c r="CU63" i="310"/>
  <c r="CU32" i="310"/>
  <c r="CU64" i="310"/>
  <c r="CP103" i="2"/>
  <c r="CO202" i="4"/>
  <c r="CP190" i="1"/>
  <c r="CP102" i="2"/>
  <c r="CO211" i="4"/>
  <c r="CP96" i="2"/>
  <c r="CQ33" i="1"/>
  <c r="CQ157" i="1"/>
  <c r="CQ141" i="1"/>
  <c r="CT41" i="310"/>
  <c r="CT42" i="310"/>
  <c r="CO74" i="3"/>
  <c r="CP20" i="3"/>
  <c r="CP51" i="1"/>
  <c r="CP144" i="1"/>
  <c r="CP65" i="1"/>
  <c r="CP170" i="1"/>
  <c r="CP160" i="1"/>
  <c r="CP50" i="1"/>
  <c r="CP24" i="3"/>
  <c r="CO31" i="3"/>
  <c r="CO78" i="3"/>
  <c r="CO85" i="3" s="1"/>
  <c r="CW25" i="310"/>
  <c r="CW21" i="310"/>
  <c r="CW54" i="310"/>
  <c r="CX24" i="310"/>
  <c r="CX25" i="310" s="1"/>
  <c r="CP55" i="1"/>
  <c r="CP145" i="1"/>
  <c r="CP161" i="1"/>
  <c r="CP54" i="1"/>
  <c r="CP171" i="1"/>
  <c r="CP184" i="1"/>
  <c r="CP159" i="1"/>
  <c r="CP46" i="1"/>
  <c r="CP169" i="1"/>
  <c r="CP47" i="1"/>
  <c r="CP143" i="1"/>
  <c r="CV31" i="310"/>
  <c r="CV22" i="310"/>
  <c r="CV23" i="310"/>
  <c r="CO67" i="1"/>
  <c r="CO26" i="2"/>
  <c r="CO66" i="1"/>
  <c r="CO181" i="1"/>
  <c r="CO27" i="2" s="1"/>
  <c r="CO23" i="3" s="1"/>
  <c r="CO76" i="3" s="1"/>
  <c r="CO172" i="1"/>
  <c r="CO146" i="1"/>
  <c r="CO162" i="1"/>
  <c r="CS18" i="1"/>
  <c r="CR34" i="1"/>
  <c r="CR20" i="1"/>
  <c r="CR19" i="1"/>
  <c r="CR137" i="1"/>
  <c r="CR24" i="1"/>
  <c r="CR153" i="1"/>
  <c r="CN86" i="3"/>
  <c r="CM220" i="4"/>
  <c r="CM21" i="8"/>
  <c r="CM64" i="8"/>
  <c r="CP17" i="2"/>
  <c r="CQ125" i="2"/>
  <c r="CQ129" i="2" s="1"/>
  <c r="CK98" i="1"/>
  <c r="CK99" i="1" s="1"/>
  <c r="CO221" i="4"/>
  <c r="CN43" i="2"/>
  <c r="CM200" i="4" s="1"/>
  <c r="CL200" i="4"/>
  <c r="CJ176" i="1"/>
  <c r="CK112" i="1"/>
  <c r="CK113" i="1" s="1"/>
  <c r="CK33" i="3"/>
  <c r="CK51" i="3" s="1"/>
  <c r="CK53" i="3" s="1"/>
  <c r="CK62" i="3"/>
  <c r="CM195" i="4"/>
  <c r="CM14" i="8"/>
  <c r="CM31" i="8"/>
  <c r="CM89" i="8"/>
  <c r="CP94" i="3" l="1"/>
  <c r="CQ77" i="3"/>
  <c r="CO99" i="2"/>
  <c r="CO34" i="2"/>
  <c r="CO43" i="2" s="1"/>
  <c r="CN200" i="4" s="1"/>
  <c r="CO22" i="3"/>
  <c r="CV32" i="310"/>
  <c r="CV63" i="310"/>
  <c r="CV33" i="310"/>
  <c r="CV58" i="310"/>
  <c r="CV62" i="310"/>
  <c r="CV40" i="310"/>
  <c r="CV68" i="310"/>
  <c r="CV64" i="310"/>
  <c r="CT34" i="1"/>
  <c r="CT32" i="1" s="1"/>
  <c r="CT141" i="1" s="1"/>
  <c r="CT153" i="1"/>
  <c r="CT20" i="1"/>
  <c r="CT137" i="1"/>
  <c r="CT24" i="1"/>
  <c r="CT19" i="1"/>
  <c r="CP8" i="4"/>
  <c r="CP11" i="4"/>
  <c r="CP21" i="4" s="1"/>
  <c r="CP23" i="4" s="1"/>
  <c r="CP24" i="4" s="1"/>
  <c r="CR180" i="1"/>
  <c r="CR126" i="2" s="1"/>
  <c r="CS126" i="2" s="1"/>
  <c r="CR22" i="2"/>
  <c r="CQ9" i="4"/>
  <c r="CR48" i="1"/>
  <c r="CR139" i="1"/>
  <c r="CR52" i="1"/>
  <c r="CR28" i="2"/>
  <c r="CR25" i="1"/>
  <c r="CR44" i="1"/>
  <c r="CR14" i="2"/>
  <c r="CS14" i="2" s="1"/>
  <c r="CR39" i="2"/>
  <c r="CR10" i="2"/>
  <c r="CR155" i="1"/>
  <c r="CR26" i="1"/>
  <c r="CR32" i="1"/>
  <c r="CR38" i="1" s="1"/>
  <c r="CS34" i="1"/>
  <c r="CS35" i="1" s="1"/>
  <c r="CS39" i="1" s="1"/>
  <c r="CO164" i="1"/>
  <c r="CO182" i="1"/>
  <c r="CO229" i="1"/>
  <c r="CO68" i="1"/>
  <c r="CO183" i="1"/>
  <c r="CO174" i="1"/>
  <c r="CO69" i="1"/>
  <c r="CO188" i="1"/>
  <c r="CO189" i="1" s="1"/>
  <c r="CO148" i="1"/>
  <c r="CO102" i="1"/>
  <c r="CO103" i="1" s="1"/>
  <c r="CO71" i="1"/>
  <c r="CO72" i="1" s="1"/>
  <c r="CX54" i="310"/>
  <c r="CW57" i="310"/>
  <c r="CP74" i="3"/>
  <c r="CQ20" i="3"/>
  <c r="CU41" i="310"/>
  <c r="CU42" i="310"/>
  <c r="CQ65" i="1"/>
  <c r="CQ170" i="1"/>
  <c r="CQ50" i="1"/>
  <c r="CQ144" i="1"/>
  <c r="CQ51" i="1"/>
  <c r="CQ160" i="1"/>
  <c r="CP211" i="4"/>
  <c r="CQ96" i="2"/>
  <c r="CS19" i="1"/>
  <c r="CS24" i="1"/>
  <c r="CS137" i="1"/>
  <c r="CW22" i="310"/>
  <c r="CX21" i="310"/>
  <c r="CX22" i="310" s="1"/>
  <c r="CW31" i="310"/>
  <c r="CW23" i="310"/>
  <c r="CQ24" i="3"/>
  <c r="CP31" i="3"/>
  <c r="CP78" i="3"/>
  <c r="CP85" i="3" s="1"/>
  <c r="CP67" i="1"/>
  <c r="CP182" i="1" s="1"/>
  <c r="CP172" i="1"/>
  <c r="CP146" i="1"/>
  <c r="CP162" i="1"/>
  <c r="CP66" i="1"/>
  <c r="CP26" i="2"/>
  <c r="CP181" i="1"/>
  <c r="CP27" i="2" s="1"/>
  <c r="CP23" i="3" s="1"/>
  <c r="CP76" i="3" s="1"/>
  <c r="CU69" i="310"/>
  <c r="CU18" i="1"/>
  <c r="CU70" i="310"/>
  <c r="CU77" i="310"/>
  <c r="CQ55" i="1"/>
  <c r="CQ145" i="1"/>
  <c r="CQ54" i="1"/>
  <c r="CQ161" i="1"/>
  <c r="CQ171" i="1"/>
  <c r="CQ35" i="3"/>
  <c r="CQ184" i="1"/>
  <c r="CQ46" i="1"/>
  <c r="CQ169" i="1"/>
  <c r="CQ47" i="1"/>
  <c r="CQ159" i="1"/>
  <c r="CQ143" i="1"/>
  <c r="CP202" i="4"/>
  <c r="CQ190" i="1"/>
  <c r="CQ102" i="2"/>
  <c r="CQ103" i="2"/>
  <c r="CK88" i="2"/>
  <c r="CK87" i="3"/>
  <c r="CQ17" i="2"/>
  <c r="CR125" i="2"/>
  <c r="CJ73" i="1"/>
  <c r="CK176" i="1"/>
  <c r="CT33" i="1" l="1"/>
  <c r="CT157" i="1"/>
  <c r="CP183" i="1"/>
  <c r="CR21" i="3"/>
  <c r="CQ172" i="1"/>
  <c r="CQ146" i="1"/>
  <c r="CQ162" i="1"/>
  <c r="CQ181" i="1"/>
  <c r="CQ27" i="2" s="1"/>
  <c r="CQ23" i="3" s="1"/>
  <c r="CQ76" i="3" s="1"/>
  <c r="CQ67" i="1"/>
  <c r="CQ66" i="1"/>
  <c r="CQ26" i="2"/>
  <c r="CN195" i="4"/>
  <c r="CS39" i="2"/>
  <c r="CR27" i="3"/>
  <c r="CS28" i="2"/>
  <c r="CR190" i="1"/>
  <c r="CR102" i="2"/>
  <c r="CR103" i="2"/>
  <c r="CQ202" i="4"/>
  <c r="CR9" i="4"/>
  <c r="CQ8" i="4"/>
  <c r="CQ11" i="4"/>
  <c r="CQ21" i="4" s="1"/>
  <c r="CQ23" i="4" s="1"/>
  <c r="CQ24" i="4" s="1"/>
  <c r="CV18" i="1"/>
  <c r="CV69" i="310"/>
  <c r="CV70" i="310"/>
  <c r="CV77" i="310"/>
  <c r="CQ89" i="3"/>
  <c r="CR35" i="3"/>
  <c r="CQ40" i="3"/>
  <c r="CP99" i="2"/>
  <c r="CP34" i="2"/>
  <c r="CP43" i="2" s="1"/>
  <c r="CO200" i="4" s="1"/>
  <c r="CR24" i="3"/>
  <c r="CQ31" i="3"/>
  <c r="CQ78" i="3"/>
  <c r="CQ85" i="3" s="1"/>
  <c r="CW58" i="310"/>
  <c r="CS38" i="1"/>
  <c r="CS41" i="1" s="1"/>
  <c r="CR41" i="1"/>
  <c r="CQ194" i="4" s="1"/>
  <c r="CR55" i="1"/>
  <c r="CS52" i="1"/>
  <c r="CR161" i="1"/>
  <c r="CR171" i="1"/>
  <c r="CR54" i="1"/>
  <c r="CR145" i="1"/>
  <c r="CS22" i="2"/>
  <c r="CR26" i="3"/>
  <c r="CV41" i="310"/>
  <c r="CV42" i="310"/>
  <c r="CU24" i="1"/>
  <c r="CU34" i="1"/>
  <c r="CU32" i="1" s="1"/>
  <c r="CU19" i="1"/>
  <c r="CU153" i="1"/>
  <c r="CU20" i="1"/>
  <c r="CU137" i="1"/>
  <c r="CP69" i="1"/>
  <c r="CP229" i="1"/>
  <c r="CP148" i="1"/>
  <c r="CP174" i="1"/>
  <c r="CP102" i="1"/>
  <c r="CP103" i="1" s="1"/>
  <c r="CP164" i="1"/>
  <c r="CP71" i="1"/>
  <c r="CP72" i="1" s="1"/>
  <c r="CP68" i="1"/>
  <c r="CP188" i="1"/>
  <c r="CP189" i="1" s="1"/>
  <c r="CX55" i="310"/>
  <c r="CX57" i="310"/>
  <c r="CR157" i="1"/>
  <c r="CR33" i="1"/>
  <c r="CS32" i="1"/>
  <c r="CR141" i="1"/>
  <c r="CS44" i="1"/>
  <c r="CR46" i="1"/>
  <c r="CR159" i="1"/>
  <c r="CR47" i="1"/>
  <c r="CR169" i="1"/>
  <c r="CR184" i="1"/>
  <c r="CR143" i="1"/>
  <c r="CT10" i="2"/>
  <c r="CT14" i="2"/>
  <c r="CT21" i="3" s="1"/>
  <c r="CT26" i="1"/>
  <c r="CT139" i="1"/>
  <c r="CT22" i="2"/>
  <c r="CT44" i="1"/>
  <c r="CT155" i="1"/>
  <c r="CT180" i="1"/>
  <c r="CT126" i="2" s="1"/>
  <c r="CT35" i="3" s="1"/>
  <c r="CT40" i="3" s="1"/>
  <c r="CT25" i="1"/>
  <c r="CT28" i="2"/>
  <c r="CT52" i="1"/>
  <c r="CT48" i="1"/>
  <c r="CS9" i="4"/>
  <c r="CT39" i="2"/>
  <c r="CT27" i="3" s="1"/>
  <c r="CT81" i="3" s="1"/>
  <c r="CT38" i="1"/>
  <c r="CT41" i="1" s="1"/>
  <c r="CS194" i="4" s="1"/>
  <c r="CW62" i="310"/>
  <c r="CW63" i="310"/>
  <c r="CW68" i="310"/>
  <c r="CW64" i="310"/>
  <c r="CX31" i="310"/>
  <c r="CW32" i="310"/>
  <c r="CW40" i="310"/>
  <c r="CX40" i="310" s="1"/>
  <c r="CX41" i="310" s="1"/>
  <c r="CW33" i="310"/>
  <c r="CS139" i="1"/>
  <c r="CR142" i="4"/>
  <c r="CS25" i="1"/>
  <c r="CR20" i="3"/>
  <c r="CQ74" i="3"/>
  <c r="CR96" i="2"/>
  <c r="CQ211" i="4"/>
  <c r="CS10" i="2"/>
  <c r="CS48" i="1"/>
  <c r="CR144" i="1"/>
  <c r="CR65" i="1"/>
  <c r="CR160" i="1"/>
  <c r="CR50" i="1"/>
  <c r="CR170" i="1"/>
  <c r="CR51" i="1"/>
  <c r="CO32" i="3"/>
  <c r="CO75" i="3"/>
  <c r="CP22" i="3"/>
  <c r="CK105" i="3"/>
  <c r="CK112" i="3"/>
  <c r="CK196" i="1"/>
  <c r="CK201" i="1" s="1"/>
  <c r="CK90" i="2"/>
  <c r="CL176" i="1"/>
  <c r="CK73" i="1"/>
  <c r="CR129" i="2"/>
  <c r="CS125" i="2"/>
  <c r="CS129" i="2" s="1"/>
  <c r="CJ74" i="1"/>
  <c r="CJ230" i="1"/>
  <c r="CT89" i="3" l="1"/>
  <c r="CT26" i="3"/>
  <c r="CT80" i="3" s="1"/>
  <c r="CS21" i="3"/>
  <c r="CR77" i="3"/>
  <c r="CS77" i="3" s="1"/>
  <c r="CS169" i="1"/>
  <c r="CS143" i="1"/>
  <c r="CS46" i="1"/>
  <c r="CS45" i="1"/>
  <c r="CT77" i="3"/>
  <c r="CR67" i="1"/>
  <c r="CR183" i="1" s="1"/>
  <c r="CR162" i="1"/>
  <c r="CR181" i="1"/>
  <c r="CR27" i="2" s="1"/>
  <c r="CR146" i="1"/>
  <c r="CR172" i="1"/>
  <c r="CR26" i="2"/>
  <c r="CR66" i="1"/>
  <c r="CS65" i="1"/>
  <c r="CX58" i="310"/>
  <c r="CX63" i="310"/>
  <c r="CX64" i="310"/>
  <c r="CX32" i="310"/>
  <c r="CX62" i="310"/>
  <c r="CT50" i="1"/>
  <c r="CT144" i="1"/>
  <c r="CT51" i="1"/>
  <c r="CT160" i="1"/>
  <c r="CT170" i="1"/>
  <c r="CT65" i="1"/>
  <c r="CS211" i="4"/>
  <c r="CT96" i="2"/>
  <c r="CU141" i="1"/>
  <c r="CU33" i="1"/>
  <c r="CU157" i="1"/>
  <c r="CS27" i="3"/>
  <c r="CR81" i="3"/>
  <c r="CS81" i="3" s="1"/>
  <c r="CQ34" i="2"/>
  <c r="CQ43" i="2" s="1"/>
  <c r="CP200" i="4" s="1"/>
  <c r="CQ99" i="2"/>
  <c r="CP75" i="3"/>
  <c r="CQ22" i="3"/>
  <c r="CP32" i="3"/>
  <c r="CT145" i="1"/>
  <c r="CT161" i="1"/>
  <c r="CT54" i="1"/>
  <c r="CT171" i="1"/>
  <c r="CT55" i="1"/>
  <c r="CS33" i="1"/>
  <c r="CS141" i="1"/>
  <c r="CU180" i="1"/>
  <c r="CU126" i="2" s="1"/>
  <c r="CU35" i="3" s="1"/>
  <c r="CU89" i="3" s="1"/>
  <c r="CU26" i="1"/>
  <c r="CU28" i="2"/>
  <c r="CU38" i="1"/>
  <c r="CU41" i="1" s="1"/>
  <c r="CT194" i="4" s="1"/>
  <c r="CU139" i="1"/>
  <c r="CU14" i="2"/>
  <c r="CU21" i="3" s="1"/>
  <c r="CU77" i="3" s="1"/>
  <c r="CU39" i="2"/>
  <c r="CU27" i="3" s="1"/>
  <c r="CU81" i="3" s="1"/>
  <c r="CT9" i="4"/>
  <c r="CU48" i="1"/>
  <c r="CU155" i="1"/>
  <c r="CU52" i="1"/>
  <c r="CU10" i="2"/>
  <c r="CT211" i="4" s="1"/>
  <c r="CU25" i="1"/>
  <c r="CU44" i="1"/>
  <c r="CU22" i="2"/>
  <c r="CU26" i="3" s="1"/>
  <c r="CU80" i="3" s="1"/>
  <c r="CS26" i="3"/>
  <c r="CR80" i="3"/>
  <c r="CS80" i="3" s="1"/>
  <c r="CS95" i="2"/>
  <c r="CR211" i="4"/>
  <c r="CT20" i="3"/>
  <c r="CT46" i="1"/>
  <c r="CT169" i="1"/>
  <c r="CT47" i="1"/>
  <c r="CT184" i="1"/>
  <c r="CT143" i="1"/>
  <c r="CT159" i="1"/>
  <c r="CO86" i="3"/>
  <c r="CN220" i="4"/>
  <c r="CS170" i="1"/>
  <c r="CS144" i="1"/>
  <c r="CS49" i="1"/>
  <c r="CS50" i="1"/>
  <c r="CW42" i="310"/>
  <c r="CW41" i="310"/>
  <c r="CW77" i="310"/>
  <c r="CW18" i="1"/>
  <c r="CX68" i="310"/>
  <c r="CW69" i="310"/>
  <c r="CW70" i="310"/>
  <c r="CT24" i="3"/>
  <c r="CT103" i="2"/>
  <c r="CS202" i="4"/>
  <c r="CT102" i="2"/>
  <c r="CT190" i="1"/>
  <c r="L67" i="447"/>
  <c r="CR194" i="4"/>
  <c r="CS81" i="310"/>
  <c r="CR31" i="3"/>
  <c r="CS24" i="3"/>
  <c r="CR78" i="3"/>
  <c r="CR40" i="3"/>
  <c r="CS40" i="3" s="1"/>
  <c r="CR89" i="3"/>
  <c r="CS35" i="3"/>
  <c r="CR8" i="4"/>
  <c r="CR11" i="4"/>
  <c r="CR21" i="4" s="1"/>
  <c r="CR23" i="4" s="1"/>
  <c r="CR24" i="4" s="1"/>
  <c r="CQ174" i="1"/>
  <c r="CQ229" i="1"/>
  <c r="CQ182" i="1"/>
  <c r="CQ69" i="1"/>
  <c r="CQ148" i="1"/>
  <c r="CQ71" i="1"/>
  <c r="CQ102" i="1"/>
  <c r="CQ183" i="1"/>
  <c r="CQ68" i="1"/>
  <c r="CQ164" i="1"/>
  <c r="CQ188" i="1"/>
  <c r="CQ189" i="1" s="1"/>
  <c r="CR74" i="3"/>
  <c r="CS74" i="3" s="1"/>
  <c r="CS20" i="3"/>
  <c r="CS11" i="4"/>
  <c r="CS21" i="4" s="1"/>
  <c r="CS23" i="4" s="1"/>
  <c r="CS24" i="4" s="1"/>
  <c r="CS8" i="4"/>
  <c r="CO195" i="4"/>
  <c r="CS53" i="1"/>
  <c r="CS171" i="1"/>
  <c r="CS54" i="1"/>
  <c r="CS145" i="1"/>
  <c r="CP221" i="4"/>
  <c r="CQ195" i="1"/>
  <c r="CQ94" i="3"/>
  <c r="CV19" i="1"/>
  <c r="CV20" i="1"/>
  <c r="CV153" i="1"/>
  <c r="CV24" i="1"/>
  <c r="CV137" i="1"/>
  <c r="CV34" i="1"/>
  <c r="CV32" i="1" s="1"/>
  <c r="CV141" i="1" s="1"/>
  <c r="CR202" i="4"/>
  <c r="CS190" i="1"/>
  <c r="CS102" i="2"/>
  <c r="CS96" i="2"/>
  <c r="CR17" i="2"/>
  <c r="CS17" i="2" s="1"/>
  <c r="CT125" i="2"/>
  <c r="CT129" i="2" s="1"/>
  <c r="CM176" i="1"/>
  <c r="CM73" i="1" s="1"/>
  <c r="CL73" i="1"/>
  <c r="CT94" i="3"/>
  <c r="CS221" i="4"/>
  <c r="CT195" i="1"/>
  <c r="CL87" i="2"/>
  <c r="CK48" i="2"/>
  <c r="CK50" i="2" s="1"/>
  <c r="CK51" i="2" s="1"/>
  <c r="CK114" i="3"/>
  <c r="CK120" i="3"/>
  <c r="CK74" i="1"/>
  <c r="CK230" i="1"/>
  <c r="CK107" i="3"/>
  <c r="CS67" i="1" l="1"/>
  <c r="CU40" i="3"/>
  <c r="CR182" i="1"/>
  <c r="CS31" i="3"/>
  <c r="CV157" i="1"/>
  <c r="CQ103" i="1"/>
  <c r="CS78" i="3"/>
  <c r="CS85" i="3" s="1"/>
  <c r="CR85" i="3"/>
  <c r="CR197" i="4"/>
  <c r="CS198" i="1"/>
  <c r="CU47" i="1"/>
  <c r="CU159" i="1"/>
  <c r="CU169" i="1"/>
  <c r="CU184" i="1"/>
  <c r="CU143" i="1"/>
  <c r="CU46" i="1"/>
  <c r="CU54" i="1"/>
  <c r="CU161" i="1"/>
  <c r="CU55" i="1"/>
  <c r="CU145" i="1"/>
  <c r="CU171" i="1"/>
  <c r="CR22" i="3"/>
  <c r="CQ75" i="3"/>
  <c r="CQ32" i="3"/>
  <c r="CR99" i="2"/>
  <c r="CR34" i="2"/>
  <c r="CS26" i="2"/>
  <c r="CV28" i="2"/>
  <c r="CV25" i="1"/>
  <c r="CV52" i="1"/>
  <c r="CU9" i="4"/>
  <c r="CV44" i="1"/>
  <c r="CV14" i="2"/>
  <c r="CV21" i="3" s="1"/>
  <c r="CV77" i="3" s="1"/>
  <c r="CV39" i="2"/>
  <c r="CV27" i="3" s="1"/>
  <c r="CV81" i="3" s="1"/>
  <c r="CV26" i="1"/>
  <c r="CV155" i="1"/>
  <c r="CV10" i="2"/>
  <c r="CU211" i="4" s="1"/>
  <c r="CV48" i="1"/>
  <c r="CV139" i="1"/>
  <c r="CV22" i="2"/>
  <c r="CV26" i="3" s="1"/>
  <c r="CV80" i="3" s="1"/>
  <c r="CV180" i="1"/>
  <c r="CV126" i="2" s="1"/>
  <c r="CV35" i="3" s="1"/>
  <c r="CV40" i="3" s="1"/>
  <c r="CV33" i="1"/>
  <c r="CV38" i="1"/>
  <c r="L68" i="447"/>
  <c r="L66" i="447"/>
  <c r="L22" i="447"/>
  <c r="L21" i="447" s="1"/>
  <c r="CX69" i="310"/>
  <c r="CX77" i="310"/>
  <c r="CU103" i="2"/>
  <c r="CU102" i="2"/>
  <c r="CT202" i="4"/>
  <c r="CU190" i="1"/>
  <c r="CO220" i="4"/>
  <c r="CP86" i="3"/>
  <c r="CR188" i="1"/>
  <c r="CR189" i="1" s="1"/>
  <c r="CR174" i="1"/>
  <c r="CR229" i="1"/>
  <c r="CR69" i="1"/>
  <c r="CR148" i="1"/>
  <c r="CR71" i="1"/>
  <c r="CR72" i="1" s="1"/>
  <c r="CR102" i="1"/>
  <c r="CR103" i="1" s="1"/>
  <c r="CR164" i="1"/>
  <c r="CR68" i="1"/>
  <c r="CP195" i="4"/>
  <c r="CQ72" i="1"/>
  <c r="CS89" i="3"/>
  <c r="CR195" i="1"/>
  <c r="CR94" i="3"/>
  <c r="CQ221" i="4"/>
  <c r="CT31" i="3"/>
  <c r="CU24" i="3"/>
  <c r="CT78" i="3"/>
  <c r="CT85" i="3" s="1"/>
  <c r="CW20" i="1"/>
  <c r="CW153" i="1"/>
  <c r="CW24" i="1"/>
  <c r="CX18" i="1"/>
  <c r="CW137" i="1"/>
  <c r="CW34" i="1"/>
  <c r="CW19" i="1"/>
  <c r="CT74" i="3"/>
  <c r="CU20" i="3"/>
  <c r="CU96" i="2"/>
  <c r="CU50" i="1"/>
  <c r="CU51" i="1"/>
  <c r="CU144" i="1"/>
  <c r="CU160" i="1"/>
  <c r="CU65" i="1"/>
  <c r="CU170" i="1"/>
  <c r="CS146" i="1"/>
  <c r="CS66" i="1"/>
  <c r="CS172" i="1"/>
  <c r="L71" i="447" s="1"/>
  <c r="CT8" i="4"/>
  <c r="CT11" i="4"/>
  <c r="CT21" i="4" s="1"/>
  <c r="CT23" i="4" s="1"/>
  <c r="CT24" i="4" s="1"/>
  <c r="CT67" i="1"/>
  <c r="CT66" i="1"/>
  <c r="CT181" i="1"/>
  <c r="CT27" i="2" s="1"/>
  <c r="CT26" i="2"/>
  <c r="CT162" i="1"/>
  <c r="CT172" i="1"/>
  <c r="CT146" i="1"/>
  <c r="CS27" i="2"/>
  <c r="CR23" i="3"/>
  <c r="CK8" i="2"/>
  <c r="CL106" i="3"/>
  <c r="CL74" i="1"/>
  <c r="CL230" i="1"/>
  <c r="CN73" i="1"/>
  <c r="CM74" i="1"/>
  <c r="CM230" i="1"/>
  <c r="CT17" i="2"/>
  <c r="CU125" i="2"/>
  <c r="CU129" i="2" s="1"/>
  <c r="CK115" i="3"/>
  <c r="CK117" i="3"/>
  <c r="CK118" i="3" s="1"/>
  <c r="CU94" i="3"/>
  <c r="CT221" i="4"/>
  <c r="CU195" i="1"/>
  <c r="CS174" i="1" l="1"/>
  <c r="CS69" i="1"/>
  <c r="CS148" i="1"/>
  <c r="CS229" i="1"/>
  <c r="CS68" i="1"/>
  <c r="CV89" i="3"/>
  <c r="CS71" i="1"/>
  <c r="CS72" i="1" s="1"/>
  <c r="CV96" i="2"/>
  <c r="CT23" i="3"/>
  <c r="CX19" i="1"/>
  <c r="CX24" i="1"/>
  <c r="CX137" i="1"/>
  <c r="CV54" i="1"/>
  <c r="CV145" i="1"/>
  <c r="CV171" i="1"/>
  <c r="CV55" i="1"/>
  <c r="CV161" i="1"/>
  <c r="CR43" i="2"/>
  <c r="CS34" i="2"/>
  <c r="CQ86" i="3"/>
  <c r="CP220" i="4"/>
  <c r="L26" i="447"/>
  <c r="L25" i="447" s="1"/>
  <c r="L70" i="447"/>
  <c r="L72" i="447"/>
  <c r="CU67" i="1"/>
  <c r="CU182" i="1" s="1"/>
  <c r="CU162" i="1"/>
  <c r="CU172" i="1"/>
  <c r="CU66" i="1"/>
  <c r="CU146" i="1"/>
  <c r="CU26" i="2"/>
  <c r="CU181" i="1"/>
  <c r="CU27" i="2" s="1"/>
  <c r="CW180" i="1"/>
  <c r="CW126" i="2" s="1"/>
  <c r="CW35" i="3" s="1"/>
  <c r="CW89" i="3" s="1"/>
  <c r="CW22" i="2"/>
  <c r="CW52" i="1"/>
  <c r="CW155" i="1"/>
  <c r="CW28" i="2"/>
  <c r="CW39" i="2"/>
  <c r="CV9" i="4"/>
  <c r="CW26" i="1"/>
  <c r="CW139" i="1"/>
  <c r="CW14" i="2"/>
  <c r="CW48" i="1"/>
  <c r="CW10" i="2"/>
  <c r="CW25" i="1"/>
  <c r="CW44" i="1"/>
  <c r="CV24" i="3"/>
  <c r="CU31" i="3"/>
  <c r="CU78" i="3"/>
  <c r="CU85" i="3" s="1"/>
  <c r="CR195" i="4"/>
  <c r="CS22" i="3"/>
  <c r="CR75" i="3"/>
  <c r="CR32" i="3"/>
  <c r="CT99" i="2"/>
  <c r="CT34" i="2"/>
  <c r="CT43" i="2" s="1"/>
  <c r="CS200" i="4" s="1"/>
  <c r="CT22" i="3"/>
  <c r="CS23" i="3"/>
  <c r="CR76" i="3"/>
  <c r="CS76" i="3" s="1"/>
  <c r="CT164" i="1"/>
  <c r="CT68" i="1"/>
  <c r="CT183" i="1"/>
  <c r="CT174" i="1"/>
  <c r="CT69" i="1"/>
  <c r="CT182" i="1"/>
  <c r="CT71" i="1"/>
  <c r="CT72" i="1" s="1"/>
  <c r="CT148" i="1"/>
  <c r="CT188" i="1"/>
  <c r="CT189" i="1" s="1"/>
  <c r="CT102" i="1"/>
  <c r="CT103" i="1" s="1"/>
  <c r="CT229" i="1"/>
  <c r="CW32" i="1"/>
  <c r="CW38" i="1" s="1"/>
  <c r="CW41" i="1" s="1"/>
  <c r="CV194" i="4" s="1"/>
  <c r="CX34" i="1"/>
  <c r="CX35" i="1" s="1"/>
  <c r="CX39" i="1" s="1"/>
  <c r="CS195" i="1"/>
  <c r="CS94" i="3"/>
  <c r="CS177" i="1"/>
  <c r="CS176" i="1" s="1"/>
  <c r="CO176" i="1" s="1"/>
  <c r="CR221" i="4"/>
  <c r="CV41" i="1"/>
  <c r="CU194" i="4" s="1"/>
  <c r="CV184" i="1"/>
  <c r="CV143" i="1"/>
  <c r="CV169" i="1"/>
  <c r="CV46" i="1"/>
  <c r="CV159" i="1"/>
  <c r="CV47" i="1"/>
  <c r="CV103" i="2"/>
  <c r="CU202" i="4"/>
  <c r="CV190" i="1"/>
  <c r="CV102" i="2"/>
  <c r="CS102" i="1"/>
  <c r="CS103" i="1" s="1"/>
  <c r="CU74" i="3"/>
  <c r="CV20" i="3"/>
  <c r="CQ195" i="4"/>
  <c r="CV51" i="1"/>
  <c r="CV170" i="1"/>
  <c r="CV144" i="1"/>
  <c r="CV65" i="1"/>
  <c r="CV160" i="1"/>
  <c r="CV50" i="1"/>
  <c r="CU8" i="4"/>
  <c r="CU11" i="4"/>
  <c r="CU21" i="4" s="1"/>
  <c r="CU23" i="4" s="1"/>
  <c r="CU24" i="4" s="1"/>
  <c r="CS98" i="2"/>
  <c r="CR215" i="4" s="1"/>
  <c r="CS200" i="1"/>
  <c r="CS99" i="2"/>
  <c r="CS199" i="1"/>
  <c r="CN74" i="1"/>
  <c r="CN230" i="1"/>
  <c r="CK53" i="2"/>
  <c r="CK15" i="2"/>
  <c r="CK24" i="2" s="1"/>
  <c r="CJ210" i="4"/>
  <c r="CJ214" i="4" s="1"/>
  <c r="CL78" i="1"/>
  <c r="CK192" i="1"/>
  <c r="CK55" i="3"/>
  <c r="CU17" i="2"/>
  <c r="CV125" i="2"/>
  <c r="CV129" i="2" s="1"/>
  <c r="CV94" i="3"/>
  <c r="CU221" i="4"/>
  <c r="CV195" i="1"/>
  <c r="CU183" i="1" l="1"/>
  <c r="CW40" i="3"/>
  <c r="CX40" i="3" s="1"/>
  <c r="CX126" i="2"/>
  <c r="CX35" i="3"/>
  <c r="CS32" i="3"/>
  <c r="CW102" i="2"/>
  <c r="CV202" i="4"/>
  <c r="CX28" i="2"/>
  <c r="CW190" i="1"/>
  <c r="CW103" i="2"/>
  <c r="CX22" i="2"/>
  <c r="CW26" i="3"/>
  <c r="CU102" i="1"/>
  <c r="CU103" i="1" s="1"/>
  <c r="CU164" i="1"/>
  <c r="CU148" i="1"/>
  <c r="CU68" i="1"/>
  <c r="CU188" i="1"/>
  <c r="CU189" i="1" s="1"/>
  <c r="CU69" i="1"/>
  <c r="CU174" i="1"/>
  <c r="CU229" i="1"/>
  <c r="CU71" i="1"/>
  <c r="CU72" i="1" s="1"/>
  <c r="CX139" i="1"/>
  <c r="CX25" i="1"/>
  <c r="CW142" i="4"/>
  <c r="CV181" i="1"/>
  <c r="CV27" i="2" s="1"/>
  <c r="CV146" i="1"/>
  <c r="CV162" i="1"/>
  <c r="CV26" i="2"/>
  <c r="CV67" i="1"/>
  <c r="CV66" i="1"/>
  <c r="CV172" i="1"/>
  <c r="CX38" i="1"/>
  <c r="CX41" i="1" s="1"/>
  <c r="CW24" i="3"/>
  <c r="CV78" i="3"/>
  <c r="CV85" i="3" s="1"/>
  <c r="CV31" i="3"/>
  <c r="CW96" i="2"/>
  <c r="CX10" i="2"/>
  <c r="CV211" i="4"/>
  <c r="CO73" i="1"/>
  <c r="CP176" i="1"/>
  <c r="CX32" i="1"/>
  <c r="CW33" i="1"/>
  <c r="CW141" i="1"/>
  <c r="CW157" i="1"/>
  <c r="CX44" i="1"/>
  <c r="CW143" i="1"/>
  <c r="CW169" i="1"/>
  <c r="CW46" i="1"/>
  <c r="CW159" i="1"/>
  <c r="CW47" i="1"/>
  <c r="CW184" i="1"/>
  <c r="CX48" i="1"/>
  <c r="CW65" i="1"/>
  <c r="CW50" i="1"/>
  <c r="CW160" i="1"/>
  <c r="CW144" i="1"/>
  <c r="CW51" i="1"/>
  <c r="CW170" i="1"/>
  <c r="CW9" i="4"/>
  <c r="CV8" i="4"/>
  <c r="CV11" i="4"/>
  <c r="CV21" i="4" s="1"/>
  <c r="CV23" i="4" s="1"/>
  <c r="CV24" i="4" s="1"/>
  <c r="CX52" i="1"/>
  <c r="CW171" i="1"/>
  <c r="CW54" i="1"/>
  <c r="CW145" i="1"/>
  <c r="CW55" i="1"/>
  <c r="CW161" i="1"/>
  <c r="CT76" i="3"/>
  <c r="CU23" i="3"/>
  <c r="CV74" i="3"/>
  <c r="CW20" i="3"/>
  <c r="CS195" i="4"/>
  <c r="CT32" i="3"/>
  <c r="CT75" i="3"/>
  <c r="CU22" i="3"/>
  <c r="CQ220" i="4"/>
  <c r="CS75" i="3"/>
  <c r="CR86" i="3"/>
  <c r="CW21" i="3"/>
  <c r="CX14" i="2"/>
  <c r="CX39" i="2"/>
  <c r="CW27" i="3"/>
  <c r="CU34" i="2"/>
  <c r="CU43" i="2" s="1"/>
  <c r="CT200" i="4" s="1"/>
  <c r="CU99" i="2"/>
  <c r="O25" i="447"/>
  <c r="N25" i="447"/>
  <c r="CS43" i="2"/>
  <c r="CR200" i="4" s="1"/>
  <c r="CQ200" i="4"/>
  <c r="L28" i="447"/>
  <c r="L29" i="447" s="1"/>
  <c r="CL76" i="1"/>
  <c r="CW94" i="3"/>
  <c r="CV221" i="4"/>
  <c r="CW195" i="1"/>
  <c r="CX89" i="3"/>
  <c r="CV17" i="2"/>
  <c r="CW125" i="2"/>
  <c r="CJ199" i="4"/>
  <c r="CK52" i="2"/>
  <c r="CV23" i="3" l="1"/>
  <c r="CU76" i="3"/>
  <c r="CW11" i="4"/>
  <c r="CW21" i="4" s="1"/>
  <c r="CW23" i="4" s="1"/>
  <c r="CW24" i="4" s="1"/>
  <c r="CW8" i="4"/>
  <c r="CO230" i="1"/>
  <c r="CO74" i="1"/>
  <c r="CX96" i="2"/>
  <c r="CX95" i="2"/>
  <c r="CW211" i="4"/>
  <c r="CX24" i="3"/>
  <c r="CW31" i="3"/>
  <c r="CW78" i="3"/>
  <c r="CV68" i="1"/>
  <c r="CV188" i="1"/>
  <c r="CV189" i="1" s="1"/>
  <c r="CV182" i="1"/>
  <c r="CV102" i="1"/>
  <c r="CV103" i="1" s="1"/>
  <c r="CV183" i="1"/>
  <c r="CV174" i="1"/>
  <c r="CV229" i="1"/>
  <c r="CV164" i="1"/>
  <c r="CV69" i="1"/>
  <c r="CV148" i="1"/>
  <c r="CV71" i="1"/>
  <c r="CV72" i="1" s="1"/>
  <c r="O29" i="447"/>
  <c r="N29" i="447"/>
  <c r="CX21" i="3"/>
  <c r="CW77" i="3"/>
  <c r="CX77" i="3" s="1"/>
  <c r="CU32" i="3"/>
  <c r="CU75" i="3"/>
  <c r="CV22" i="3"/>
  <c r="CX54" i="1"/>
  <c r="CX145" i="1"/>
  <c r="CX171" i="1"/>
  <c r="CX53" i="1"/>
  <c r="CX81" i="310"/>
  <c r="CW194" i="4"/>
  <c r="CV34" i="2"/>
  <c r="CV43" i="2" s="1"/>
  <c r="CU200" i="4" s="1"/>
  <c r="CV99" i="2"/>
  <c r="CX27" i="3"/>
  <c r="CW81" i="3"/>
  <c r="CX81" i="3" s="1"/>
  <c r="CS220" i="4"/>
  <c r="CT86" i="3"/>
  <c r="CW74" i="3"/>
  <c r="CX74" i="3" s="1"/>
  <c r="CX20" i="3"/>
  <c r="CW181" i="1"/>
  <c r="CW27" i="2" s="1"/>
  <c r="CX27" i="2" s="1"/>
  <c r="CW172" i="1"/>
  <c r="CW146" i="1"/>
  <c r="CW66" i="1"/>
  <c r="CW26" i="2"/>
  <c r="CX65" i="1"/>
  <c r="CW162" i="1"/>
  <c r="CX45" i="1"/>
  <c r="CX46" i="1"/>
  <c r="CX143" i="1"/>
  <c r="CX169" i="1"/>
  <c r="CX141" i="1"/>
  <c r="CX33" i="1"/>
  <c r="CW67" i="1"/>
  <c r="CR220" i="4"/>
  <c r="CS86" i="3"/>
  <c r="CX50" i="1"/>
  <c r="CX144" i="1"/>
  <c r="CX49" i="1"/>
  <c r="CX170" i="1"/>
  <c r="CP73" i="1"/>
  <c r="CQ176" i="1"/>
  <c r="CT195" i="4"/>
  <c r="CX26" i="3"/>
  <c r="CW80" i="3"/>
  <c r="CX80" i="3" s="1"/>
  <c r="CX190" i="1"/>
  <c r="CX102" i="2"/>
  <c r="CW202" i="4"/>
  <c r="CX125" i="2"/>
  <c r="CX129" i="2" s="1"/>
  <c r="CW129" i="2"/>
  <c r="CW17" i="2" s="1"/>
  <c r="CX17" i="2" s="1"/>
  <c r="CX94" i="3"/>
  <c r="CW221" i="4"/>
  <c r="CX195" i="1"/>
  <c r="CX177" i="1"/>
  <c r="CX176" i="1" s="1"/>
  <c r="CT176" i="1" s="1"/>
  <c r="CL104" i="1"/>
  <c r="CL80" i="1"/>
  <c r="CX26" i="2" l="1"/>
  <c r="CW34" i="2"/>
  <c r="CW99" i="2"/>
  <c r="CQ73" i="1"/>
  <c r="CR176" i="1"/>
  <c r="CR73" i="1" s="1"/>
  <c r="CX31" i="3"/>
  <c r="CP230" i="1"/>
  <c r="CP74" i="1"/>
  <c r="CW22" i="3"/>
  <c r="CV75" i="3"/>
  <c r="CV32" i="3"/>
  <c r="CU195" i="4"/>
  <c r="CV76" i="3"/>
  <c r="CW23" i="3"/>
  <c r="CW182" i="1"/>
  <c r="CX67" i="1"/>
  <c r="CW102" i="1"/>
  <c r="CW148" i="1"/>
  <c r="CW164" i="1"/>
  <c r="CW174" i="1"/>
  <c r="CW183" i="1"/>
  <c r="CW188" i="1"/>
  <c r="CW189" i="1" s="1"/>
  <c r="CW69" i="1"/>
  <c r="CW68" i="1"/>
  <c r="CW229" i="1"/>
  <c r="CW71" i="1"/>
  <c r="CX146" i="1"/>
  <c r="CX66" i="1"/>
  <c r="CX172" i="1"/>
  <c r="CU86" i="3"/>
  <c r="CT220" i="4"/>
  <c r="CW85" i="3"/>
  <c r="CX78" i="3"/>
  <c r="CX85" i="3" s="1"/>
  <c r="CW197" i="4"/>
  <c r="CX198" i="1"/>
  <c r="CL81" i="1"/>
  <c r="CL105" i="1"/>
  <c r="CU176" i="1"/>
  <c r="CT73" i="1"/>
  <c r="CV195" i="4" l="1"/>
  <c r="CX102" i="1"/>
  <c r="CX103" i="1" s="1"/>
  <c r="CW103" i="1"/>
  <c r="CX69" i="1"/>
  <c r="CX174" i="1"/>
  <c r="CX148" i="1"/>
  <c r="CX68" i="1"/>
  <c r="CX229" i="1"/>
  <c r="CX23" i="3"/>
  <c r="CW76" i="3"/>
  <c r="CX76" i="3" s="1"/>
  <c r="CR74" i="1"/>
  <c r="CR230" i="1"/>
  <c r="CX22" i="3"/>
  <c r="CX32" i="3" s="1"/>
  <c r="CW75" i="3"/>
  <c r="CW32" i="3"/>
  <c r="CW72" i="1"/>
  <c r="CX71" i="1"/>
  <c r="CX72" i="1" s="1"/>
  <c r="CU220" i="4"/>
  <c r="CV86" i="3"/>
  <c r="CQ74" i="1"/>
  <c r="CQ230" i="1"/>
  <c r="CS73" i="1"/>
  <c r="CX34" i="2"/>
  <c r="CW43" i="2"/>
  <c r="CX99" i="2"/>
  <c r="CX200" i="1"/>
  <c r="CX199" i="1"/>
  <c r="CX98" i="2"/>
  <c r="CW215" i="4" s="1"/>
  <c r="CT74" i="1"/>
  <c r="CT230" i="1"/>
  <c r="CL84" i="1"/>
  <c r="CV176" i="1"/>
  <c r="CU73" i="1"/>
  <c r="CL106" i="1"/>
  <c r="CS230" i="1" l="1"/>
  <c r="CS74" i="1"/>
  <c r="CV200" i="4"/>
  <c r="CX43" i="2"/>
  <c r="CW200" i="4" s="1"/>
  <c r="CW195" i="4"/>
  <c r="CX75" i="3"/>
  <c r="CW86" i="3"/>
  <c r="CV220" i="4"/>
  <c r="CW176" i="1"/>
  <c r="CW73" i="1" s="1"/>
  <c r="CV73" i="1"/>
  <c r="CL92" i="1"/>
  <c r="CL93" i="1" s="1"/>
  <c r="CL94" i="1" s="1"/>
  <c r="CL87" i="1"/>
  <c r="CL89" i="1"/>
  <c r="CL165" i="1"/>
  <c r="CL175" i="1"/>
  <c r="CL149" i="1"/>
  <c r="CL110" i="1"/>
  <c r="CU74" i="1"/>
  <c r="CU230" i="1"/>
  <c r="CX86" i="3" l="1"/>
  <c r="CW220" i="4"/>
  <c r="CX73" i="1"/>
  <c r="CX74" i="1" s="1"/>
  <c r="CL115" i="1"/>
  <c r="CL97" i="1"/>
  <c r="CL111" i="1"/>
  <c r="CL8" i="3"/>
  <c r="CV74" i="1"/>
  <c r="CV230" i="1"/>
  <c r="CL88" i="1"/>
  <c r="CL150" i="1"/>
  <c r="CL166" i="1"/>
  <c r="CL185" i="1"/>
  <c r="CW74" i="1"/>
  <c r="CW230" i="1"/>
  <c r="CX230" i="1" l="1"/>
  <c r="CL98" i="1"/>
  <c r="CL99" i="1" s="1"/>
  <c r="CL33" i="3"/>
  <c r="CL51" i="3" s="1"/>
  <c r="CL53" i="3" s="1"/>
  <c r="CL62" i="3"/>
  <c r="CL112" i="1"/>
  <c r="CL113" i="1" s="1"/>
  <c r="CL88" i="2" l="1"/>
  <c r="CL87" i="3"/>
  <c r="CL105" i="3" l="1"/>
  <c r="CL112" i="3"/>
  <c r="CL196" i="1"/>
  <c r="CL201" i="1" s="1"/>
  <c r="CL90" i="2"/>
  <c r="CL48" i="2" l="1"/>
  <c r="CL50" i="2" s="1"/>
  <c r="CL51" i="2" s="1"/>
  <c r="CM87" i="2"/>
  <c r="CL114" i="3"/>
  <c r="CL120" i="3"/>
  <c r="CL107" i="3"/>
  <c r="CL115" i="3" l="1"/>
  <c r="CL117" i="3"/>
  <c r="CL118" i="3" s="1"/>
  <c r="CL8" i="2"/>
  <c r="CM106" i="3"/>
  <c r="CL15" i="2" l="1"/>
  <c r="CL24" i="2" s="1"/>
  <c r="CL52" i="2" s="1"/>
  <c r="CL53" i="2"/>
  <c r="CK210" i="4"/>
  <c r="CK214" i="4" s="1"/>
  <c r="CM78" i="1"/>
  <c r="CL192" i="1"/>
  <c r="CL55" i="3"/>
  <c r="CM76" i="1" l="1"/>
  <c r="CN78" i="1"/>
  <c r="CK199" i="4"/>
  <c r="CM104" i="1" l="1"/>
  <c r="CM80" i="1"/>
  <c r="CN76" i="1"/>
  <c r="K31" i="447" l="1"/>
  <c r="CM81" i="1"/>
  <c r="CN81" i="1" s="1"/>
  <c r="CN80" i="1"/>
  <c r="CM105" i="1"/>
  <c r="CN104" i="1"/>
  <c r="CN82" i="1" l="1"/>
  <c r="CN188" i="1" s="1"/>
  <c r="CN189" i="1" s="1"/>
  <c r="CM84" i="1"/>
  <c r="CM92" i="1" s="1"/>
  <c r="CM93" i="1" s="1"/>
  <c r="CM94" i="1" s="1"/>
  <c r="CM106" i="1"/>
  <c r="CN106" i="1" s="1"/>
  <c r="CN105" i="1"/>
  <c r="CM165" i="1" l="1"/>
  <c r="K33" i="447"/>
  <c r="K35" i="447" s="1"/>
  <c r="K39" i="447" s="1"/>
  <c r="CN121" i="1"/>
  <c r="CN84" i="1"/>
  <c r="CN175" i="1" s="1"/>
  <c r="CM89" i="1"/>
  <c r="CN89" i="1" s="1"/>
  <c r="CM149" i="1"/>
  <c r="CM87" i="1"/>
  <c r="CM175" i="1"/>
  <c r="CM110" i="1"/>
  <c r="CM97" i="1" s="1"/>
  <c r="CN107" i="1"/>
  <c r="CM166" i="1" l="1"/>
  <c r="CM150" i="1"/>
  <c r="CM88" i="1"/>
  <c r="CN149" i="1"/>
  <c r="CM8" i="3"/>
  <c r="CN8" i="3" s="1"/>
  <c r="CN33" i="3" s="1"/>
  <c r="CN34" i="3" s="1"/>
  <c r="CM115" i="1"/>
  <c r="CN115" i="1" s="1"/>
  <c r="CN110" i="1"/>
  <c r="CN111" i="1" s="1"/>
  <c r="CM111" i="1"/>
  <c r="CM185" i="1"/>
  <c r="CN92" i="1"/>
  <c r="CN93" i="1" s="1"/>
  <c r="CN94" i="1" s="1"/>
  <c r="CN87" i="1"/>
  <c r="CN150" i="1" s="1"/>
  <c r="CM98" i="1"/>
  <c r="CM99" i="1" s="1"/>
  <c r="CN97" i="1"/>
  <c r="CN98" i="1" s="1"/>
  <c r="CN99" i="1" s="1"/>
  <c r="CM33" i="3"/>
  <c r="CM51" i="3" s="1"/>
  <c r="CM112" i="1" l="1"/>
  <c r="CM113" i="1" s="1"/>
  <c r="CM62" i="3"/>
  <c r="CM88" i="2" s="1"/>
  <c r="CN112" i="1"/>
  <c r="CN113" i="1" s="1"/>
  <c r="CN88" i="1"/>
  <c r="CM53" i="3"/>
  <c r="CN51" i="3"/>
  <c r="CN62" i="3" l="1"/>
  <c r="CN87" i="3" s="1"/>
  <c r="CN196" i="1" s="1"/>
  <c r="CN201" i="1" s="1"/>
  <c r="CM87" i="3"/>
  <c r="CQ186" i="1" s="1"/>
  <c r="CO52" i="3"/>
  <c r="CN53" i="3"/>
  <c r="CN88" i="2"/>
  <c r="CN90" i="2" s="1"/>
  <c r="CM90" i="2"/>
  <c r="CO186" i="1" l="1"/>
  <c r="CM196" i="1"/>
  <c r="CM201" i="1" s="1"/>
  <c r="CP186" i="1"/>
  <c r="CM112" i="3"/>
  <c r="CM114" i="3" s="1"/>
  <c r="CM105" i="3"/>
  <c r="CN105" i="3" s="1"/>
  <c r="CN107" i="3" s="1"/>
  <c r="CN112" i="3"/>
  <c r="CN120" i="3" s="1"/>
  <c r="CN88" i="3"/>
  <c r="CO106" i="3"/>
  <c r="CS106" i="3" s="1"/>
  <c r="CP52" i="3"/>
  <c r="CQ52" i="3" s="1"/>
  <c r="CR52" i="3" s="1"/>
  <c r="CS52" i="3" s="1"/>
  <c r="CM48" i="2"/>
  <c r="CO87" i="2"/>
  <c r="CM120" i="3" l="1"/>
  <c r="CM107" i="3"/>
  <c r="CM8" i="2" s="1"/>
  <c r="CM53" i="2" s="1"/>
  <c r="CN114" i="3"/>
  <c r="CN117" i="3" s="1"/>
  <c r="CN118" i="3" s="1"/>
  <c r="CM117" i="3"/>
  <c r="CM118" i="3" s="1"/>
  <c r="CM115" i="3"/>
  <c r="CS87" i="2"/>
  <c r="CN48" i="2"/>
  <c r="CM50" i="2"/>
  <c r="CM55" i="3" l="1"/>
  <c r="CM15" i="2"/>
  <c r="CN15" i="2" s="1"/>
  <c r="CN8" i="2"/>
  <c r="CO78" i="1" s="1"/>
  <c r="CM192" i="1"/>
  <c r="CL210" i="4"/>
  <c r="CL214" i="4" s="1"/>
  <c r="K42" i="447"/>
  <c r="K43" i="447" s="1"/>
  <c r="CN115" i="3"/>
  <c r="CN50" i="2"/>
  <c r="CM207" i="4" s="1"/>
  <c r="CM51" i="2"/>
  <c r="CM24" i="2" l="1"/>
  <c r="CN24" i="2" s="1"/>
  <c r="CM199" i="4" s="1"/>
  <c r="CM210" i="4"/>
  <c r="CM214" i="4" s="1"/>
  <c r="CO76" i="1"/>
  <c r="CN51" i="2"/>
  <c r="CL199" i="4" l="1"/>
  <c r="CM52" i="2"/>
  <c r="CN52" i="2"/>
  <c r="CO104" i="1"/>
  <c r="CO80" i="1"/>
  <c r="CO105" i="1" l="1"/>
  <c r="CO81" i="1"/>
  <c r="CO106" i="1" l="1"/>
  <c r="CO110" i="1" s="1"/>
  <c r="CO84" i="1"/>
  <c r="CO8" i="3" l="1"/>
  <c r="CO97" i="1"/>
  <c r="CO111" i="1"/>
  <c r="CO115" i="1"/>
  <c r="CO87" i="1"/>
  <c r="CO89" i="1"/>
  <c r="CO92" i="1"/>
  <c r="CO93" i="1" s="1"/>
  <c r="CO94" i="1" s="1"/>
  <c r="CO175" i="1"/>
  <c r="CO149" i="1"/>
  <c r="CO165" i="1"/>
  <c r="CO88" i="1" l="1"/>
  <c r="CO166" i="1"/>
  <c r="CO185" i="1"/>
  <c r="CO150" i="1"/>
  <c r="CO98" i="1"/>
  <c r="CO99" i="1" s="1"/>
  <c r="CO112" i="1"/>
  <c r="CO113" i="1" s="1"/>
  <c r="CO33" i="3"/>
  <c r="CO51" i="3" s="1"/>
  <c r="CO53" i="3" s="1"/>
  <c r="CO62" i="3"/>
  <c r="CO88" i="2" l="1"/>
  <c r="CO87" i="3"/>
  <c r="CO105" i="3" l="1"/>
  <c r="CO112" i="3"/>
  <c r="CO196" i="1"/>
  <c r="CO201" i="1" s="1"/>
  <c r="CO90" i="2"/>
  <c r="CO114" i="3" l="1"/>
  <c r="CO120" i="3"/>
  <c r="CP87" i="2"/>
  <c r="CO48" i="2"/>
  <c r="CO50" i="2" s="1"/>
  <c r="CO51" i="2" s="1"/>
  <c r="CO107" i="3"/>
  <c r="CO8" i="2" l="1"/>
  <c r="CP106" i="3"/>
  <c r="CO115" i="3"/>
  <c r="CO117" i="3"/>
  <c r="CO118" i="3" s="1"/>
  <c r="CO53" i="2" l="1"/>
  <c r="CO15" i="2"/>
  <c r="CO24" i="2" s="1"/>
  <c r="CN210" i="4"/>
  <c r="CN214" i="4" s="1"/>
  <c r="CP78" i="1"/>
  <c r="CO192" i="1"/>
  <c r="CO55" i="3"/>
  <c r="CN199" i="4" l="1"/>
  <c r="CO52" i="2"/>
  <c r="CP76" i="1"/>
  <c r="CP104" i="1" l="1"/>
  <c r="CP80" i="1"/>
  <c r="CP81" i="1" l="1"/>
  <c r="CP105" i="1"/>
  <c r="CP106" i="1" l="1"/>
  <c r="CP84" i="1"/>
  <c r="CP92" i="1" l="1"/>
  <c r="CP93" i="1" s="1"/>
  <c r="CP94" i="1" s="1"/>
  <c r="CP87" i="1"/>
  <c r="CP89" i="1"/>
  <c r="CP165" i="1"/>
  <c r="CP175" i="1"/>
  <c r="CP149" i="1"/>
  <c r="CP110" i="1"/>
  <c r="CP88" i="1" l="1"/>
  <c r="CP150" i="1"/>
  <c r="CP166" i="1"/>
  <c r="CP185" i="1"/>
  <c r="CP115" i="1"/>
  <c r="CP97" i="1"/>
  <c r="CP111" i="1"/>
  <c r="CP8" i="3"/>
  <c r="CP98" i="1" l="1"/>
  <c r="CP99" i="1" s="1"/>
  <c r="CP33" i="3"/>
  <c r="CP51" i="3" s="1"/>
  <c r="CP53" i="3" s="1"/>
  <c r="CP62" i="3"/>
  <c r="CP112" i="1"/>
  <c r="CP113" i="1" s="1"/>
  <c r="CP88" i="2" l="1"/>
  <c r="CP87" i="3"/>
  <c r="CP105" i="3" l="1"/>
  <c r="CP112" i="3"/>
  <c r="CP196" i="1"/>
  <c r="CP201" i="1" s="1"/>
  <c r="CP90" i="2"/>
  <c r="CP114" i="3" l="1"/>
  <c r="CP120" i="3"/>
  <c r="CP48" i="2"/>
  <c r="CP50" i="2" s="1"/>
  <c r="CP51" i="2" s="1"/>
  <c r="CQ87" i="2"/>
  <c r="CP107" i="3"/>
  <c r="CP8" i="2" l="1"/>
  <c r="CQ106" i="3"/>
  <c r="CP115" i="3"/>
  <c r="CP117" i="3"/>
  <c r="CP118" i="3" s="1"/>
  <c r="CP15" i="2" l="1"/>
  <c r="CP24" i="2" s="1"/>
  <c r="CP53" i="2"/>
  <c r="CO210" i="4"/>
  <c r="CO214" i="4" s="1"/>
  <c r="CQ78" i="1"/>
  <c r="CP192" i="1"/>
  <c r="CP55" i="3"/>
  <c r="CQ76" i="1" l="1"/>
  <c r="CO199" i="4"/>
  <c r="CP52" i="2"/>
  <c r="CQ104" i="1" l="1"/>
  <c r="CQ80" i="1"/>
  <c r="CQ81" i="1" l="1"/>
  <c r="CQ84" i="1" s="1"/>
  <c r="CQ105" i="1"/>
  <c r="CQ92" i="1" l="1"/>
  <c r="CQ93" i="1" s="1"/>
  <c r="CQ94" i="1" s="1"/>
  <c r="CQ87" i="1"/>
  <c r="CQ89" i="1"/>
  <c r="CQ165" i="1"/>
  <c r="CQ175" i="1"/>
  <c r="CQ149" i="1"/>
  <c r="CQ106" i="1"/>
  <c r="CQ88" i="1" l="1"/>
  <c r="CQ166" i="1"/>
  <c r="CQ150" i="1"/>
  <c r="CQ185" i="1"/>
  <c r="CQ110" i="1"/>
  <c r="CQ115" i="1" l="1"/>
  <c r="CQ97" i="1"/>
  <c r="CQ111" i="1"/>
  <c r="CQ8" i="3"/>
  <c r="CQ98" i="1" l="1"/>
  <c r="CQ99" i="1" s="1"/>
  <c r="CQ33" i="3"/>
  <c r="CQ51" i="3" s="1"/>
  <c r="CQ53" i="3" s="1"/>
  <c r="CQ62" i="3"/>
  <c r="CQ112" i="1"/>
  <c r="CQ113" i="1" s="1"/>
  <c r="CQ88" i="2" l="1"/>
  <c r="CQ87" i="3"/>
  <c r="CQ105" i="3" l="1"/>
  <c r="CQ112" i="3"/>
  <c r="CQ196" i="1"/>
  <c r="CQ201" i="1" s="1"/>
  <c r="CQ90" i="2"/>
  <c r="CQ114" i="3" l="1"/>
  <c r="CQ120" i="3"/>
  <c r="CQ48" i="2"/>
  <c r="CQ50" i="2" s="1"/>
  <c r="CQ51" i="2" s="1"/>
  <c r="CR87" i="2"/>
  <c r="CQ107" i="3"/>
  <c r="CQ8" i="2" l="1"/>
  <c r="CR106" i="3"/>
  <c r="CQ117" i="3"/>
  <c r="CQ118" i="3" s="1"/>
  <c r="CQ115" i="3"/>
  <c r="CQ15" i="2" l="1"/>
  <c r="CQ24" i="2" s="1"/>
  <c r="CQ53" i="2"/>
  <c r="CP210" i="4"/>
  <c r="CP214" i="4" s="1"/>
  <c r="CR78" i="1"/>
  <c r="CQ192" i="1"/>
  <c r="CQ55" i="3"/>
  <c r="CR76" i="1" l="1"/>
  <c r="CS78" i="1"/>
  <c r="CP199" i="4"/>
  <c r="CQ52" i="2"/>
  <c r="CR104" i="1" l="1"/>
  <c r="CR80" i="1"/>
  <c r="CS76" i="1"/>
  <c r="L31" i="447" s="1"/>
  <c r="CR81" i="1" l="1"/>
  <c r="CS81" i="1" s="1"/>
  <c r="CS80" i="1"/>
  <c r="CR105" i="1"/>
  <c r="CS104" i="1"/>
  <c r="CR84" i="1" l="1"/>
  <c r="CR149" i="1" s="1"/>
  <c r="CS82" i="1"/>
  <c r="CR106" i="1"/>
  <c r="CS106" i="1" s="1"/>
  <c r="CS105" i="1"/>
  <c r="CR110" i="1" l="1"/>
  <c r="CR115" i="1" s="1"/>
  <c r="CS115" i="1" s="1"/>
  <c r="CR92" i="1"/>
  <c r="CR93" i="1" s="1"/>
  <c r="CR94" i="1" s="1"/>
  <c r="CR89" i="1"/>
  <c r="CS89" i="1" s="1"/>
  <c r="CR87" i="1"/>
  <c r="CS84" i="1"/>
  <c r="CS149" i="1" s="1"/>
  <c r="CR175" i="1"/>
  <c r="CR165" i="1"/>
  <c r="CS107" i="1"/>
  <c r="L33" i="447"/>
  <c r="L35" i="447" s="1"/>
  <c r="L39" i="447" s="1"/>
  <c r="CS188" i="1"/>
  <c r="CS189" i="1" s="1"/>
  <c r="CS121" i="1"/>
  <c r="CR111" i="1" l="1"/>
  <c r="CR97" i="1"/>
  <c r="CR98" i="1" s="1"/>
  <c r="CR99" i="1" s="1"/>
  <c r="CR8" i="3"/>
  <c r="CS8" i="3" s="1"/>
  <c r="CS33" i="3" s="1"/>
  <c r="CS34" i="3" s="1"/>
  <c r="CS110" i="1"/>
  <c r="CS111" i="1" s="1"/>
  <c r="CR88" i="1"/>
  <c r="CS175" i="1"/>
  <c r="CR166" i="1"/>
  <c r="CR150" i="1"/>
  <c r="CS92" i="1"/>
  <c r="CS93" i="1" s="1"/>
  <c r="CS94" i="1" s="1"/>
  <c r="CR185" i="1"/>
  <c r="CS87" i="1"/>
  <c r="L47" i="447"/>
  <c r="N39" i="447"/>
  <c r="O39" i="447"/>
  <c r="CR33" i="3"/>
  <c r="CR51" i="3" s="1"/>
  <c r="CR112" i="1"/>
  <c r="CR113" i="1" s="1"/>
  <c r="CR62" i="3" l="1"/>
  <c r="CS62" i="3" s="1"/>
  <c r="CS87" i="3" s="1"/>
  <c r="CS112" i="1"/>
  <c r="CS113" i="1" s="1"/>
  <c r="CS97" i="1"/>
  <c r="CS98" i="1" s="1"/>
  <c r="CS99" i="1" s="1"/>
  <c r="CS150" i="1"/>
  <c r="CS88" i="1"/>
  <c r="CS51" i="3"/>
  <c r="CR53" i="3"/>
  <c r="CR88" i="2" l="1"/>
  <c r="CS88" i="2" s="1"/>
  <c r="CS90" i="2" s="1"/>
  <c r="CR87" i="3"/>
  <c r="CR112" i="3" s="1"/>
  <c r="CS53" i="3"/>
  <c r="CT52" i="3"/>
  <c r="CS88" i="3"/>
  <c r="CS112" i="3"/>
  <c r="CS196" i="1"/>
  <c r="CS201" i="1" s="1"/>
  <c r="CR90" i="2" l="1"/>
  <c r="CR48" i="2" s="1"/>
  <c r="CR105" i="3"/>
  <c r="CR107" i="3" s="1"/>
  <c r="CR8" i="2" s="1"/>
  <c r="CT186" i="1"/>
  <c r="CR196" i="1"/>
  <c r="CR201" i="1" s="1"/>
  <c r="CV186" i="1"/>
  <c r="CU186" i="1"/>
  <c r="CS114" i="3"/>
  <c r="CS120" i="3"/>
  <c r="CR114" i="3"/>
  <c r="CR120" i="3"/>
  <c r="CU52" i="3"/>
  <c r="CV52" i="3" s="1"/>
  <c r="CW52" i="3" s="1"/>
  <c r="CX52" i="3" s="1"/>
  <c r="CT106" i="3"/>
  <c r="CX106" i="3" s="1"/>
  <c r="CT87" i="2" l="1"/>
  <c r="CX87" i="2" s="1"/>
  <c r="CS105" i="3"/>
  <c r="CS107" i="3" s="1"/>
  <c r="CS48" i="2"/>
  <c r="CR50" i="2"/>
  <c r="CR117" i="3"/>
  <c r="CR118" i="3" s="1"/>
  <c r="CR115" i="3"/>
  <c r="CS115" i="3"/>
  <c r="CS117" i="3"/>
  <c r="CS118" i="3" s="1"/>
  <c r="L42" i="447"/>
  <c r="L43" i="447" s="1"/>
  <c r="CS8" i="2"/>
  <c r="CR53" i="2"/>
  <c r="CR15" i="2"/>
  <c r="CQ210" i="4"/>
  <c r="CQ214" i="4" s="1"/>
  <c r="CR192" i="1"/>
  <c r="CR55" i="3"/>
  <c r="CR24" i="2" l="1"/>
  <c r="CS15" i="2"/>
  <c r="CR210" i="4"/>
  <c r="CR214" i="4" s="1"/>
  <c r="CT78" i="1"/>
  <c r="L49" i="447"/>
  <c r="CS50" i="2"/>
  <c r="CR207" i="4" s="1"/>
  <c r="CR51" i="2"/>
  <c r="CT76" i="1" l="1"/>
  <c r="CR52" i="2"/>
  <c r="CS51" i="2"/>
  <c r="CS24" i="2"/>
  <c r="CR199" i="4" s="1"/>
  <c r="CQ199" i="4"/>
  <c r="CS52" i="2" l="1"/>
  <c r="CT104" i="1"/>
  <c r="CT80" i="1"/>
  <c r="CT81" i="1" l="1"/>
  <c r="CT105" i="1"/>
  <c r="CT106" i="1" l="1"/>
  <c r="CT84" i="1"/>
  <c r="CT110" i="1" l="1"/>
  <c r="CT92" i="1"/>
  <c r="CT93" i="1" s="1"/>
  <c r="CT94" i="1" s="1"/>
  <c r="CT87" i="1"/>
  <c r="CT89" i="1"/>
  <c r="CT175" i="1"/>
  <c r="CT149" i="1"/>
  <c r="CT165" i="1"/>
  <c r="CT8" i="3" l="1"/>
  <c r="CT115" i="1"/>
  <c r="CT112" i="1" s="1"/>
  <c r="CT113" i="1" s="1"/>
  <c r="CT97" i="1"/>
  <c r="CT111" i="1"/>
  <c r="CT88" i="1"/>
  <c r="CT150" i="1"/>
  <c r="CT166" i="1"/>
  <c r="CT185" i="1"/>
  <c r="CT98" i="1" l="1"/>
  <c r="CT99" i="1" s="1"/>
  <c r="CT33" i="3"/>
  <c r="CT51" i="3" s="1"/>
  <c r="CT53" i="3" s="1"/>
  <c r="CT62" i="3"/>
  <c r="CT88" i="2" l="1"/>
  <c r="CT87" i="3"/>
  <c r="CT105" i="3" l="1"/>
  <c r="CT112" i="3"/>
  <c r="CT196" i="1"/>
  <c r="CT201" i="1" s="1"/>
  <c r="CT90" i="2"/>
  <c r="CT114" i="3" l="1"/>
  <c r="CT120" i="3"/>
  <c r="CU87" i="2"/>
  <c r="CT48" i="2"/>
  <c r="CT50" i="2" s="1"/>
  <c r="CT51" i="2" s="1"/>
  <c r="CT107" i="3"/>
  <c r="CT8" i="2" l="1"/>
  <c r="CU106" i="3"/>
  <c r="CT115" i="3"/>
  <c r="CT117" i="3"/>
  <c r="CT118" i="3" s="1"/>
  <c r="CT15" i="2" l="1"/>
  <c r="CT24" i="2" s="1"/>
  <c r="CT53" i="2"/>
  <c r="CS210" i="4"/>
  <c r="CS214" i="4" s="1"/>
  <c r="CU78" i="1"/>
  <c r="CT192" i="1"/>
  <c r="CT55" i="3"/>
  <c r="CU76" i="1" l="1"/>
  <c r="CS199" i="4"/>
  <c r="CT52" i="2"/>
  <c r="CU104" i="1" l="1"/>
  <c r="CU80" i="1"/>
  <c r="CU81" i="1" l="1"/>
  <c r="CU84" i="1" s="1"/>
  <c r="CU105" i="1"/>
  <c r="CU106" i="1" l="1"/>
  <c r="CU110" i="1" s="1"/>
  <c r="CU92" i="1"/>
  <c r="CU93" i="1" s="1"/>
  <c r="CU94" i="1" s="1"/>
  <c r="CU87" i="1"/>
  <c r="CU89" i="1"/>
  <c r="CU165" i="1"/>
  <c r="CU175" i="1"/>
  <c r="CU149" i="1"/>
  <c r="CU97" i="1" l="1"/>
  <c r="CU111" i="1"/>
  <c r="CU115" i="1"/>
  <c r="CU8" i="3"/>
  <c r="CU88" i="1"/>
  <c r="CU150" i="1"/>
  <c r="CU166" i="1"/>
  <c r="CU185" i="1"/>
  <c r="CU33" i="3" l="1"/>
  <c r="CU51" i="3" s="1"/>
  <c r="CU53" i="3" s="1"/>
  <c r="CU62" i="3"/>
  <c r="CU98" i="1"/>
  <c r="CU99" i="1" s="1"/>
  <c r="CU112" i="1"/>
  <c r="CU113" i="1" s="1"/>
  <c r="CU88" i="2" l="1"/>
  <c r="CU87" i="3"/>
  <c r="CU105" i="3" l="1"/>
  <c r="CU112" i="3"/>
  <c r="CU196" i="1"/>
  <c r="CU201" i="1" s="1"/>
  <c r="CU90" i="2"/>
  <c r="CU114" i="3" l="1"/>
  <c r="CU120" i="3"/>
  <c r="CU48" i="2"/>
  <c r="CU50" i="2" s="1"/>
  <c r="CU51" i="2" s="1"/>
  <c r="CV87" i="2"/>
  <c r="CU107" i="3"/>
  <c r="CU8" i="2" l="1"/>
  <c r="CV106" i="3"/>
  <c r="CU117" i="3"/>
  <c r="CU118" i="3" s="1"/>
  <c r="CU115" i="3"/>
  <c r="CU15" i="2" l="1"/>
  <c r="CU24" i="2" s="1"/>
  <c r="CU53" i="2"/>
  <c r="CT210" i="4"/>
  <c r="CT214" i="4" s="1"/>
  <c r="CV78" i="1"/>
  <c r="CU192" i="1"/>
  <c r="CU55" i="3"/>
  <c r="CV76" i="1" l="1"/>
  <c r="CT199" i="4"/>
  <c r="CU52" i="2"/>
  <c r="CV104" i="1" l="1"/>
  <c r="CV80" i="1"/>
  <c r="CV81" i="1" l="1"/>
  <c r="CV84" i="1" s="1"/>
  <c r="CV105" i="1"/>
  <c r="CV87" i="1" l="1"/>
  <c r="CV89" i="1"/>
  <c r="CV92" i="1"/>
  <c r="CV93" i="1" s="1"/>
  <c r="CV94" i="1" s="1"/>
  <c r="CV149" i="1"/>
  <c r="CV165" i="1"/>
  <c r="CV175" i="1"/>
  <c r="CV106" i="1"/>
  <c r="CV110" i="1" l="1"/>
  <c r="CV88" i="1"/>
  <c r="CV166" i="1"/>
  <c r="CV150" i="1"/>
  <c r="CV185" i="1"/>
  <c r="CV97" i="1" l="1"/>
  <c r="CV111" i="1"/>
  <c r="CV115" i="1"/>
  <c r="CV8" i="3"/>
  <c r="CV112" i="1" l="1"/>
  <c r="CV113" i="1" s="1"/>
  <c r="CV33" i="3"/>
  <c r="CV51" i="3" s="1"/>
  <c r="CV53" i="3" s="1"/>
  <c r="CV62" i="3"/>
  <c r="CV98" i="1"/>
  <c r="CV99" i="1" s="1"/>
  <c r="CV88" i="2" l="1"/>
  <c r="CV87" i="3"/>
  <c r="CV105" i="3" l="1"/>
  <c r="CV112" i="3"/>
  <c r="CV196" i="1"/>
  <c r="CV201" i="1" s="1"/>
  <c r="CV90" i="2"/>
  <c r="CV114" i="3" l="1"/>
  <c r="CV120" i="3"/>
  <c r="CV48" i="2"/>
  <c r="CV50" i="2" s="1"/>
  <c r="CV51" i="2" s="1"/>
  <c r="CW87" i="2"/>
  <c r="CV107" i="3"/>
  <c r="CV8" i="2" l="1"/>
  <c r="CW106" i="3"/>
  <c r="CV117" i="3"/>
  <c r="CV118" i="3" s="1"/>
  <c r="CV115" i="3"/>
  <c r="CV15" i="2" l="1"/>
  <c r="CV24" i="2" s="1"/>
  <c r="CV53" i="2"/>
  <c r="CU210" i="4"/>
  <c r="CU214" i="4" s="1"/>
  <c r="CW78" i="1"/>
  <c r="CV192" i="1"/>
  <c r="CV55" i="3"/>
  <c r="CW76" i="1" l="1"/>
  <c r="CX78" i="1"/>
  <c r="CU199" i="4"/>
  <c r="CV52" i="2"/>
  <c r="CW104" i="1" l="1"/>
  <c r="CW80" i="1"/>
  <c r="CX76" i="1"/>
  <c r="CW81" i="1" l="1"/>
  <c r="CX81" i="1" s="1"/>
  <c r="CX80" i="1"/>
  <c r="CW105" i="1"/>
  <c r="CX104" i="1"/>
  <c r="CW84" i="1" l="1"/>
  <c r="CW89" i="1" s="1"/>
  <c r="CX89" i="1" s="1"/>
  <c r="CW106" i="1"/>
  <c r="CX106" i="1" s="1"/>
  <c r="CX105" i="1"/>
  <c r="CX82" i="1"/>
  <c r="CW110" i="1" l="1"/>
  <c r="CX110" i="1" s="1"/>
  <c r="CW87" i="1"/>
  <c r="CW150" i="1" s="1"/>
  <c r="CW149" i="1"/>
  <c r="CW92" i="1"/>
  <c r="CW93" i="1" s="1"/>
  <c r="CW94" i="1" s="1"/>
  <c r="CW175" i="1"/>
  <c r="CX84" i="1"/>
  <c r="CX175" i="1" s="1"/>
  <c r="CW165" i="1"/>
  <c r="CX188" i="1"/>
  <c r="CX189" i="1" s="1"/>
  <c r="CX121" i="1"/>
  <c r="CX107" i="1"/>
  <c r="CW115" i="1" l="1"/>
  <c r="CX115" i="1" s="1"/>
  <c r="CW111" i="1"/>
  <c r="CW97" i="1"/>
  <c r="CW98" i="1" s="1"/>
  <c r="CW99" i="1" s="1"/>
  <c r="CW8" i="3"/>
  <c r="CW33" i="3" s="1"/>
  <c r="CW51" i="3" s="1"/>
  <c r="CW166" i="1"/>
  <c r="CW88" i="1"/>
  <c r="CW185" i="1"/>
  <c r="CX92" i="1"/>
  <c r="CX93" i="1" s="1"/>
  <c r="CY93" i="1" s="1"/>
  <c r="CX149" i="1"/>
  <c r="CX87" i="1"/>
  <c r="CX88" i="1" s="1"/>
  <c r="CX111" i="1"/>
  <c r="CX94" i="1" l="1"/>
  <c r="CX8" i="3"/>
  <c r="CX33" i="3" s="1"/>
  <c r="CX34" i="3" s="1"/>
  <c r="CX97" i="1"/>
  <c r="CX98" i="1" s="1"/>
  <c r="CX99" i="1" s="1"/>
  <c r="CW62" i="3"/>
  <c r="CW87" i="3" s="1"/>
  <c r="CW112" i="1"/>
  <c r="CW113" i="1" s="1"/>
  <c r="CX112" i="1"/>
  <c r="CX113" i="1" s="1"/>
  <c r="CX150" i="1"/>
  <c r="CW53" i="3"/>
  <c r="CX51" i="3"/>
  <c r="CX62" i="3" l="1"/>
  <c r="CX87" i="3" s="1"/>
  <c r="CX196" i="1" s="1"/>
  <c r="CX201" i="1" s="1"/>
  <c r="CW88" i="2"/>
  <c r="CX88" i="2" s="1"/>
  <c r="CX90" i="2" s="1"/>
  <c r="CW105" i="3"/>
  <c r="CW112" i="3"/>
  <c r="CW196" i="1"/>
  <c r="CW201" i="1" s="1"/>
  <c r="CX53" i="3"/>
  <c r="CW90" i="2" l="1"/>
  <c r="CW48" i="2" s="1"/>
  <c r="CW50" i="2" s="1"/>
  <c r="CX112" i="3"/>
  <c r="CX120" i="3" s="1"/>
  <c r="CX88" i="3"/>
  <c r="CW114" i="3"/>
  <c r="CW120" i="3"/>
  <c r="CX114" i="3"/>
  <c r="CW107" i="3"/>
  <c r="CW8" i="2" s="1"/>
  <c r="CX105" i="3"/>
  <c r="CX107" i="3" s="1"/>
  <c r="CX48" i="2" l="1"/>
  <c r="CX50" i="2"/>
  <c r="CW207" i="4" s="1"/>
  <c r="CW51" i="2"/>
  <c r="CW115" i="3"/>
  <c r="CW117" i="3"/>
  <c r="CW118" i="3" s="1"/>
  <c r="CX115" i="3"/>
  <c r="CX117" i="3"/>
  <c r="CX118" i="3" s="1"/>
  <c r="CW53" i="2"/>
  <c r="CX8" i="2"/>
  <c r="CW210" i="4" s="1"/>
  <c r="CW214" i="4" s="1"/>
  <c r="CW15" i="2"/>
  <c r="CV210" i="4"/>
  <c r="CV214" i="4" s="1"/>
  <c r="CW192" i="1"/>
  <c r="CW55" i="3"/>
  <c r="CX15" i="2" l="1"/>
  <c r="CW24" i="2"/>
  <c r="CX51" i="2"/>
  <c r="CX24" i="2" l="1"/>
  <c r="CW199" i="4" s="1"/>
  <c r="CV199" i="4"/>
  <c r="CW52" i="2"/>
  <c r="CX52" i="2" l="1"/>
  <c r="BY93" i="4" l="1"/>
  <c r="BZ93" i="4"/>
  <c r="CA93" i="4"/>
  <c r="CA97" i="4" s="1"/>
  <c r="CA98" i="4" s="1"/>
  <c r="CB93" i="4"/>
  <c r="BY97" i="4"/>
  <c r="BZ97" i="4"/>
  <c r="CB97" i="4"/>
  <c r="BY98" i="4"/>
  <c r="BZ98" i="4"/>
  <c r="CB98" i="4"/>
  <c r="CC97" i="4" l="1"/>
  <c r="CC98" i="4" s="1"/>
</calcChain>
</file>

<file path=xl/comments1.xml><?xml version="1.0" encoding="utf-8"?>
<comments xmlns="http://schemas.openxmlformats.org/spreadsheetml/2006/main">
  <authors>
    <author>nitdok</author>
  </authors>
  <commentList>
    <comment ref="A1" authorId="0">
      <text>
        <r>
          <rPr>
            <b/>
            <sz val="8"/>
            <color indexed="81"/>
            <rFont val="Tahoma"/>
            <family val="2"/>
          </rPr>
          <t>卟䙄_x0001_＀＀䟟_x0017_瑣獸灞灟楲散 ⼱㤰㈯〰찶_x0018_＀＀_x0018_＀＀_x0008_＀＀_x0001_＀＀_x0001_＀＀凬Ẹ䀽䟟_x0017_瑣獸灞灟楲散 ⼷ㄲ㈯〰찶_x0018_＀＀_x0018_＀＀_x0008_＀＀_x0001_＀＀_x0001_＀＀＀＀＀＀＀＀䀿䟟%摡敢偞偟䥒䕃䅟䝖㌨〯⼱〲㄰㔬㌯⼱〲㄰착_x0018_＀＀_x0018_＀＀_x0008_＀＀_x0001_＀＀_x0001_＀＀묛죖䀲䟟_x0017_䑁䕂晞灟楲散 ⼶ㄲ㈯〰찷_x0018_＀＀_x0018_＀＀_x0008_＀＀_x0001_＀＀_x0001_＀＀炤਽쏗䁄䟟_x0017_瑣獸灞灟楲散 ⼶㌱㈯〰찶_x0018_＀＀_x0018_＀＀_x0008_＀＀_x0001_＀＀_x0001_＀＀䞮竡且䁁䟟_x0017_瑣獸灞灟楲散 ⼲㈲㈯〰찶_x0018_＀＀_x0018_＀＀_x0008_＀＀_x0001_＀＀_x0001_＀＀⣶轜痂䀿䟟_x0017_䑁䕂晞灟楲散 ⼶㔱㈯〰찷_x0018_＀＀_x0018_＀＀_x0008_＀＀_x0001_＀＀_x0001_＀＀＀＀＀＀怀䁅䟟_x0017_瑣獸灞灟楲散 ⼱〲㈯〰찶_x0018_＀＀_x0018_＀＀_x0008_＀＀_x0001_＀＀_x0001_＀＀㵱휊낣䀿䟟_x0017_瑣獸灞灟楲散 ⼲㘱㈯〰찶_x0018_＀＀_x0018_＀＀_x0008_＀＀_x0001_＀＀_x0001_＀＀尩슏ꣵ䀿䟟&amp;摡敢偞偟䥒䕃䅟䝖㤨〯⼱〲㈰ㄬ⼱〳㈯〰⤲_x0018_＀＀_x0018_＀＀_x0008_＀＀_x0001_＀＀_x0001_＀＀䘛ﻸ䀦䟟&amp;摡敢偞偟䥒䕃䅟䝖㤨〯⼱〲㘰ㄬ⼱〳㈯〰⤶_x0018_＀＀_x0018_＀＀_x0008_＀＀_x0001_＀＀_x0001_＀＀뒎_xDE54_䁂䟟&amp;摡敢偞偟䥒䕃䅟䝖ㄨ⼲㄰㈯〰ⰰ⼲㠲㈯〰⤱_x0018_＀＀_x0018_＀＀_x0008_＀＀_x0001_＀＀_x0001_＀＀ꡙ촵︻䀹䟟_x0017_瑣獸灞灟楲散 ⼸㈲㈯〰찶_x0018_＀＀_x0018_＀＀_x0008_＀＀_x0001_＀＀_x0001_＀＀슐⣵ཛྷ䀿䟟_x0017_瑣獸灞灟楲散 ⼹㠱㈯〰찶_x0018_＀＀_x0018_＀＀_x0008_＀＀_x0001_＀＀_x0001_＀＀쳍쳌䳌䁁䟟_x0017_瑣獸灞灟楲散 ⼸㘱㈯〰찶_x0018_＀＀_x0018_＀＀_x0008_＀＀_x0001_＀＀_x0001_＀＀䞮竡⸔䀿䟟_x0017_瑣獸灞灟楲散 ⼴㔲㈯〰찶_x0018_＀＀_x0018_＀＀_x0008_＀＀_x0001_＀＀_x0001_＀＀긕ᑺ䁄䟟_x0017_瑣獸灞灟楲散 ⼸㄰㈯〰찶_x0018_＀＀_x0018_＀＀_x0008_＀＀_x0001_＀＀_x0001_＀＀ᑺ잮䀾䟟_x0017_瑣獸灞灟楲散 ⼳㌲㈯〰찶_x0018_＀＀_x0018_＀＀_x0008_＀＀_x0001_＀＀_x0001_＀＀㵱휊䁁㘦䣐$摡敢偞偟䥒䕃䅟䝖㘨ㄯ㈯〰ⰷ⼸〳㈯〰⤸_x0018_＀＀_x0018_＀＀_x0008_＀＀_x0001_＀＀_x0001_＀＀_xDCF1_롻哤䁄䟟_x0017_瑣獸灞灟楲散 ⼴㤱㈯〰찶_x0018_＀＀_x0018_＀＀_x0008_＀＀_x0001_＀＀_x0001_＀＀㵱휊炣䁃䟟_x0016_䩄幉彦牰捩ť㈱ㄯ⼴〲㜰_x0018_＀＀_x0018_＀＀_x0008_＀＀_x0001_＀＀_x0001_＀＀쳍쳌෬䃊䟟_x0017_瑣獸灞灟楲散 ⼳㈰㈯〰찶_x0018_＀＀_x0018_＀＀_x0008_＀＀_x0001_＀＀_x0001_＀＀凬Ẹ殅䁀䟟_x0017_瑣獸灞灟楲散 ⼶㠲㈯〰찶_x0018_＀＀_x0018_＀＀_x0008_＀＀_x0001_＀＀_x0001_＀＀롑씞䁂䟟_x0017_瑣獸灞灟楲散 ⼵㘲㈯〰찶_x0018_＀＀_x0018_＀＀_x0008_＀＀_x0001_＀＀_x0001_＀＀凬Ẹ䮅䁃䟟_x0017_瑣獸灞灟楲散 ⼵ㄱ㈯〰찶_x0018_＀＀_x0018_＀＀_x0008_＀＀_x0001_＀＀_x0001_＀＀긕鑺䁄䟟_x0017_瑣獸灞灟楲散 ⼶㜰㈯〰찶_x0018_＀＀_x0018_＀＀_x0008_＀＀_x0001_＀＀_x0001_＀＀쳍쳌ೌ䁂䟟_x0017_瑣獸灞灟楲散 ⼵㔰㈯〰찶_x0018_＀＀_x0018_＀＀_x0008_＀＀_x0001_＀＀_x0001_＀＀䞮竡츔䁅䟟_x0017_瑣獸灞灟楲散 ⼴㌰㈯〰찶_x0018_＀＀_x0018_＀＀_x0008_＀＀_x0001_＀＀_x0001_＀＀⣶轜ᗂ䁃䟟_x0017_瑣獸灞灟楲散 ⼷〲㈯〰찶_x0018_＀＀_x0018_＀＀_x0008_＀＀_x0001_＀＀_x0001_＀＀Ẹ䀽䟟_x0016_䩄幉彦牰捩ť㘠ㄯ⼹〲㜰_x0018_＀＀_x0018_＀＀_x0008_＀＀_x0001_＀＀_x0001_＀＀尩슏ꆵ䃊䟟_x0017_瑣獸灞灟楲散 ⼷㐱㈯〰찶_x0018_＀＀_x0018_＀＀_x0008_＀＀_x0001_＀＀_x0001_＀＀馚香妙䁁䟟_x0017_摡敢偞偟楲散 ⼶㄰㈯〰찳_x0018_＀＀_x0018_＀＀_x0008_＀＀_x0001_＀＀_x0001_＀＀尩슏ꣵ䀱䟟_x0017_䑁䕂晞灟楲散 ⼶〲㈯〰찷_x0018_＀＀_x0018_＀＀_x0008_＀＀_x0001_＀＀_x0001_＀＀슏⣵꽜䁄䟟_x0017_摡敢偞偟楲散 ⼶㄰㈯〰찴_x0018_＀＀_x0018_＀＀_x0008_＀＀_x0001_＀＀_x0001_＀＀⣶轜痂䀶䟟_x0017_瑣獸灞灟楲散 ⼶㈱㈯〰찶_x0018_＀＀_x0018_＀＀_x0008_＀＀_x0001_＀＀_x0001_＀＀蔟凫庸䁁䟟_x0017_瑣獸灞灟楲散 ⼲ㄲ㈯〰찶_x0018_＀＀_x0018_＀＀_x0008_＀＀_x0001_＀＀_x0001_＀＀㌴㌳댳䀾䟟_x0017_瑣獸灞灟楲散 ⼳㜱㈯〰찶_x0018_＀＀_x0018_＀＀_x0008_＀＀_x0001_＀＀_x0001_＀＀⣶轜䁁䟟_x0017_䑁䕂晞灟楲散 ⼶㐱㈯〰찷_x0018_＀＀_x0018_＀＀_x0008_＀＀_x0001_＀＀_x0001_＀＀ᑻ䞮﫡䁅䟟_x0017_瑣獸灞灟楲散 ⼲㔱㈯〰찶_x0018_＀＀_x0018_＀＀_x0008_＀＀_x0001_＀＀_x0001_＀＀晧晦Ꙧ䀾䟟_x0017_䑁䕂晞灟楲散㄁⼲㐲㈯〰찷_x0018_＀＀_x0018_＀＀_x0008_＀＀_x0001_＀＀_x0001_＀＀凬Ẹ殅䁅䟟%摡敢偞偟䥒䕃䅟䝖㘨〯⼱〲㌰㠬㌯⼱〲㌰착_x0018_＀＀_x0018_＀＀_x0008_＀＀_x0001_＀＀_x0001_＀＀뀌亏ᥝ䀱䟟_x0017_瑣獸灞灟楲散 ⼲㤰㈯〰찶_x0018_＀＀_x0018_＀＀_x0008_＀＀_x0001_＀＀_x0001_＀＀롒蔞ᇫ䀿䟟_x0017_䑁䕂晞灟楲散㄁⼲㠱㈯〰찷_x0018_＀＀_x0018_＀＀_x0008_＀＀_x0001_＀＀_x0001_＀＀炤਽ϗ䁅䟟_x0017_摡敢偞偟楲散㄁⼰㄰㈯〰찳_x0018_＀＀_x0018_＀＀_x0008_＀＀_x0001_＀＀_x0001_＀＀晧晦䀳䟟_x0017_瑣獸灞灟楲散 ⼸ㄲ㈯〰찶_x0018_＀＀_x0018_＀＀_x0008_＀＀_x0001_＀＀_x0001_＀＀ਾꏗ絰䀿䟟_x0017_摡敢偞偟楲散㄁⼰㄰㈯〰찴_x0018_＀＀_x0018_＀＀_x0008_＀＀_x0001_＀＀_x0001_＀＀蔟凫ﺸ䀸䟟_x0017_瑣獸灞灟楲散 ⼸㔱㈯〰찶_x0018_＀＀_x0018_＀＀_x0008_＀＀_x0001_＀＀_x0001_＀＀롒蔞凫䀾䟟_x0017_瑣獸灞灟楲散 ⼴㐲㈯〰찶_x0018_＀＀_x0018_＀＀_x0008_＀＀_x0001_＀＀_x0001_＀＀ꏗ㵰㜊䁄䟟_x0017_瑣獸灞灟楲散 ⼳㈲㈯〰찶_x0018_＀＀_x0018_＀＀_x0008_＀＀_x0001_＀＀_x0001_＀＀ᑺꞮ䁁䟟_x0017_瑣獸灞灟楲散 ⼴㠱㈯〰찶_x0018_＀＀_x0018_＀＀_x0008_＀＀_x0001_＀＀_x0001_＀＀슏⣵⽜䁃䟟_x0016_䩄幉彦牰捩ť㈱ㄯ⼳〲㜰_x0018_＀＀_x0018_＀＀_x0008_＀＀_x0001_＀＀_x0001_＀＀긕曺䃊䟟_x0017_瑣獸灞灟楲散 ⼳㄰㈯〰찶_x0018_＀＀_x0018_＀＀_x0008_＀＀_x0001_＀＀_x0001_＀＀尩슏棵䁀䟟_x0016_䩄幉彦牰捩ť㤠ㄯ⼴〲㜰_x0018_＀＀_x0018_＀＀_x0008_＀＀_x0001_＀＀_x0001_＀＀⣶轜䅂䃊䟟_x0017_瑣獸灞灟楲散 ⼵ㄳ㈯〰찶_x0018_＀＀_x0018_＀＀_x0008_＀＀_x0001_＀＀_x0001_＀＀휊炣쨽䁂䟟_x0017_瑣獸灞灟楲散 ⼶㜲㈯〰찶_x0018_＀＀_x0018_＀＀_x0008_＀＀_x0001_＀＀_x0001_＀＀ᑺꞮ䁂䟟_x0017_瑣獸灞灟楲散 ⼵㔲㈯〰찶_x0018_＀＀_x0018_＀＀_x0008_＀＀_x0001_＀＀_x0001_＀＀晧晦Ꙧ䁃䟟%摡敢偞偟䥒䕃䅟䝖㌨〯⼱〲㐰㔬㌯⼱〲㐰착_x0018_＀＀_x0018_＀＀_x0008_＀＀_x0001_＀＀_x0001_＀＀ᑺ瞮䀴➧䡐_x0017_䑁䕂䍞彑䅃䡓〨Ⱜ∬㍒∶착_x0018_＀＀_x0018_＀＀_x0008_＀＀_x0001_＀＀_x0001_＀＀탦_xDB22_쳹䂚䟟_x0017_瑣獸灞灟楲散 ⼹㄰㈯〰찶_x0018_＀＀_x0018_＀＀_x0008_＀＀_x0001_＀＀_x0001_＀＀褷恁烥䀾䟟_x0017_瑣獸灞灟楲散 ⼵〱㈯〰찶_x0018_＀＀_x0018_＀＀_x0008_＀＀_x0001_＀＀_x0001_＀＀＀＀＀＀쀀䁅䟟_x0017_瑣獸灞灟楲散 ⼶㘰㈯〰찶_x0018_＀＀_x0018_＀＀_x0008_＀＀_x0001_＀＀_x0001_＀＀凬Ẹ⮅䁂䟟_x0017_瑣獸灞灟楲散 ⼵㐰㈯〰찶_x0018_＀＀_x0018_＀＀_x0008_＀＀_x0001_＀＀_x0001_＀＀馚香妙䁅䟟_x0017_瑣獸灞灟楲散 ⼱㌱㈯〰찶_x0018_＀＀_x0018_＀＀_x0008_＀＀_x0001_＀＀_x0001_＀＀슐⣵轜䀾䟟&amp;摡敢偞偟䥒䕃䅟䝖ㄨ⼲㄰㈯〰ⰳ⼲㠲㈯〰⤴_x0018_＀＀_x0018_＀＀_x0008_＀＀_x0001_＀＀_x0001_＀＀㳉߲圃䀳䟟_x0017_瑣獸灞灟楲散㄁⼰㈱㈯〰찶_x0018_＀＀_x0018_＀＀_x0008_＀＀_x0001_＀＀_x0001_＀＀ᑺ䞮䁁䟟_x0017_瑣獸灞灟楲散 ⼷㠲㈯〰찶_x0018_＀＀_x0018_＀＀_x0008_＀＀_x0001_＀＀_x0001_＀＀轜鰨䀿䟟_x0017_瑣獸灞灟楲散㄁⼰㘰㈯〰찶_x0018_＀＀_x0018_＀＀_x0008_＀＀_x0001_＀＀_x0001_＀＀尨抏䁁䟟_x0017_瑣獸灞灟楲散 ⼷㌱㈯〰찶_x0018_＀＀_x0018_＀＀_x0008_＀＀_x0001_＀＀_x0001_＀＀Ẹ硑䁁䟟_x0017_瑣獸灞灟楲散 ⼸㤰㈯〰찶_x0018_＀＀_x0018_＀＀_x0008_＀＀_x0001_＀＀_x0001_＀＀⣶轜䀼䟟_x0017_瑣獸灞灟楲散 ⼲〲㈯〰찶_x0018_＀＀_x0018_＀＀_x0008_＀＀_x0001_＀＀_x0001_＀＀晧晦晦䀿䟟_x0017_瑣獸灞灟楲散 ⼷㜰㈯〰찶_x0018_＀＀_x0018_＀＀_x0008_＀＀_x0001_＀＀_x0001_＀＀竡긔䁂䟟_x0017_瑣獸灞灟楲散 ⼳㘱㈯〰찶_x0018_＀＀_x0018_＀＀_x0008_＀＀_x0001_＀＀_x0001_＀＀竡긔ꅇ䁁䟟_x0017_䑁䕂晞灟楲散 ⼶㌱㈯〰찷_x0018_＀＀_x0018_＀＀_x0008_＀＀_x0001_＀＀_x0001_＀＀䞮竡ด䁆䟟_x0017_瑣獸灞灟楲散 ⼲㐱㈯〰찶_x0018_＀＀_x0018_＀＀_x0008_＀＀_x0001_＀＀_x0001_＀＀＀＀＀＀＀＀䀾䟟_x0017_摡敢偞偟楲散 ⼱㄰㈯〰찳_x0018_＀＀_x0018_＀＀_x0008_＀＀_x0001_＀＀_x0001_＀＀ᢔ嘄촎䀨䟟_x0017_摡敢偞偟楲散 ⼱㄰㈯〰찴_x0018_＀＀_x0018_＀＀_x0008_＀＀_x0001_＀＀_x0001_＀＀휊炣訽䀳䟟&amp;摡敢偞偟䥒䕃䅟䝖ㄨ⼲⼱〲㄰ㄬ⼱〳㈯〰⤲_x0018_＀＀_x0018_＀＀_x0008_＀＀_x0001_＀＀_x0001_＀＀愰⬴柛䀮䟟_x0017_瑣獸灞灟楲散 ⼹㈲㈯〰찶_x0018_＀＀_x0018_＀＀_x0008_＀＀_x0001_＀＀_x0001_＀＀슏⣵콜䁁䟟_x0017_瑣獸灞灟楲散 ⼲㠰㈯〰찶_x0018_＀＀_x0018_＀＀_x0008_＀＀_x0001_＀＀_x0001_＀＀䞮竡긔䀾䟟_x0017_䑁䕂晞灟楲散㄁⼲㜱㈯〰찷_x0018_＀＀_x0018_＀＀_x0008_＀＀_x0001_＀＀_x0001_＀＀㌴㌳猳䁄䟟_x0017_䑁䕂晞灟楲散 ⼹㐲㈯〰찷_x0018_＀＀_x0018_＀＀_x0008_＀＀_x0001_＀＀_x0001_＀＀＀＀＀＀쀀䁄䟟%摡敢偞偟䥒䕃䅟䝖㘨〯⼱〲㘰㠬㌯⼱〲㘰착_x0018_＀＀_x0018_＀＀_x0008_＀＀_x0001_＀＀_x0001_＀＀됥峥⎊䀾䟟_x0017_䑁䕂晞灟楲散 ⼹㠱㈯〰찷_x0018_＀＀_x0018_＀＀_x0008_＀＀_x0001_＀＀_x0001_＀＀ᑻ䞮_xDAE1_䁅䟟_x0017_瑣獸灞灟楲散 ⼸㐱㈯〰찶_x0018_＀＀_x0018_＀＀_x0008_＀＀_x0001_＀＀_x0001_＀＀㵱휊낣䀼䟟_x0017_摡敢偞偟楲散 ⼷㄰㈯〰찳_x0018_＀＀_x0018_＀＀_x0008_＀＀_x0001_＀＀_x0001_＀＀尩슏棵䀰䟟_x0017_瑣獸灞灟楲散 ⼵㤱㈯〰찶_x0018_＀＀_x0018_＀＀_x0008_＀＀_x0001_＀＀_x0001_＀＀馚香蓮䁃䟟_x0017_摡敢偞偟楲散 ⼷㄰㈯〰찴_x0018_＀＀_x0018_＀＀_x0008_＀＀_x0001_＀＀_x0001_＀＀㌳㌳䀶䟟_x0017_瑣獸灞灟楲散 ⼳ㄲ㈯〰찶_x0018_＀＀_x0018_＀＀_x0008_＀＀_x0001_＀＀_x0001_＀＀ਾꏗ絰䁁䟟_x0017_瑣獸灞灟楲散 ⼴㜱㈯〰찶_x0018_＀＀_x0018_＀＀_x0008_＀＀_x0001_＀＀_x0001_＀＀롒蔞䁂䟟_x0016_䩄幉彦牰捩ť㈱ㄯ⼲〲㜰_x0018_＀＀_x0018_＀＀_x0008_＀＀_x0001_＀＀_x0001_＀＀㌴㌳僳䃊䟟_x0016_䩄幉彦牰捩ť㤠ㄯ⼳〲㜰_x0018_＀＀_x0018_＀＀_x0008_＀＀_x0001_＀＀_x0001_＀＀ਾꏗ㡰䃊䟟_x0016_䩄幉彦牰捩ť㘠ㄯ⼸〲㜰_x0018_＀＀_x0018_＀＀_x0008_＀＀_x0001_＀＀_x0001_＀＀휊炣陽䃊䟟_x0017_瑣獸灞灟楲散 ⼵〳㈯〰찶_x0018_＀＀_x0018_＀＀_x0008_＀＀_x0001_＀＀_x0001_＀＀슏⣵꽜䁂䟟_x0017_瑣獸灞灟楲散 ⼶㘲㈯〰찶_x0018_＀＀_x0018_＀＀_x0008_＀＀_x0001_＀＀_x0001_＀＀ᑻ䞮뫡䁂䟟_x0017_瑣獸灞灟楲散 ⼵㐲㈯〰찶_x0018_＀＀_x0018_＀＀_x0008_＀＀_x0001_＀＀_x0001_＀＀晧晦虦䁃䟟_x0017_瑣獸灞灟楲散 ⼶㔰㈯〰찶_x0018_＀＀_x0018_＀＀_x0008_＀＀_x0001_＀＀_x0001_＀＀尨芏䁂䟟_x0017_瑣獸灞灟楲散 ⼱㜲㈯〰찶_x0018_＀＀_x0018_＀＀_x0008_＀＀_x0001_＀＀_x0001_＀＀ẹ硑䀿䟟_x0017_瑣獸灞灟楲散 ⼵㌰㈯〰찶_x0018_＀＀_x0018_＀＀_x0008_＀＀_x0001_＀＀_x0001_＀＀Ẹ_xD851_䁄䟟_x0017_瑣獸灞灟楲散 ⼱㈱㈯〰찶_x0018_＀＀_x0018_＀＀_x0008_＀＀_x0001_＀＀_x0001_＀＀轜尨䀾䟟%摡敢偞偟䥒䕃䅟䝖㌨〯⼱〲㜰㔬㌯⼱〲㜰착_x0018_＀＀_x0018_＀＀_x0008_＀＀_x0001_＀＀_x0001_＀＀ץ폘䁄䟟_x0017_瑣獸灞灟楲散 ⼱㘰㈯〰찶_x0018_＀＀_x0018_＀＀_x0008_＀＀_x0001_＀＀_x0001_＀＀竡긔ⅇ䀾䟟_x0017_瑣獸灞灟楲散㄁⼰ㄱ㈯〰찶_x0018_＀＀_x0018_＀＀_x0008_＀＀_x0001_＀＀_x0001_＀＀㵱휊䁀䟟_x0017_瑣獸灞灟楲散 ⼸㤲㈯〰찶_x0018_＀＀_x0018_＀＀_x0008_＀＀_x0001_＀＀_x0001_＀＀晧晦晦䀾䟟_x0017_瑣獸灞灟楲散 ⼷㜲㈯〰찶_x0018_＀＀_x0018_＀＀_x0008_＀＀_x0001_＀＀_x0001_＀＀ẹ㡑䀿䟟_x0017_瑣獸灞灟楲散㄁⼰㔰㈯〰찶_x0018_＀＀_x0018_＀＀_x0008_＀＀_x0001_＀＀_x0001_＀＀긕瑺䁁䟟_x0017_瑣獸灞灟楲散 ⼷㈱㈯〰찶_x0018_＀＀_x0018_＀＀_x0008_＀＀_x0001_＀＀_x0001_＀＀휊炣䨽䁁䟟&amp;摡敢偞偟䥒䕃䅟䝖ㄨ⼲㄰㈯〰ⰶ⼲㠲㈯〰⤷_x0018_＀＀_x0018_＀＀_x0008_＀＀_x0001_＀＀_x0001_＀＀쥰_xDB71_䁃䟟_x0017_瑣獸灞灟楲散 ⼸㠰㈯〰찶_x0018_＀＀_x0018_＀＀_x0008_＀＀_x0001_＀＀_x0001_＀＀휊炣਽䀾䟟_x0017_瑣獸灞灟楲散 ⼷㘰㈯〰찶_x0018_＀＀_x0018_＀＀_x0008_＀＀_x0001_＀＀_x0001_＀＀尩슏裵䁃䟟_x0017_瑣獸灞灟楲散 ⼳㔱㈯〰찶_x0018_＀＀_x0018_＀＀_x0008_＀＀_x0001_＀＀_x0001_＀＀蔟凫纸䁁䟟_x0017_瑣獸灞灟楲散 ⼲㌱㈯〰찶_x0018_＀＀_x0018_＀＀_x0008_＀＀_x0001_＀＀_x0001_＀＀ꏗ㵰圊䀾䟟_x0017_瑣獸灞灟楲散 ⼳㤰㈯〰찶_x0018_＀＀_x0018_＀＀_x0008_＀＀_x0001_＀＀_x0001_＀＀⣶轜ᗂ䁀䟟_x0017_摡敢偞偟楲散㄁⼱㄰㈯〰찳_x0018_＀＀_x0018_＀＀_x0008_＀＀_x0001_＀＀_x0001_＀＀竡긔䀵䟟_x0017_瑣獸灞灟楲散 ⼹ㄲ㈯〰찶_x0018_＀＀_x0018_＀＀_x0008_＀＀_x0001_＀＀_x0001_＀＀轜ﰨ䁁䟟_x0017_瑣獸灞灟楲散 ⼲㜰㈯〰찶_x0018_＀＀_x0018_＀＀_x0008_＀＀_x0001_＀＀_x0001_＀＀긕ᑺ䀾䟟_x0017_摡敢偞偟楲散㄁⼱㄰㈯〰찴_x0018_＀＀_x0018_＀＀_x0008_＀＀_x0001_＀＀_x0001_＀＀凬Ẹ⮅䀼䢿䥈%摡敢偞偟䥒䕃䅟䝖㤨ㄯ㈯〰ⰸㄱ㌯⼰〲㠰착_x0018_＀＀_x0018_＀＀_x0008_＀＀_x0001_＀＀_x0001_＀＀蒢뚙ൿ䀿䟟_x0017_瑣獸灞灟楲散 ⼹㔱㈯〰찶_x0018_＀＀_x0018_＀＀_x0008_＀＀_x0001_＀＀_x0001_＀＀롑┞䁁䟟_x0017_䑁䕂晞灟楲散 ⼹㜱㈯〰찷_x0018_＀＀_x0018_＀＀_x0008_＀＀_x0001_＀＀_x0001_＀＀ᑺ螮䁅䟟_x0017_瑣獸灞灟楲散 ⼵㠱㈯〰찶_x0018_＀＀_x0018_＀＀_x0008_＀＀_x0001_＀＀_x0001_＀＀轜鰨䁃䟟_x0017_瑣獸灞灟楲散 ⼳〲㈯〰찶_x0018_＀＀_x0018_＀＀_x0008_＀＀_x0001_＀＀_x0001_＀＀ᑺ䁁䟟_x0016_䩄幉彦牰捩ť㤠ㄯ⼲〲㜰_x0018_＀＀_x0018_＀＀_x0008_＀＀_x0001_＀＀_x0001_＀＀㌳㌳䃉䟟_x0016_摡敢偞偟䥒䕃ㄨ⼱〳〯⤱_x0018_＀＀_x0018_＀＀_x0008_＀＀_x0001_＀＀_x0001_＀＀휊炣਽䀰䟟_x0017_瑣獸灞灟楲散 ⼵㌲㈯〰찶_x0018_＀＀_x0018_＀＀_x0008_＀＀_x0001_＀＀_x0001_＀＀＀＀＀＀耀䁃䟟_x0017_瑣獸灞灟楲散 ⼶㤱㈯〰찶_x0018_＀＀_x0018_＀＀_x0008_＀＀_x0001_＀＀_x0001_＀＀䞮竡⸔䁂䟟_x0017_瑣獸灞灟楲散 ⼲㠲㈯〰찶_x0018_＀＀_x0018_＀＀_x0008_＀＀_x0001_＀＀_x0001_＀＀䞮竡⸔䁀䟟_x0017_瑣獸灞灟楲散 ⼱㘲㈯〰찶_x0018_＀＀_x0018_＀＀_x0008_＀＀_x0001_＀＀_x0001_＀＀쳍쳌䳌䀿築䟶%摡敢偞偟䥒䕃䅟䝖ㄨ⼲⼱〲㜰㈬㈯⼹〲㠰착_x0018_＀＀_x0018_＀＀_x0008_＀＀_x0001_＀＀_x0001_＀＀ⲑɠ⪷䁃䟟_x0017_瑣獸灞灟楲散 ⼵㈰㈯〰찶_x0018_＀＀_x0018_＀＀_x0008_＀＀_x0001_＀＀_x0001_＀＀⣶轜嗂䁄䟟_x0017_瑣獸灞灟楲散 ⼱ㄱ㈯〰찶_x0018_＀＀_x0018_＀＀_x0008_＀＀_x0001_＀＀_x0001_＀＀긕鑺䀽䟟%摡敢偞偟䥒䕃䅟䝖㘨〯⼱〲㈰㠬㌯⼱〲㈰착_x0018_＀＀_x0018_＀＀_x0008_＀＀_x0001_＀＀_x0001_＀＀᫣즟駾䀩ﴘ䡖$摡敢偞偟䥒䕃䅟䝖㌨ㄯ㈯〰ⰷ⼵〳㈯〰⤸_x0018_＀＀_x0018_＀＀_x0008_＀＀_x0001_＀＀_x0001_＀＀㥙좴䩶䁄䟟_x0016_䩄幉彦牰捩ť㘠㈯⼲〲㜰_x0018_＀＀_x0018_＀＀_x0008_＀＀_x0001_＀＀_x0001_＀＀ᑻ䞮ᠡ䃊䟟_x0017_瑣獸灞灟楲散 ⼱㔰㈯〰찶_x0018_＀＀_x0018_＀＀_x0008_＀＀_x0001_＀＀_x0001_＀＀⣶轜䀽䟟_x0017_瑣獸灞灟楲散㄁⼰〱㈯〰찶_x0018_＀＀_x0018_＀＀_x0008_＀＀_x0001_＀＀_x0001_＀＀쳍쳌쳌䁀䟟_x0017_瑣獸灞灟楲散 ⼸㠲㈯〰찶_x0018_＀＀_x0018_＀＀_x0008_＀＀_x0001_＀＀_x0001_＀＀⣶轜뗂䀾䟟_x0017_瑣獸灞灟楲散 ⼷㘲㈯〰찶_x0018_＀＀_x0018_＀＀_x0008_＀＀_x0001_＀＀_x0001_＀＀尨슏䀿䟟_x0017_瑣獸灞灟楲散㄁⼰㐰㈯〰찶_x0018_＀＀_x0018_＀＀_x0008_＀＀_x0001_＀＀_x0001_＀＀凬Ẹ䮅䁁䟟_x0017_瑣獸灞灟楲散 ⼷ㄱ㈯〰찶_x0018_＀＀_x0018_＀＀_x0008_＀＀_x0001_＀＀_x0001_＀＀⣶轜ᗂ䁂䟟_x0017_瑣獸灞灟楲散 ⼸㜰㈯〰찶_x0018_＀＀_x0018_＀＀_x0008_＀＀_x0001_＀＀_x0001_＀＀竡긔ⅇ䀾䟟_x0017_瑣獸灞灟楲散 ⼳㤲㈯〰찶_x0018_＀＀_x0018_＀＀_x0008_＀＀_x0001_＀＀_x0001_＀＀馚香_xD999_䁁䟟_x0017_瑣獸灞灟楲散 ⼷㔰㈯〰찶_x0018_＀＀_x0018_＀＀_x0008_＀＀_x0001_＀＀_x0001_＀＀쳍쳌䁃䟟_x0017_瑣獸灞灟楲散 ⼳㐱㈯〰찶_x0018_＀＀_x0018_＀＀_x0008_＀＀_x0001_＀＀_x0001_＀＀＀＀＀＀ 䁁䟟_x0017_摡敢偞偟楲散 ⼲㄰㈯〰찳_x0018_＀＀_x0018_＀＀_x0008_＀＀_x0001_＀＀_x0001_＀＀凬Ẹ殅䀪䟟_x0017_摡敢偞偟楲散 ⼲㄰㈯〰찴_x0018_＀＀_x0018_＀＀_x0008_＀＀_x0001_＀＀_x0001_＀＀晧晦♦䀳䟟_x0016_摡敢偞偟䥒䕃ㄨ⼱〳〯⤲_x0018_＀＀_x0018_＀＀_x0008_＀＀_x0001_＀＀_x0001_＀＀ᑺ螮䀭䟟_x0017_瑣獸灞灟楲散 ⼳㠰㈯〰찶_x0018_＀＀_x0018_＀＀_x0008_＀＀_x0001_＀＀_x0001_＀＀轜㰨䁀䟟_x0017_瑣獸灞灟楲散 ⼹〲㈯〰찶_x0018_＀＀_x0018_＀＀_x0008_＀＀_x0001_＀＀_x0001_＀＀炤਽⏗䁂䟟_x0017_瑣獸灞灟楲散 ⼲㘰㈯〰찶_x0018_＀＀_x0018_＀＀_x0008_＀＀_x0001_＀＀_x0001_＀＀⣶轜痂䀾䟟_x0017_瑣獸灞灟楲散 ⼹㐱㈯〰찶_x0018_＀＀_x0018_＀＀_x0008_＀＀_x0001_＀＀_x0001_＀＀슏⣵轜䁁䟟_x0017_摡敢偞偟楲散 ⼸㄰㈯〰찳_x0018_＀＀_x0018_＀＀_x0008_＀＀_x0001_＀＀_x0001_＀＀쳍쳌䳌䀰䟟_x0017_摡敢偞偟楲散 ⼸㄰㈯〰찴_x0018_＀＀_x0018_＀＀_x0008_＀＀_x0001_＀＀_x0001_＀＀ꏗ㵰ᜊ䀵䟟%摡敢偞偟䥒䕃䅟䝖㌨〯⼱〲㌰㔬㌯⼱〲㌰착_x0018_＀＀_x0018_＀＀_x0008_＀＀_x0001_＀＀_x0001_＀＀잹蟒耮䀰䟟_x0017_瑣獸灞灟楲散 ⼴ㄲ㈯〰찶_x0018_＀＀_x0018_＀＀_x0008_＀＀_x0001_＀＀_x0001_＀＀凬Ẹ䮅䁄䟟_x0017_瑣獸灞灟楲散 ⼹㠰㈯〰찶_x0018_＀＀_x0018_＀＀_x0008_＀＀_x0001_＀＀_x0001_＀＀尩슏䀿䟟_x0017_瑣獸灞灟楲散 ⼵㜱㈯〰찶_x0018_＀＀_x0018_＀＀_x0008_＀＀_x0001_＀＀_x0001_＀＀尨⊏䁄䟟_x0017_摡敢偞偟楲散㄁⼲㄰㈯〰찳_x0018_＀＀_x0018_＀＀_x0008_＀＀_x0001_＀＀_x0001_＀＀凬Ẹஅ䀵䟟&amp;摡敢偞偟䥒䕃䅟䝖ㄨ⼲㄰㈯〰ⰲ⼲㠲㈯〰⤳_x0018_＀＀_x0018_＀＀_x0008_＀＀_x0001_＀＀_x0001_＀＀_xDD69_딆틟䀪䟟_x0017_瑣獸灞灟楲散 ⼶〳㈯〰찶_x0018_＀＀_x0018_＀＀_x0008_＀＀_x0001_＀＀_x0001_＀＀쳍쳌ೌ䁄䟟_x0017_摡敢偞偟楲散㄁⼲㄰㈯〰찴_x0018_＀＀_x0018_＀＀_x0008_＀＀_x0001_＀＀_x0001_＀＀凬Ẹ쮅䀾䟟&amp;摡敢偞偟䥒䕃䅟䝖㤨〯⼱〲㜰ㄬ⼱〳㈯〰⤷_x0018_＀＀_x0018_＀＀_x0008_＀＀_x0001_＀＀_x0001_＀＀凬Ẹᾅ䁆䟟_x0017_瑣獸灞灟楲散 ⼵㈲㈯〰찶_x0018_＀＀_x0018_＀＀_x0008_＀＀_x0001_＀＀_x0001_＀＀䞮竡渔䁃䟟_x0017_瑣獸灞灟楲散 ⼱ㄳ㈯〰찶_x0018_＀＀_x0018_＀＀_x0008_＀＀_x0001_＀＀_x0001_＀＀ꏗ㵰휊䀾䟟_x0017_瑣獸灞灟楲散 ⼲㜲㈯〰찶_x0018_＀＀_x0018_＀＀_x0008_＀＀_x0001_＀＀_x0001_＀＀롒蔞ᇫ䁀䟟_x0017_瑣獸灞灟楲散 ⼱㔲㈯〰찶_x0018_＀＀_x0018_＀＀_x0008_＀＀_x0001_＀＀_x0001_＀＀ᑺ䞮䀿䟟_x0016_摡敢偞偟䥒䕃ㄨ⼱〳〯⤳_x0018_＀＀_x0018_＀＀_x0008_＀＀_x0001_＀＀_x0001_＀＀ᑺꞮ䀴䟟_x0017_瑣獸灞灟楲散 ⼵㄰㈯〰찶_x0018_＀＀_x0018_＀＀_x0008_＀＀_x0001_＀＀_x0001_＀＀쳍쳌Ⳍ䁄䟟_x0017_瑣獸灞灟楲散 ⼱〱㈯〰찶_x0018_＀＀_x0018_＀＀_x0008_＀＀_x0001_＀＀_x0001_＀＀ਾꏗ絰䀽䟟&amp;摡敢偞偟䥒䕃䅟䝖㤨〯⼱〲㄰ㄬ⼱〳㈯〰⤱_x0018_＀＀_x0018_＀＀_x0008_＀＀_x0001_＀＀_x0001_＀＀۲輦옎䀭䟟_x0017_瑣獸灞灟楲散 ⼱㤱㈯〰찶_x0018_＀＀_x0018_＀＀_x0008_＀＀_x0001_＀＀_x0001_＀＀㵱휊ィ䁀䟟&amp;摡敢偞偟䥒䕃䅟䝖㤨〯⼱〲㔰ㄬ⼱〳㈯〰⤵_x0018_＀＀_x0018_＀＀_x0008_＀＀_x0001_＀＀_x0001_＀＀즅煔䀾䟟_x0017_瑣獸灞灟楲散 ⼹㤲㈯〰찶_x0018_＀＀_x0018_＀＀_x0008_＀＀_x0001_＀＀_x0001_＀＀ᑻ䞮᫡䁂䟟_x0016_䩄幉彦牰捩ť㘠㈯⼱〲㜰_x0018_＀＀_x0018_＀＀_x0008_＀＀_x0001_＀＀_x0001_＀＀롒蔞瓫䃊䟟_x0017_瑣獸灞灟楲散 ⼱㐰㈯〰찶_x0018_＀＀_x0018_＀＀_x0008_＀＀_x0001_＀＀_x0001_＀＀㵱휊䀽䟟_x0017_瑣獸灞灟楲散 ⼷ㄳ㈯〰찶_x0018_＀＀_x0018_＀＀_x0008_＀＀_x0001_＀＀_x0001_＀＀롑씞䀿䟟%摡敢偞偟䥒䕃䅟䝖㘨〯⼱〲㔰㠬㌯⼱〲㔰착_x0018_＀＀_x0018_＀＀_x0008_＀＀_x0001_＀＀_x0001_＀＀垨㋊ৄ䀽䟟_x0017_瑣獸灞灟楲散 ⼷㔲㈯〰찶_x0018_＀＀_x0018_＀＀_x0008_＀＀_x0001_＀＀_x0001_＀＀롑씞䀿䟟_x0017_瑣獸灞灟楲散㄁⼰㌰㈯〰찶_x0018_＀＀_x0018_＀＀_x0008_＀＀_x0001_＀＀_x0001_＀＀蔟凫_xDEB8_䁀䟟_x0017_瑣獸灞灟楲散 ⼷〱㈯〰찶_x0018_＀＀_x0018_＀＀_x0008_＀＀_x0001_＀＀_x0001_＀＀䞮竡츔䁁䟟_x0017_瑣獸灞灟楲散 ⼳㠲㈯〰찶_x0018_＀＀_x0018_＀＀_x0008_＀＀_x0001_＀＀_x0001_＀＀긕瑺䁁䟟_x0017_瑣獸灞灟楲散 ⼷㐰㈯〰찶_x0018_＀＀_x0018_＀＀_x0008_＀＀_x0001_＀＀_x0001_＀＀롑┞䁄䟟_x0017_瑣獸灞灟楲散 ⼳㌱㈯〰찶_x0018_＀＀_x0018_＀＀_x0008_＀＀_x0001_＀＀_x0001_＀＀슏⣵䁀䟟&amp;摡敢偞偟䥒䕃䅟䝖㤨〯⼱〲㌰ㄬ⼱〳㈯〰⤳_x0018_＀＀_x0018_＀＀_x0008_＀＀_x0001_＀＀_x0001_＀＀⑋쯑긨䀴䟟_x0017_瑣獸灞灟楲散 ⼳㜰㈯〰찶_x0018_＀＀_x0018_＀＀_x0008_＀＀_x0001_＀＀_x0001_＀＀쳍쳌Ⳍ䁀䟟_x0017_䑁䕂晞灟楲散㄁⼲㐱㈯〰찷_x0018_＀＀_x0018_＀＀_x0008_＀＀_x0001_＀＀_x0001_＀＀䞮竡ด䁅䟟_x0017_瑣獸灞灟楲散 ⼹㌱㈯〰찶_x0018_＀＀_x0018_＀＀_x0008_＀＀_x0001_＀＀_x0001_＀＀ꏗ㵰霊䁁䟟_x0017_瑣獸灞灟楲散 ⼸ㄱ㈯〰찶_x0018_＀＀_x0018_＀＀_x0008_＀＀_x0001_＀＀_x0001_＀＀Ẹ硑䀼䟟_x0017_瑣獸灞灟楲散 ⼴〲㈯〰찶_x0018_＀＀_x0018_＀＀_x0008_＀＀_x0001_＀＀_x0001_＀＀馚香蓮䁄䟟_x0017_瑣獸灞灟楲散 ⼹㜰㈯〰찶_x0018_＀＀_x0018_＀＀_x0008_＀＀_x0001_＀＀_x0001_＀＀ẹ䀾䟟_x0017_瑣獸灞灟楲散 ⼵㘱㈯〰찶_x0018_＀＀_x0018_＀＀_x0008_＀＀_x0001_＀＀_x0001_＀＀ਾꏗᵰ䁄䟟_x0016_摡敢偞偟䥒䕃ㄨ⼱〳〯⤴_x0018_＀＀_x0018_＀＀_x0008_＀＀_x0001_＀＀_x0001_＀＀ᑺ䞮䀾䟟_x0017_瑣獸灞灟楲散 ⼴㐱㈯〰찶_x0018_＀＀_x0018_＀＀_x0008_＀＀_x0001_＀＀_x0001_＀＀긕䁂䟟_x0017_摡敢偞偟楲散 ⼳㄰㈯〰찳_x0018_＀＀_x0018_＀＀_x0008_＀＀_x0001_＀＀_x0001_＀＀＀＀＀＀耀䀫䟟_x0017_摡敢偞偟楲散 ⼳㄰㈯〰찴_x0018_＀＀_x0018_＀＀_x0008_＀＀_x0001_＀＀_x0001_＀＀轜밨䀲䟟%摡敢偞偟䥒䕃䅟䝖㌨〯⼱〲㘰㔬㌯⼱〲㘰착_x0018_＀＀_x0018_＀＀_x0008_＀＀_x0001_＀＀_x0001_＀＀郁귕ꮞ䁁䟟_x0016_䩄幉彦牰捩ť㘠ㄯ⼵〲㜰_x0018_＀＀_x0018_＀＀_x0008_＀＀_x0001_＀＀_x0001_＀＀휊炣ꎽ䃊䟟_x0017_瑣獸灞灟楲散 ⼶㌲㈯〰찶_x0018_＀＀_x0018_＀＀_x0008_＀＀_x0001_＀＀_x0001_＀＀ਾꏗ뵰䁂䟟_x0017_摡敢偞偟楲散 ⼹㄰㈯〰찳_x0018_＀＀_x0018_＀＀_x0008_＀＀_x0001_＀＀_x0001_＀＀휊炣樽䀳䟟_x0017_瑣獸灞灟楲散 ⼷㤱㈯〰찶_x0018_＀＀_x0018_＀＀_x0008_＀＀_x0001_＀＀_x0001_＀＀尨抏䁁䟟_x0017_摡敢偞偟楲散 ⼹㄰㈯〰찴_x0018_＀＀_x0018_＀＀_x0008_＀＀_x0001_＀＀_x0001_＀＀ᑺ䀶䟟&amp;摡敢偞偟䥒䕃䅟䝖ㄨ⼲㄰㈯〰ⰵ⼲㠲㈯〰⤶_x0018_＀＀_x0018_＀＀_x0008_＀＀_x0001_＀＀_x0001_＀＀띂㒗_xFFFF_ｆ䁂䟟_x0017_瑣獸灞灟楲散 ⼱〳㈯〰찶_x0018_＀＀_x0018_＀＀_x0008_＀＀_x0001_＀＀_x0001_＀＀휊炣਽䀿䟟_x0017_瑣獸灞灟楲散 ⼶㈰㈯〰찶_x0018_＀＀_x0018_＀＀_x0008_＀＀_x0001_＀＀_x0001_＀＀尨슏䁂䟟_x0017_䑁䕂晞灟楲散 ⼶㤱㈯〰찷_x0018_＀＀_x0018_＀＀_x0008_＀＀_x0001_＀＀_x0001_＀＀ਾꏗ㵰䁅䟟_x0017_瑣獸灞灟楲散 ⼱㐲㈯〰찶_x0018_＀＀_x0018_＀＀_x0008_＀＀_x0001_＀＀_x0001_＀＀㌴㌳㌳䀿䟟_x0017_瑣獸灞灟楲散 ⼹㠲㈯〰찶_x0018_＀＀_x0018_＀＀_x0008_＀＀_x0001_＀＀_x0001_＀＀竡긔䅇䁂䟟_x0016_䩄幉彦牰捩ť㘠㈯⼰〲㜰_x0018_＀＀_x0018_＀＀_x0008_＀＀_x0001_＀＀_x0001_＀＀尩슏墵䃊䟟_x0017_瑣獸灞灟楲散 ⼱㌰㈯〰찶_x0018_＀＀_x0018_＀＀_x0008_＀＀_x0001_＀＀_x0001_＀＀ਾꏗ㵰䀽䟟_x0017_瑣獸灞灟楲散㄁⼰㈰㈯〰찶_x0018_＀＀_x0018_＀＀_x0008_＀＀_x0001_＀＀_x0001_＀＀蔟凫纸䁁䟟_x0016_䩄幉彦牰捩ť㈱㈯⼴〲㜰_x0018_＀＀_x0018_＀＀_x0008_＀＀_x0001_＀＀_x0001_＀＀ꏗ㵰皪䃊䟟'摡敢偞偟䥒䕃䅟䝖ㄨ⼲㄰㈯〰ⰳㄱ㌯⼰〲㐰착_x0018_＀＀_x0018_＀＀_x0008_＀＀_x0001_＀＀_x0001_＀＀忄㖓⇪䀶䟟_x0017_瑣獸灞灟楲散 ⼳㜲㈯〰찶_x0018_＀＀_x0018_＀＀_x0008_＀＀_x0001_＀＀_x0001_＀＀馚香릙䁁䟟_x0016_䩄幉彦牰捩ť㈱ㄯ⼸〲㜰_x0018_＀＀_x0018_＀＀_x0008_＀＀_x0001_＀＀_x0001_＀＀슐⣵_xD83C_䃉䟟_x0017_瑣獸灞灟楲散 ⼷㌰㈯〰찶_x0018_＀＀_x0018_＀＀_x0008_＀＀_x0001_＀＀_x0001_＀＀롑┞䁄䟟_x0017_瑣獸灞灟楲散 ⼲〱㈯〰찶_x0018_＀＀_x0018_＀＀_x0008_＀＀_x0001_＀＀_x0001_＀＀롒蔞釫䀾䟟_x0017_瑣獸灞灟楲散 ⼳㘰㈯〰찶_x0018_＀＀_x0018_＀＀_x0008_＀＀_x0001_＀＀_x0001_＀＀炤਽揗䁀䟟_x0017_䑁䕂晞灟楲散㄁⼲㌱㈯〰찷_x0018_＀＀_x0018_＀＀_x0008_＀＀_x0001_＀＀_x0001_＀＀㌴㌳䁅⑝䡬_x0011_䑁䕂灞灟楲散江獡챴_x0018_＀＀_x0018_＀＀_x0008_＀＀_x0001_＀＀_x0001_＀＀ᑺ䁃䟟_x0017_瑣獸灞灟楲散 ⼹㈱㈯〰찶_x0018_＀＀_x0018_＀＀_x0008_＀＀_x0001_＀＀_x0001_＀＀㌳㌳㌳䁁䟟_x0017_䑁䕂晞灟楲散 ⼹㐱㈯〰찷_x0018_＀＀_x0018_＀＀_x0008_＀＀_x0001_＀＀_x0001_＀＀긕둺䁅䟟_x0017_瑣獸灞灟楲散 ⼸〱㈯〰찶_x0018_＀＀_x0018_＀＀_x0008_＀＀_x0001_＀＀_x0001_＀＀＀＀＀＀＀＀䀼䟟_x0017_瑣獸灞灟楲散 ⼹㘰㈯〰찶_x0018_＀＀_x0018_＀＀_x0008_＀＀_x0001_＀＀_x0001_＀＀蔟凫Ẹ䀿䟟_x0017_瑣獸灞灟楲散 ⼵㔱㈯〰찶_x0018_＀＀_x0018_＀＀_x0008_＀＀_x0001_＀＀_x0001_＀＀炤਽揗䁄䟟_x0017_瑣獸灞灟楲散 ⼴㌱㈯〰찶_x0018_＀＀_x0018_＀＀_x0008_＀＀_x0001_＀＀_x0001_＀＀긕䁂䟟_x0017_瑣獸灞灟楲散 ⼵㤰㈯〰찶_x0018_＀＀_x0018_＀＀_x0008_＀＀_x0001_＀＀_x0001_＀＀긕㑺䁆䟟_x0017_瑣獸灞灟楲散 ⼱㠱㈯〰찶_x0018_＀＀_x0018_＀＀_x0008_＀＀_x0001_＀＀_x0001_＀＀ᑺޮ䀾䟟%摡敢偞偟䥒䕃䅟䝖㘨〯⼱〲㄰㠬㌯⼱〲㄰착_x0018_＀＀_x0018_＀＀_x0008_＀＀_x0001_＀＀_x0001_＀＀잹蟒_xD82E_䀳䟟_x0017_瑣獸灞灟楲散 ⼴㜰㈯〰찶_x0018_＀＀_x0018_＀＀_x0008_＀＀_x0001_＀＀_x0001_＀＀凬Ẹ쮅䁂䟟_x0016_䩄幉彦牰捩ť㘠ㄯ⼴〲㜰_x0018_＀＀_x0018_＀＀_x0008_＀＀_x0001_＀＀_x0001_＀＀슐⣵磜䃊䟟_x0017_瑣獸灞灟楲散 ⼷㐲㈯〰찶_x0018_＀＀_x0018_＀＀_x0008_＀＀_x0001_＀＀_x0001_＀＀＀＀＀＀耀䀿䟟_x0017_瑣獸灞灟楲散 ⼶㈲㈯〰찶_x0018_＀＀_x0018_＀＀_x0008_＀＀_x0001_＀＀_x0001_＀＀䞮竡踔䁂䟟_x0017_瑣獸灞灟楲散 ⼷㠱㈯〰찶_x0018_＀＀_x0018_＀＀_x0008_＀＀_x0001_＀＀_x0001_＀＀蔟凫纸䁁䟟_x0017_瑣獸灞灟楲散 ⼶㘱㈯〰찶_x0018_＀＀_x0018_＀＀_x0008_＀＀_x0001_＀＀_x0001_＀＀롒蔞燫䁂䟟_x0017_瑣獸灞灟楲散 ⼶㄰㈯〰찶_x0018_＀＀_x0018_＀＀_x0008_＀＀_x0001_＀＀_x0001_＀＀凬Ẹ䁂䟟_x0017_䑁䕂晞灟楲散 ⼶㠱㈯〰찷_x0018_＀＀_x0018_＀＀_x0008_＀＀_x0001_＀＀_x0001_＀＀⣶轜嗂䁅䟟_x0017_瑣獸灞灟楲散 ⼱㌲㈯〰찶_x0018_＀＀_x0018_＀＀_x0008_＀＀_x0001_＀＀_x0001_＀＀轜尨䀿䢈䥈$摡敢偞偟䥒䕃䅟䝖㘨ㄯ㈯〰ⰸ⼸〳㈯〰⤸_x0018_＀＀_x0018_＀＀_x0008_＀＀_x0001_＀＀_x0001_＀＀鈻翋ୈ䁅䟟_x0017_瑣獸灞灟楲散 ⼸ㄳ㈯〰찶_x0018_＀＀_x0018_＀＀_x0008_＀＀_x0001_＀＀_x0001_＀＀⣶轜뗂䀾䟟_x0011_摡敢灞灟楲散江獡챴_x0018_＀＀_x0018_＀＀_x0008_＀＀_x0001_＀＀_x0001_＀＀ᑺ잮䀿䟟_x0017_瑣獸灞灟楲散 ⼹㜲㈯〰찶_x0018_＀＀_x0018_＀＀_x0008_＀＀_x0001_＀＀_x0001_＀＀⣶轜䁁䟟&amp;摡敢偞偟䥒䕃䅟䝖ㄨ⼲⼱〲〰ㄬ⼱〳㈯〰⤱_x0018_＀＀_x0018_＀＀_x0008_＀＀_x0001_＀＀_x0001_＀＀ؐ箞_xDF0F_䀳䟟_x0017_瑣獸灞灟楲散 ⼱㈰㈯〰찶_x0018_＀＀_x0018_＀＀_x0008_＀＀_x0001_＀＀_x0001_＀＀ᑻ䞮뫡䀼䟟_x0017_瑣獸灞灟楲散 ⼸㔲㈯〰찶_x0018_＀＀_x0018_＀＀_x0008_＀＀_x0001_＀＀_x0001_＀＀蔟凫麸䀾䟟%摡敢偞偟䥒䕃䅟䝖㌨〯⼱〲㈰㔬㌯⼱〲㈰착_x0018_＀＀_x0018_＀＀_x0008_＀＀_x0001_＀＀_x0001_＀＀츲蓟层䀳䟟_x0017_瑣獸灞灟楲散 ⼴㠲㈯〰찶_x0018_＀＀_x0018_＀＀_x0008_＀＀_x0001_＀＀_x0001_＀＀⣶轜䁃䟟_x0017_瑣獸灞灟楲散 ⼸㐰㈯〰찶_x0018_＀＀_x0018_＀＀_x0008_＀＀_x0001_＀＀_x0001_＀＀긕呺䀾䟟_x0016_䩄幉彦牰捩ť㈱ㄯ⼷〲㜰_x0018_＀＀_x0018_＀＀_x0008_＀＀_x0001_＀＀_x0001_＀＀馚香랙䃉䟟_x0016_䩄幉彦牰捩ť㤠㈯⼴〲㜰_x0018_＀＀_x0018_＀＀_x0008_＀＀_x0001_＀＀_x0001_＀＀竡긔_xDF87_䃊䟟_x0016_䩄幉彦牰捩ť㤠ㄯ⼸〲㜰_x0018_＀＀_x0018_＀＀_x0008_＀＀_x0001_＀＀_x0001_＀＀Ẹ햱䃊䟟&amp;摡敢偞偟䥒䕃䅟䝖ㄨ⼲⼱〲㈰ㄬ⼱〳㈯〰⤳_x0018_＀＀_x0018_＀＀_x0008_＀＀_x0001_＀＀_x0001_＀＀됥峥䀰䟟&amp;摡敢偞偟䥒䕃䅟䝖ㄨ⼲㄰㈯〰ⰱ⼲㠲㈯〰⤲_x0018_＀＀_x0018_＀＀_x0008_＀＀_x0001_＀＀_x0001_＀＀쫖径㿪䀱䟟_x0017_瑣獸灞灟楲散 ⼲㌰㈯〰찶_x0018_＀＀_x0018_＀＀_x0008_＀＀_x0001_＀＀_x0001_＀＀竡긔ꅇ䀾䟟_x0017_䑁䕂晞灟楲散㄁⼲㈱㈯〰찷_x0018_＀＀_x0018_＀＀_x0008_＀＀_x0001_＀＀_x0001_＀＀롑씞䁅䟟_x0017_瑣獸灞灟楲散 ⼹ㄱ㈯〰찶_x0018_＀＀_x0018_＀＀_x0008_＀＀_x0001_＀＀_x0001_＀＀蔟凫纸䁀䟟_x0017_瑣獸灞灟楲散 ⼵㤲㈯〰찶_x0018_＀＀_x0018_＀＀_x0008_＀＀_x0001_＀＀_x0001_＀＀凬Ẹ䮅䁃䟟_x0017_䑁䕂晞灟楲散 ⼹㌱㈯〰찷_x0018_＀＀_x0018_＀＀_x0008_＀＀_x0001_＀＀_x0001_＀＀ᑺꞮ䁅䟟_x0017_瑣獸灞灟楲散 ⼹㔰㈯〰찶_x0018_＀＀_x0018_＀＀_x0008_＀＀_x0001_＀＀_x0001_＀＀晧晦♦䀿䟟_x0017_摡敢偞偟楲散 ⼴㄰㈯〰찳_x0018_＀＀_x0018_＀＀_x0008_＀＀_x0001_＀＀_x0001_＀＀轜鰨䀮䟟_x0017_摡敢偞偟楲散 ⼴㄰㈯〰찴_x0018_＀＀_x0018_＀＀_x0008_＀＀_x0001_＀＀_x0001_＀＀炤਽⏗䀴䟟_x0017_瑣獸灞灟楲散 ⼴㈱㈯〰찶_x0018_＀＀_x0018_＀＀_x0008_＀＀_x0001_＀＀_x0001_＀＀롒蔞䁂䟟_x0017_瑣獸灞灟楲散 ⼵㠰㈯〰찶_x0018_＀＀_x0018_＀＀_x0008_＀＀_x0001_＀＀_x0001_＀＀긕鑺䁆䟟_x0017_瑣獸灞灟楲散 ⼱㜱㈯〰찶_x0018_＀＀_x0018_＀＀_x0008_＀＀_x0001_＀＀_x0001_＀＀尩슏棵䀾䟟_x0017_瑣獸灞灟楲散 ⼴㘰㈯〰찶_x0018_＀＀_x0018_＀＀_x0008_＀＀_x0001_＀＀_x0001_＀＀쳍쳌쳌䁂䟟_x0016_䩄幉彦牰捩ť㘠ㄯ⼳〲㜰_x0018_＀＀_x0018_＀＀_x0008_＀＀_x0001_＀＀_x0001_＀＀쳍쳌唬䃊䟟%摡敢偞偟䥒䕃䅟䝖㘨〯⼱〲㐰㠬㌯⼱〲㐰착_x0018_＀＀_x0018_＀＀_x0008_＀＀_x0001_＀＀_x0001_＀＀냞六୦䀶䟟_x0017_瑣獸灞灟楲散 ⼶ㄲ㈯〰찶_x0018_＀＀_x0018_＀＀_x0008_＀＀_x0001_＀＀_x0001_＀＀ꏗ㵰霊䁂䟟_x0017_瑣獸灞灟楲散 ⼷㜱㈯〰찶_x0018_＀＀_x0018_＀＀_x0008_＀＀_x0001_＀＀_x0001_＀＀ꏗ㵰圊䁁䟟_x0017_瑣獸灞灟楲散 ⼶㔱㈯〰찶_x0018_＀＀_x0018_＀＀_x0008_＀＀_x0001_＀＀_x0001_＀＀ꏗ㵰霊䁂䟟_x0017_瑣獸灞灟楲散 ⼲㐲㈯〰찶_x0018_＀＀_x0018_＀＀_x0008_＀＀_x0001_＀＀_x0001_＀＀㌳㌳䀾➧䡐_x001D_䑁䕂䍞彑䕄呂呟呏䱁〨Ⱜ∬㕒∱착_x0018_＀＀_x0018_＀＀_x0008_＀＀_x0001_＀＀_x0001_＀＀＀＀＀＀ 䁼䟟_x0017_瑣獸灞灟楲散 ⼸〳㈯〰찶_x0018_＀＀_x0018_＀＀_x0008_＀＀_x0001_＀＀_x0001_＀＀㵱휊낣䀾䟟_x0017_瑣獸灞灟楲散 ⼹㘲㈯〰찶_x0018_＀＀_x0018_＀＀_x0008_＀＀_x0001_＀＀_x0001_＀＀쳍쳌Ⳍ䁂䟟_x0017_瑣獸灞灟楲散 ⼱㄰㈯〰찶_x0018_＀＀_x0018_＀＀_x0008_＀＀_x0001_＀＀_x0001_＀＀ᑻ䞮뫡䀼䟟_x0017_瑣獸灞灟楲散 ⼸㐲㈯〰찶_x0018_＀＀_x0018_＀＀_x0008_＀＀_x0001_＀＀_x0001_＀＀ᑺޮ䀿䟟_x0017_瑣獸灞灟楲散 ⼳ㄳ㈯〰찶_x0018_＀＀_x0018_＀＀_x0008_＀＀_x0001_＀＀_x0001_＀＀㌳㌳䁂䟟_x0017_瑣獸灞灟楲散 ⼸㠱㈯〰찶_x0018_＀＀_x0018_＀＀_x0008_＀＀_x0001_＀＀_x0001_＀＀휊炣਽䁀䟟_x0017_瑣獸灞灟楲散 ⼴㜲㈯〰찶_x0018_＀＀_x0018_＀＀_x0008_＀＀_x0001_＀＀_x0001_＀＀㌴㌳䁃䟟_x0017_瑣獸灞灟楲散 ⼸㌰㈯〰찶_x0018_＀＀_x0018_＀＀_x0008_＀＀_x0001_＀＀_x0001_＀＀馚香_xD999_䀾䟟_x0017_瑣獸灞灟楲散 ⼳〱㈯〰찶_x0018_＀＀_x0018_＀＀_x0008_＀＀_x0001_＀＀_x0001_＀＀쳍쳌Ⳍ䁀䟟_x0016_䩄幉彦牰捩ť㤠ㄯ⼷〲㜰_x0018_＀＀_x0018_＀＀_x0008_＀＀_x0001_＀＀_x0001_＀＀尩슏ⶵ䃊䟟_x0017_瑣獸灞灟楲散 ⼲㈰㈯〰찶_x0018_＀＀_x0018_＀＀_x0008_＀＀_x0001_＀＀_x0001_＀＀轜_xDC28_䀾䟟_x0017_䑁䕂晞灟楲散 ⼹㈱㈯〰찷_x0018_＀＀_x0018_＀＀_x0008_＀＀_x0001_＀＀_x0001_＀＀炤਽䁅䟟_x0017_瑣獸灞灟楲散 ⼹㐰㈯〰찶_x0018_＀＀_x0018_＀＀_x0008_＀＀_x0001_＀＀_x0001_＀＀褷恁烥䀾䟟_x0017_瑣獸灞灟楲散 ⼶㤰㈯〰찶_x0018_＀＀_x0018_＀＀_x0008_＀＀_x0001_＀＀_x0001_＀＀⣶轜헂䁁䟟_x0017_瑣獸灞灟楲散 ⼴ㄱ㈯〰찶_x0018_＀＀_x0018_＀＀_x0008_＀＀_x0001_＀＀_x0001_＀＀롑씞䁂䟟_x0017_瑣獸灞灟楲散 ⼱㘱㈯〰찶_x0018_＀＀_x0018_＀＀_x0008_＀＀_x0001_＀＀_x0001_＀＀슐⣵轜䀾䟟_x0017_瑣獸灞灟楲散 ⼴㔰㈯〰찶_x0018_＀＀_x0018_＀＀_x0008_＀＀_x0001_＀＀_x0001_＀＀尨䁂䟟_x0017_瑣獸灞灟楲散㄁⼰㤰㈯〰찶_x0018_＀＀_x0018_＀＀_x0008_＀＀_x0001_＀＀_x0001_＀＀ᑺ➮䁁䟟_x0017_瑣獸灞灟楲散 ⼶〲㈯〰찶_x0018_＀＀_x0018_＀＀_x0008_＀＀_x0001_＀＀_x0001_＀＀晧晦♦䁂䟟_x0017_䑁䕂晞灟楲散 ⼶㈲㈯〰찷_x0018_＀＀_x0018_＀＀_x0008_＀＀_x0001_＀＀_x0001_＀＀凬Ẹ殅䁄䟟%摡敢偞偟䥒䕃䅟䝖㌨〯⼱〲㔰㔬㌯⼱〲㔰착_x0018_＀＀_x0018_＀＀_x0008_＀＀_x0001_＀＀_x0001_＀＀艖柌䀿䟟_x0017_瑣獸灞灟楲散 ⼶㐱㈯〰찶_x0018_＀＀_x0018_＀＀_x0008_＀＀_x0001_＀＀_x0001_＀＀＀＀＀＀耀䁁䟟_x0017_瑣獸灞灟楲散 ⼲㌲㈯〰찶_x0018_＀＀_x0018_＀＀_x0008_＀＀_x0001_＀＀_x0001_＀＀ਾꏗ㵰䀿䟟_x0017_摡敢偞偟楲散 ⼵㄰㈯〰찳_x0018_＀＀_x0018_＀＀_x0008_＀＀_x0001_＀＀_x0001_＀＀멞౉嬂䀲䟟_x0017_摡敢偞偟楲散 ⼵㄰㈯〰찴_x0018_＀＀_x0018_＀＀_x0008_＀＀_x0001_＀＀_x0001_＀＀＀＀＀＀쀀䀴䟟_x0017_瑣獸灞灟楲散 ⼲㜱㈯〰찶_x0018_＀＀_x0018_＀＀_x0008_＀＀_x0001_＀＀_x0001_＀＀晧晦晦䀿䟟_x0017_瑣獸灞灟楲散 ⼹㔲㈯〰찶_x0018_＀＀_x0018_＀＀_x0008_＀＀_x0001_＀＀_x0001_＀＀尨䊏䁂䟟&amp;摡敢偞偟䥒䕃䅟䝖ㄨ⼲㄰㈯〰ⰴ⼲㠲㈯〰⤵_x0018_＀＀_x0018_＀＀_x0008_＀＀_x0001_＀＀_x0001_＀＀ꂑㇸ滦䀾䟟_x0017_瑣獸灞灟楲散 ⼸㌲㈯〰찶_x0018_＀＀_x0018_＀＀_x0008_＀＀_x0001_＀＀_x0001_＀＀凬Ẹ䀾䟟_x0017_瑣獸灞灟楲散 ⼹㤱㈯〰찶_x0018_＀＀_x0018_＀＀_x0008_＀＀_x0001_＀＀_x0001_＀＀尩슏ࣵ䁁䟟_x0017_瑣獸灞灟楲散 ⼳〳㈯〰찶_x0018_＀＀_x0018_＀＀_x0008_＀＀_x0001_＀＀_x0001_＀＀㌳㌳匳䁂䟟_x0017_瑣獸灞灟楲散 ⼸㜱㈯〰찶_x0018_＀＀_x0018_＀＀_x0008_＀＀_x0001_＀＀_x0001_＀＀ᑺ枮䁀䟟_x0017_瑣獸灞灟楲散 ⼴㘲㈯〰찶_x0018_＀＀_x0018_＀＀_x0008_＀＀_x0001_＀＀_x0001_＀＀㌴㌳㌳䁄䟟_x0017_瑣獸灞灟楲散 ⼸㈰㈯〰찶_x0018_＀＀_x0018_＀＀_x0008_＀＀_x0001_＀＀_x0001_＀＀尨芏䀿쳰䡚_x000C_䑁䕂偞偟楲散_x0018_＀＀_x0018_＀＀_x0008_＀＀_x0001_＀＀_x0001_＀＀Ẹ硑䁄䟟_x0017_瑣獸灞灟楲散 ⼳㐲㈯〰찶_x0018_＀＀_x0018_＀＀_x0008_＀＀_x0001_＀＀_x0001_＀＀㵱휊킣䁁䟟_x0017_瑣獸灞灟楲散 ⼳㌰㈯〰찶_x0018_＀＀_x0018_＀＀_x0008_＀＀_x0001_＀＀_x0001_＀＀炤਽揗䁀䟟_x0017_瑣獸灞灟楲散 ⼲㄰㈯〰찶_x0018_＀＀_x0018_＀＀_x0008_＀＀_x0001_＀＀_x0001_＀＀炤਽⏗䀿䟟_x0017_瑣獸灞灟楲散 ⼶㤲㈯〰찶_x0018_＀＀_x0018_＀＀_x0008_＀＀_x0001_＀＀_x0001_＀＀ᑺ잮䁃䟟%摡敢偞偟䥒䕃䅟䝖㘨〯⼱〲㜰㠬㌯⼱〲㜰착_x0018_＀＀_x0018_＀＀_x0008_＀＀_x0001_＀＀_x0001_＀＀᭝옪ꟹ䁄䟟_x0017_瑣獸灞灟楲散 ⼵㈱㈯〰찶_x0018_＀＀_x0018_＀＀_x0008_＀＀_x0001_＀＀_x0001_＀＀＀＀＀＀耀䁄䟟_x0017_瑣獸灞灟楲散 ⼶㠰㈯〰찶_x0018_＀＀_x0018_＀＀_x0008_＀＀_x0001_＀＀_x0001_＀＀ꏗ㵰䁁䟟_x0017_瑣獸灞灟楲散 ⼴〱㈯〰찶_x0018_＀＀_x0018_＀＀_x0008_＀＀_x0001_＀＀_x0001_＀＀凬Ẹ⮅䁃䟟_x0017_瑣獸灞灟楲散 ⼴㐰㈯〰찶_x0018_＀＀_x0018_＀＀_x0008_＀＀_x0001_＀＀_x0001_＀＀쳍쳌쳌䁂䟟&amp;摡敢偞偟䥒䕃䅟䝖㤨〯⼱〲㐰ㄬ⼱〳㈯〰⤴_x0018_＀＀_x0018_＀＀_x0008_＀＀_x0001_＀＀_x0001_＀＀뻋舫鷿䀺</t>
        </r>
      </text>
    </comment>
    <comment ref="B1" authorId="0">
      <text>
        <r>
          <rPr>
            <b/>
            <sz val="8"/>
            <color indexed="81"/>
            <rFont val="Tahoma"/>
            <family val="2"/>
          </rPr>
          <t>10971</t>
        </r>
      </text>
    </comment>
  </commentList>
</comments>
</file>

<file path=xl/comments2.xml><?xml version="1.0" encoding="utf-8"?>
<comments xmlns="http://schemas.openxmlformats.org/spreadsheetml/2006/main">
  <authors>
    <author>Brian Essex</author>
    <author>Samson Lee</author>
    <author>Phillip Rowe</author>
    <author>swanjenn</author>
    <author>StanZ</author>
    <author>nitdok</author>
    <author>Austria, Anjelo D (Research)</author>
    <author>James Ferrara</author>
    <author>J948822</author>
  </authors>
  <commentList>
    <comment ref="AE24" authorId="0">
      <text>
        <r>
          <rPr>
            <b/>
            <sz val="8"/>
            <color indexed="81"/>
            <rFont val="Tahoma"/>
            <family val="2"/>
          </rPr>
          <t>Brian Essex:</t>
        </r>
        <r>
          <rPr>
            <sz val="8"/>
            <color indexed="81"/>
            <rFont val="Tahoma"/>
            <family val="2"/>
          </rPr>
          <t xml:space="preserve">
Guidance:
9/14/06: $655-$685mm</t>
        </r>
      </text>
    </comment>
    <comment ref="AG24" authorId="0">
      <text>
        <r>
          <rPr>
            <b/>
            <sz val="8"/>
            <color indexed="81"/>
            <rFont val="Tahoma"/>
            <family val="2"/>
          </rPr>
          <t>Brian Essex:</t>
        </r>
        <r>
          <rPr>
            <sz val="8"/>
            <color indexed="81"/>
            <rFont val="Tahoma"/>
            <family val="2"/>
          </rPr>
          <t xml:space="preserve">
9/14/06: Guided to sequential Q1 decline.
12/14/06: $640 - $670 million.</t>
        </r>
      </text>
    </comment>
    <comment ref="AH24" authorId="0">
      <text>
        <r>
          <rPr>
            <b/>
            <sz val="8"/>
            <color indexed="81"/>
            <rFont val="Tahoma"/>
            <family val="2"/>
          </rPr>
          <t>Brian Essex:</t>
        </r>
        <r>
          <rPr>
            <sz val="8"/>
            <color indexed="81"/>
            <rFont val="Tahoma"/>
            <family val="2"/>
          </rPr>
          <t xml:space="preserve">
Ramp in Q2 driven in part by CS3 launch.
3/20/07 guidance:
$700 - 740mm</t>
        </r>
      </text>
    </comment>
    <comment ref="AI24" authorId="1">
      <text>
        <r>
          <rPr>
            <b/>
            <sz val="8"/>
            <color indexed="81"/>
            <rFont val="Tahoma"/>
            <family val="2"/>
          </rPr>
          <t>Samson Lee:</t>
        </r>
        <r>
          <rPr>
            <sz val="8"/>
            <color indexed="81"/>
            <rFont val="Tahoma"/>
            <family val="2"/>
          </rPr>
          <t xml:space="preserve">
Guidance from Q2 Call:
$760 - $800m</t>
        </r>
      </text>
    </comment>
    <comment ref="AJ24" authorId="1">
      <text>
        <r>
          <rPr>
            <b/>
            <sz val="8"/>
            <color indexed="81"/>
            <rFont val="Tahoma"/>
            <family val="2"/>
          </rPr>
          <t>Samson Lee:</t>
        </r>
        <r>
          <rPr>
            <sz val="8"/>
            <color indexed="81"/>
            <rFont val="Tahoma"/>
            <family val="2"/>
          </rPr>
          <t xml:space="preserve">
Guidance:
9/17/07:  $860 to $890m</t>
        </r>
      </text>
    </comment>
    <comment ref="AL24" authorId="0">
      <text>
        <r>
          <rPr>
            <b/>
            <sz val="8"/>
            <color indexed="81"/>
            <rFont val="Tahoma"/>
            <family val="2"/>
          </rPr>
          <t>Brian Essex:</t>
        </r>
        <r>
          <rPr>
            <sz val="8"/>
            <color indexed="81"/>
            <rFont val="Tahoma"/>
            <family val="2"/>
          </rPr>
          <t xml:space="preserve">
$855-$885mm</t>
        </r>
      </text>
    </comment>
    <comment ref="AM24" authorId="2">
      <text>
        <r>
          <rPr>
            <b/>
            <sz val="8"/>
            <color indexed="81"/>
            <rFont val="Tahoma"/>
            <family val="2"/>
          </rPr>
          <t>Phillip Rowe:</t>
        </r>
        <r>
          <rPr>
            <sz val="8"/>
            <color indexed="81"/>
            <rFont val="Tahoma"/>
            <family val="2"/>
          </rPr>
          <t xml:space="preserve">
3/18/08 guidance for Q2: $855 - 885 mn </t>
        </r>
      </text>
    </comment>
    <comment ref="AP24" authorId="0">
      <text>
        <r>
          <rPr>
            <b/>
            <sz val="8"/>
            <color indexed="81"/>
            <rFont val="Tahoma"/>
            <family val="2"/>
          </rPr>
          <t>Brian Essex:</t>
        </r>
        <r>
          <rPr>
            <sz val="8"/>
            <color indexed="81"/>
            <rFont val="Tahoma"/>
            <family val="2"/>
          </rPr>
          <t xml:space="preserve">
3/18: reaffirmed 13% yy
12/17/07: 13% y/y</t>
        </r>
      </text>
    </comment>
    <comment ref="AH28" authorId="2">
      <text>
        <r>
          <rPr>
            <b/>
            <sz val="8"/>
            <color indexed="81"/>
            <rFont val="Tahoma"/>
            <family val="2"/>
          </rPr>
          <t>Phillip Rowe:</t>
        </r>
        <r>
          <rPr>
            <sz val="8"/>
            <color indexed="81"/>
            <rFont val="Tahoma"/>
            <family val="2"/>
          </rPr>
          <t xml:space="preserve">
6/14/07 earnings call CEO "we do have a healthy backlog going into the Q3 period for the foreign language products, as well as some of the newer products like Master Collection"
3/20 Q1 earnings call:  "We will formally unveil the next version of Creative Suite at a launch event next week in New York City. [May Q is when CS3 annualizes]
</t>
        </r>
      </text>
    </comment>
    <comment ref="AW34" authorId="3">
      <text>
        <r>
          <rPr>
            <b/>
            <sz val="8"/>
            <color indexed="81"/>
            <rFont val="Tahoma"/>
            <family val="2"/>
          </rPr>
          <t>swanjenn:</t>
        </r>
        <r>
          <rPr>
            <sz val="8"/>
            <color indexed="81"/>
            <rFont val="Tahoma"/>
            <family val="2"/>
          </rPr>
          <t xml:space="preserve">
Includes write-off of outdated CS4 inventory</t>
        </r>
      </text>
    </comment>
    <comment ref="AJ48" authorId="2">
      <text>
        <r>
          <rPr>
            <b/>
            <sz val="8"/>
            <color indexed="81"/>
            <rFont val="Tahoma"/>
            <family val="2"/>
          </rPr>
          <t>Phillip Rowe:</t>
        </r>
        <r>
          <rPr>
            <sz val="8"/>
            <color indexed="81"/>
            <rFont val="Tahoma"/>
            <family val="2"/>
          </rPr>
          <t xml:space="preserve">
10 mln of Q4 specific charges hit S&amp;M</t>
        </r>
      </text>
    </comment>
    <comment ref="BP52" authorId="4">
      <text>
        <r>
          <rPr>
            <b/>
            <sz val="9"/>
            <color indexed="81"/>
            <rFont val="Tahoma"/>
            <family val="2"/>
          </rPr>
          <t>StanZ:</t>
        </r>
        <r>
          <rPr>
            <sz val="9"/>
            <color indexed="81"/>
            <rFont val="Tahoma"/>
            <family val="2"/>
          </rPr>
          <t xml:space="preserve">
allocated $10m legal settlement
</t>
        </r>
      </text>
    </comment>
    <comment ref="AE68" authorId="0">
      <text>
        <r>
          <rPr>
            <b/>
            <sz val="8"/>
            <color indexed="81"/>
            <rFont val="Tahoma"/>
            <family val="2"/>
          </rPr>
          <t>Brian Essex:</t>
        </r>
        <r>
          <rPr>
            <sz val="8"/>
            <color indexed="81"/>
            <rFont val="Tahoma"/>
            <family val="2"/>
          </rPr>
          <t xml:space="preserve">
Guidance:
9/14/06: 37%-38%</t>
        </r>
      </text>
    </comment>
    <comment ref="AG68" authorId="0">
      <text>
        <r>
          <rPr>
            <b/>
            <sz val="8"/>
            <color indexed="81"/>
            <rFont val="Tahoma"/>
            <family val="2"/>
          </rPr>
          <t>Brian Essex:</t>
        </r>
        <r>
          <rPr>
            <sz val="8"/>
            <color indexed="81"/>
            <rFont val="Tahoma"/>
            <family val="2"/>
          </rPr>
          <t xml:space="preserve">
Expecting 33% - 34%</t>
        </r>
      </text>
    </comment>
    <comment ref="AH68" authorId="0">
      <text>
        <r>
          <rPr>
            <b/>
            <sz val="8"/>
            <color indexed="81"/>
            <rFont val="Tahoma"/>
            <family val="2"/>
          </rPr>
          <t>Brian Essex:</t>
        </r>
        <r>
          <rPr>
            <sz val="8"/>
            <color indexed="81"/>
            <rFont val="Tahoma"/>
            <family val="2"/>
          </rPr>
          <t xml:space="preserve">
3/20/07 guidance:
36% - 37%</t>
        </r>
      </text>
    </comment>
    <comment ref="AI68" authorId="1">
      <text>
        <r>
          <rPr>
            <b/>
            <sz val="8"/>
            <color indexed="81"/>
            <rFont val="Tahoma"/>
            <family val="2"/>
          </rPr>
          <t>Samson Lee:</t>
        </r>
        <r>
          <rPr>
            <sz val="8"/>
            <color indexed="81"/>
            <rFont val="Tahoma"/>
            <family val="2"/>
          </rPr>
          <t xml:space="preserve">
~39%</t>
        </r>
      </text>
    </comment>
    <comment ref="AJ68" authorId="1">
      <text>
        <r>
          <rPr>
            <b/>
            <sz val="8"/>
            <color indexed="81"/>
            <rFont val="Tahoma"/>
            <family val="2"/>
          </rPr>
          <t>Samson Lee:</t>
        </r>
        <r>
          <rPr>
            <sz val="8"/>
            <color indexed="81"/>
            <rFont val="Tahoma"/>
            <family val="2"/>
          </rPr>
          <t xml:space="preserve">
~41%
if you excluded 25 mln in Q4 specific charges, op margin would have been &gt;42%</t>
        </r>
      </text>
    </comment>
    <comment ref="AK68" authorId="1">
      <text>
        <r>
          <rPr>
            <b/>
            <sz val="8"/>
            <color indexed="81"/>
            <rFont val="Tahoma"/>
            <family val="2"/>
          </rPr>
          <t>Samson Lee:</t>
        </r>
        <r>
          <rPr>
            <sz val="8"/>
            <color indexed="81"/>
            <rFont val="Tahoma"/>
            <family val="2"/>
          </rPr>
          <t xml:space="preserve">
Q2 Call:  37 - 38%</t>
        </r>
      </text>
    </comment>
    <comment ref="AL68" authorId="0">
      <text>
        <r>
          <rPr>
            <b/>
            <sz val="8"/>
            <color indexed="81"/>
            <rFont val="Tahoma"/>
            <family val="2"/>
          </rPr>
          <t>Brian Essex:</t>
        </r>
        <r>
          <rPr>
            <sz val="8"/>
            <color indexed="81"/>
            <rFont val="Tahoma"/>
            <family val="2"/>
          </rPr>
          <t xml:space="preserve">
Guidance of 40%</t>
        </r>
      </text>
    </comment>
    <comment ref="AP68" authorId="0">
      <text>
        <r>
          <rPr>
            <b/>
            <sz val="8"/>
            <color indexed="81"/>
            <rFont val="Tahoma"/>
            <family val="2"/>
          </rPr>
          <t>Brian Essex:</t>
        </r>
        <r>
          <rPr>
            <sz val="8"/>
            <color indexed="81"/>
            <rFont val="Tahoma"/>
            <family val="2"/>
          </rPr>
          <t xml:space="preserve">
12/17/07: 39%</t>
        </r>
      </text>
    </comment>
    <comment ref="AJ76" authorId="0">
      <text>
        <r>
          <rPr>
            <b/>
            <sz val="8"/>
            <color indexed="81"/>
            <rFont val="Tahoma"/>
            <family val="2"/>
          </rPr>
          <t>Brian Essex:</t>
        </r>
        <r>
          <rPr>
            <sz val="8"/>
            <color indexed="81"/>
            <rFont val="Tahoma"/>
            <family val="2"/>
          </rPr>
          <t xml:space="preserve">
Guidance of $15-$17mm</t>
        </r>
      </text>
    </comment>
    <comment ref="AL76" authorId="0">
      <text>
        <r>
          <rPr>
            <b/>
            <sz val="8"/>
            <color indexed="81"/>
            <rFont val="Tahoma"/>
            <family val="2"/>
          </rPr>
          <t>Brian Essex:</t>
        </r>
        <r>
          <rPr>
            <sz val="8"/>
            <color indexed="81"/>
            <rFont val="Tahoma"/>
            <family val="2"/>
          </rPr>
          <t xml:space="preserve">
Guidance of $15-$17mm</t>
        </r>
      </text>
    </comment>
    <comment ref="AJ78" authorId="1">
      <text>
        <r>
          <rPr>
            <b/>
            <sz val="8"/>
            <color indexed="81"/>
            <rFont val="Tahoma"/>
            <family val="2"/>
          </rPr>
          <t>Samson Lee:</t>
        </r>
        <r>
          <rPr>
            <sz val="8"/>
            <color indexed="81"/>
            <rFont val="Tahoma"/>
            <family val="2"/>
          </rPr>
          <t xml:space="preserve">
$16 to $19m</t>
        </r>
      </text>
    </comment>
    <comment ref="AH82" authorId="0">
      <text>
        <r>
          <rPr>
            <b/>
            <sz val="8"/>
            <color indexed="81"/>
            <rFont val="Tahoma"/>
            <family val="2"/>
          </rPr>
          <t>Brian Essex:</t>
        </r>
        <r>
          <rPr>
            <sz val="8"/>
            <color indexed="81"/>
            <rFont val="Tahoma"/>
            <family val="2"/>
          </rPr>
          <t xml:space="preserve">
3/20/07 guidance:
25-27%</t>
        </r>
      </text>
    </comment>
    <comment ref="AI82" authorId="0">
      <text>
        <r>
          <rPr>
            <b/>
            <sz val="8"/>
            <color indexed="81"/>
            <rFont val="Tahoma"/>
            <family val="2"/>
          </rPr>
          <t>Brian Essex:</t>
        </r>
        <r>
          <rPr>
            <sz val="8"/>
            <color indexed="81"/>
            <rFont val="Tahoma"/>
            <family val="2"/>
          </rPr>
          <t xml:space="preserve">
3/20/07 guidance:
25-27%</t>
        </r>
      </text>
    </comment>
    <comment ref="AJ82" authorId="1">
      <text>
        <r>
          <rPr>
            <b/>
            <sz val="8"/>
            <color indexed="81"/>
            <rFont val="Tahoma"/>
            <family val="2"/>
          </rPr>
          <t>Samson Lee:</t>
        </r>
        <r>
          <rPr>
            <sz val="8"/>
            <color indexed="81"/>
            <rFont val="Tahoma"/>
            <family val="2"/>
          </rPr>
          <t xml:space="preserve">
26 to 27%</t>
        </r>
      </text>
    </comment>
    <comment ref="AL82" authorId="0">
      <text>
        <r>
          <rPr>
            <b/>
            <sz val="8"/>
            <color indexed="81"/>
            <rFont val="Tahoma"/>
            <family val="2"/>
          </rPr>
          <t>Brian Essex:</t>
        </r>
        <r>
          <rPr>
            <sz val="8"/>
            <color indexed="81"/>
            <rFont val="Tahoma"/>
            <family val="2"/>
          </rPr>
          <t xml:space="preserve">
Guidance: 27% (does not include potential 1% R&amp;D tax credit)
</t>
        </r>
      </text>
    </comment>
    <comment ref="AO82" authorId="5">
      <text>
        <r>
          <rPr>
            <b/>
            <sz val="8"/>
            <color indexed="81"/>
            <rFont val="Tahoma"/>
            <family val="2"/>
          </rPr>
          <t>nitdok:</t>
        </r>
        <r>
          <rPr>
            <sz val="8"/>
            <color indexed="81"/>
            <rFont val="Tahoma"/>
            <family val="2"/>
          </rPr>
          <t xml:space="preserve">
Includes one time benefit of R&amp;D credit and favorable tax settlement</t>
        </r>
      </text>
    </comment>
    <comment ref="CS82" authorId="6">
      <text>
        <r>
          <rPr>
            <b/>
            <sz val="9"/>
            <color indexed="81"/>
            <rFont val="Tahoma"/>
            <family val="2"/>
          </rPr>
          <t>Austria, Anjelo D (Research):</t>
        </r>
        <r>
          <rPr>
            <sz val="9"/>
            <color indexed="81"/>
            <rFont val="Tahoma"/>
            <family val="2"/>
          </rPr>
          <t xml:space="preserve">
The company also expects fiscal year 2019 GAAP and non-GAAP effective tax rates to stabilize at a rate of approximately 18 percent, below its fiscal year 2017 rate of approximately 21 percent.</t>
        </r>
      </text>
    </comment>
    <comment ref="AE87" authorId="0">
      <text>
        <r>
          <rPr>
            <b/>
            <sz val="8"/>
            <color indexed="81"/>
            <rFont val="Tahoma"/>
            <family val="2"/>
          </rPr>
          <t>Brian Essex:</t>
        </r>
        <r>
          <rPr>
            <sz val="8"/>
            <color indexed="81"/>
            <rFont val="Tahoma"/>
            <family val="2"/>
          </rPr>
          <t xml:space="preserve">
Guidance:
9/14/06: $.32-$.34</t>
        </r>
      </text>
    </comment>
    <comment ref="AG87" authorId="0">
      <text>
        <r>
          <rPr>
            <b/>
            <sz val="8"/>
            <color indexed="81"/>
            <rFont val="Tahoma"/>
            <family val="2"/>
          </rPr>
          <t>Brian Essex:</t>
        </r>
        <r>
          <rPr>
            <sz val="8"/>
            <color indexed="81"/>
            <rFont val="Tahoma"/>
            <family val="2"/>
          </rPr>
          <t xml:space="preserve">
12/14/06: $0.28 - $0.30.</t>
        </r>
      </text>
    </comment>
    <comment ref="AH87" authorId="0">
      <text>
        <r>
          <rPr>
            <b/>
            <sz val="8"/>
            <color indexed="81"/>
            <rFont val="Tahoma"/>
            <family val="2"/>
          </rPr>
          <t>Brian Essex:</t>
        </r>
        <r>
          <rPr>
            <sz val="8"/>
            <color indexed="81"/>
            <rFont val="Tahoma"/>
            <family val="2"/>
          </rPr>
          <t xml:space="preserve">
3/20/07 guidance:
$0.34 - $0.36</t>
        </r>
      </text>
    </comment>
    <comment ref="AI87" authorId="1">
      <text>
        <r>
          <rPr>
            <b/>
            <sz val="8"/>
            <color indexed="81"/>
            <rFont val="Tahoma"/>
            <family val="2"/>
          </rPr>
          <t>Samson Lee:</t>
        </r>
        <r>
          <rPr>
            <sz val="8"/>
            <color indexed="81"/>
            <rFont val="Tahoma"/>
            <family val="2"/>
          </rPr>
          <t xml:space="preserve">
Guidance from Q2 Call:
$0.39 - $0.41</t>
        </r>
      </text>
    </comment>
    <comment ref="AJ87" authorId="1">
      <text>
        <r>
          <rPr>
            <b/>
            <sz val="8"/>
            <color indexed="81"/>
            <rFont val="Tahoma"/>
            <family val="2"/>
          </rPr>
          <t>Samson Lee:</t>
        </r>
        <r>
          <rPr>
            <sz val="8"/>
            <color indexed="81"/>
            <rFont val="Tahoma"/>
            <family val="2"/>
          </rPr>
          <t xml:space="preserve">
$0.46 to $0.48</t>
        </r>
      </text>
    </comment>
    <comment ref="AL87" authorId="0">
      <text>
        <r>
          <rPr>
            <b/>
            <sz val="8"/>
            <color indexed="81"/>
            <rFont val="Tahoma"/>
            <family val="2"/>
          </rPr>
          <t>Brian Essex:</t>
        </r>
        <r>
          <rPr>
            <sz val="8"/>
            <color indexed="81"/>
            <rFont val="Tahoma"/>
            <family val="2"/>
          </rPr>
          <t xml:space="preserve">
Guidance: $0.44 - $0.46</t>
        </r>
      </text>
    </comment>
    <comment ref="AM87" authorId="2">
      <text>
        <r>
          <rPr>
            <b/>
            <sz val="8"/>
            <color indexed="81"/>
            <rFont val="Tahoma"/>
            <family val="2"/>
          </rPr>
          <t>Phillip Rowe:</t>
        </r>
        <r>
          <rPr>
            <sz val="8"/>
            <color indexed="81"/>
            <rFont val="Tahoma"/>
            <family val="2"/>
          </rPr>
          <t xml:space="preserve">
3/18 guide: 45-47c NonGAAP EPS
546-550 shrs
</t>
        </r>
      </text>
    </comment>
    <comment ref="AP87" authorId="2">
      <text>
        <r>
          <rPr>
            <b/>
            <sz val="8"/>
            <color indexed="81"/>
            <rFont val="Tahoma"/>
            <family val="2"/>
          </rPr>
          <t>Phillip Rowe:</t>
        </r>
        <r>
          <rPr>
            <sz val="8"/>
            <color indexed="81"/>
            <rFont val="Tahoma"/>
            <family val="2"/>
          </rPr>
          <t xml:space="preserve">
3/18: $1.86 - $1.92 nonGAAP</t>
        </r>
      </text>
    </comment>
    <comment ref="AH103" authorId="0">
      <text>
        <r>
          <rPr>
            <b/>
            <sz val="8"/>
            <color indexed="81"/>
            <rFont val="Tahoma"/>
            <family val="2"/>
          </rPr>
          <t>Brian Essex:</t>
        </r>
        <r>
          <rPr>
            <sz val="8"/>
            <color indexed="81"/>
            <rFont val="Tahoma"/>
            <family val="2"/>
          </rPr>
          <t xml:space="preserve">
3/20/07 guidance:
23-25%</t>
        </r>
      </text>
    </comment>
    <comment ref="AI103" authorId="1">
      <text>
        <r>
          <rPr>
            <b/>
            <sz val="8"/>
            <color indexed="81"/>
            <rFont val="Tahoma"/>
            <family val="2"/>
          </rPr>
          <t>Samson Lee:</t>
        </r>
        <r>
          <rPr>
            <sz val="8"/>
            <color indexed="81"/>
            <rFont val="Tahoma"/>
            <family val="2"/>
          </rPr>
          <t xml:space="preserve">
27-28%</t>
        </r>
      </text>
    </comment>
    <comment ref="AJ103" authorId="1">
      <text>
        <r>
          <rPr>
            <b/>
            <sz val="8"/>
            <color indexed="81"/>
            <rFont val="Tahoma"/>
            <family val="2"/>
          </rPr>
          <t>Samson Lee:</t>
        </r>
        <r>
          <rPr>
            <sz val="8"/>
            <color indexed="81"/>
            <rFont val="Tahoma"/>
            <family val="2"/>
          </rPr>
          <t xml:space="preserve">
30 to 31%</t>
        </r>
      </text>
    </comment>
    <comment ref="AK103" authorId="1">
      <text>
        <r>
          <rPr>
            <b/>
            <sz val="8"/>
            <color indexed="81"/>
            <rFont val="Tahoma"/>
            <family val="2"/>
          </rPr>
          <t>Samson Lee:</t>
        </r>
        <r>
          <rPr>
            <sz val="8"/>
            <color indexed="81"/>
            <rFont val="Tahoma"/>
            <family val="2"/>
          </rPr>
          <t xml:space="preserve">
Q2 Call: 25-27%</t>
        </r>
      </text>
    </comment>
    <comment ref="AL103" authorId="0">
      <text>
        <r>
          <rPr>
            <b/>
            <sz val="8"/>
            <color indexed="81"/>
            <rFont val="Tahoma"/>
            <family val="2"/>
          </rPr>
          <t>Brian Essex:</t>
        </r>
        <r>
          <rPr>
            <sz val="8"/>
            <color indexed="81"/>
            <rFont val="Tahoma"/>
            <family val="2"/>
          </rPr>
          <t xml:space="preserve">
Guidance = 30%-31%</t>
        </r>
      </text>
    </comment>
    <comment ref="AP103" authorId="0">
      <text>
        <r>
          <rPr>
            <b/>
            <sz val="8"/>
            <color indexed="81"/>
            <rFont val="Tahoma"/>
            <family val="2"/>
          </rPr>
          <t>Brian Essex:</t>
        </r>
        <r>
          <rPr>
            <sz val="8"/>
            <color indexed="81"/>
            <rFont val="Tahoma"/>
            <family val="2"/>
          </rPr>
          <t xml:space="preserve">
12/17/07 guidance = 30%.</t>
        </r>
      </text>
    </comment>
    <comment ref="CS107" authorId="6">
      <text>
        <r>
          <rPr>
            <b/>
            <sz val="9"/>
            <color indexed="81"/>
            <rFont val="Tahoma"/>
            <family val="2"/>
          </rPr>
          <t>Austria, Anjelo D (Research):</t>
        </r>
        <r>
          <rPr>
            <sz val="9"/>
            <color indexed="81"/>
            <rFont val="Tahoma"/>
            <family val="2"/>
          </rPr>
          <t xml:space="preserve">
The company also expects fiscal year 2019 GAAP and non-GAAP effective tax rates to stabilize at a rate of approximately 18 percent, below its fiscal year 2017 rate of approximately 21 percent.</t>
        </r>
      </text>
    </comment>
    <comment ref="AG112" authorId="0">
      <text>
        <r>
          <rPr>
            <b/>
            <sz val="8"/>
            <color indexed="81"/>
            <rFont val="Tahoma"/>
            <family val="2"/>
          </rPr>
          <t>Brian Essex:</t>
        </r>
        <r>
          <rPr>
            <sz val="8"/>
            <color indexed="81"/>
            <rFont val="Tahoma"/>
            <family val="2"/>
          </rPr>
          <t xml:space="preserve">
12/14/06: guidance between $0.17 and $0.20</t>
        </r>
      </text>
    </comment>
    <comment ref="AH112" authorId="0">
      <text>
        <r>
          <rPr>
            <b/>
            <sz val="8"/>
            <color indexed="81"/>
            <rFont val="Tahoma"/>
            <family val="2"/>
          </rPr>
          <t>Brian Essex:</t>
        </r>
        <r>
          <rPr>
            <sz val="8"/>
            <color indexed="81"/>
            <rFont val="Tahoma"/>
            <family val="2"/>
          </rPr>
          <t xml:space="preserve">
3/20/07 guidance:
$0.23-$0.26</t>
        </r>
      </text>
    </comment>
    <comment ref="AI112" authorId="0">
      <text>
        <r>
          <rPr>
            <b/>
            <sz val="8"/>
            <color indexed="81"/>
            <rFont val="Tahoma"/>
            <family val="2"/>
          </rPr>
          <t>Brian Essex:</t>
        </r>
        <r>
          <rPr>
            <sz val="8"/>
            <color indexed="81"/>
            <rFont val="Tahoma"/>
            <family val="2"/>
          </rPr>
          <t xml:space="preserve">
$0.28-$0.31</t>
        </r>
      </text>
    </comment>
    <comment ref="AJ112" authorId="1">
      <text>
        <r>
          <rPr>
            <b/>
            <sz val="8"/>
            <color indexed="81"/>
            <rFont val="Tahoma"/>
            <family val="2"/>
          </rPr>
          <t>Samson Lee:</t>
        </r>
        <r>
          <rPr>
            <sz val="8"/>
            <color indexed="81"/>
            <rFont val="Tahoma"/>
            <family val="2"/>
          </rPr>
          <t xml:space="preserve">
$0.35 to $0.37</t>
        </r>
      </text>
    </comment>
    <comment ref="AL112" authorId="0">
      <text>
        <r>
          <rPr>
            <b/>
            <sz val="8"/>
            <color indexed="81"/>
            <rFont val="Tahoma"/>
            <family val="2"/>
          </rPr>
          <t>Brian Essex:</t>
        </r>
        <r>
          <rPr>
            <sz val="8"/>
            <color indexed="81"/>
            <rFont val="Tahoma"/>
            <family val="2"/>
          </rPr>
          <t xml:space="preserve">
Guidance $0.34-$0.36</t>
        </r>
      </text>
    </comment>
    <comment ref="AP112" authorId="2">
      <text>
        <r>
          <rPr>
            <b/>
            <sz val="8"/>
            <color indexed="81"/>
            <rFont val="Tahoma"/>
            <family val="2"/>
          </rPr>
          <t>Phillip Rowe:</t>
        </r>
        <r>
          <rPr>
            <sz val="8"/>
            <color indexed="81"/>
            <rFont val="Tahoma"/>
            <family val="2"/>
          </rPr>
          <t xml:space="preserve">
3/18; gaap 
EPS - 1.45 - 1.51 ; </t>
        </r>
      </text>
    </comment>
    <comment ref="AG114" authorId="0">
      <text>
        <r>
          <rPr>
            <b/>
            <sz val="8"/>
            <color indexed="81"/>
            <rFont val="Tahoma"/>
            <family val="2"/>
          </rPr>
          <t>Brian Essex:</t>
        </r>
        <r>
          <rPr>
            <sz val="8"/>
            <color indexed="81"/>
            <rFont val="Tahoma"/>
            <family val="2"/>
          </rPr>
          <t xml:space="preserve">
12/14/06: 609mm - 611mm shares expected.</t>
        </r>
      </text>
    </comment>
    <comment ref="AH114" authorId="0">
      <text>
        <r>
          <rPr>
            <b/>
            <sz val="8"/>
            <color indexed="81"/>
            <rFont val="Tahoma"/>
            <family val="2"/>
          </rPr>
          <t>Brian Essex:</t>
        </r>
        <r>
          <rPr>
            <sz val="8"/>
            <color indexed="81"/>
            <rFont val="Tahoma"/>
            <family val="2"/>
          </rPr>
          <t xml:space="preserve">
3/20/07 guidance:
605-607mm</t>
        </r>
      </text>
    </comment>
    <comment ref="AI114" authorId="0">
      <text>
        <r>
          <rPr>
            <b/>
            <sz val="8"/>
            <color indexed="81"/>
            <rFont val="Tahoma"/>
            <family val="2"/>
          </rPr>
          <t>Brian Essex:</t>
        </r>
        <r>
          <rPr>
            <sz val="8"/>
            <color indexed="81"/>
            <rFont val="Tahoma"/>
            <family val="2"/>
          </rPr>
          <t xml:space="preserve">
Guided to 607-608</t>
        </r>
      </text>
    </comment>
    <comment ref="AJ114" authorId="1">
      <text>
        <r>
          <rPr>
            <b/>
            <sz val="8"/>
            <color indexed="81"/>
            <rFont val="Tahoma"/>
            <family val="2"/>
          </rPr>
          <t>Samson Lee:</t>
        </r>
        <r>
          <rPr>
            <sz val="8"/>
            <color indexed="81"/>
            <rFont val="Tahoma"/>
            <family val="2"/>
          </rPr>
          <t xml:space="preserve">
588 to590 million</t>
        </r>
      </text>
    </comment>
    <comment ref="AL114" authorId="0">
      <text>
        <r>
          <rPr>
            <b/>
            <sz val="8"/>
            <color indexed="81"/>
            <rFont val="Tahoma"/>
            <family val="2"/>
          </rPr>
          <t>Brian Essex:</t>
        </r>
        <r>
          <rPr>
            <sz val="8"/>
            <color indexed="81"/>
            <rFont val="Tahoma"/>
            <family val="2"/>
          </rPr>
          <t xml:space="preserve">
Guidance of 586-588mm</t>
        </r>
      </text>
    </comment>
    <comment ref="AM114" authorId="2">
      <text>
        <r>
          <rPr>
            <b/>
            <sz val="8"/>
            <color indexed="81"/>
            <rFont val="Tahoma"/>
            <family val="2"/>
          </rPr>
          <t>Phillip Rowe:</t>
        </r>
        <r>
          <rPr>
            <sz val="8"/>
            <color indexed="81"/>
            <rFont val="Tahoma"/>
            <family val="2"/>
          </rPr>
          <t xml:space="preserve">
3/18 GUIDE: 546-550 shrs
</t>
        </r>
      </text>
    </comment>
    <comment ref="X116" authorId="0">
      <text>
        <r>
          <rPr>
            <b/>
            <sz val="8"/>
            <color indexed="81"/>
            <rFont val="Tahoma"/>
            <family val="2"/>
          </rPr>
          <t>Brian Essex:</t>
        </r>
        <r>
          <rPr>
            <sz val="8"/>
            <color indexed="81"/>
            <rFont val="Tahoma"/>
            <family val="2"/>
          </rPr>
          <t xml:space="preserve">
2 for 1 Stock Split on 5/24/05.</t>
        </r>
      </text>
    </comment>
    <comment ref="AB118" authorId="7">
      <text>
        <r>
          <rPr>
            <b/>
            <sz val="8"/>
            <color indexed="81"/>
            <rFont val="Tahoma"/>
            <family val="2"/>
          </rPr>
          <t>James Ferrara:</t>
        </r>
        <r>
          <rPr>
            <sz val="8"/>
            <color indexed="81"/>
            <rFont val="Tahoma"/>
            <family val="2"/>
          </rPr>
          <t xml:space="preserve">
As of 03/31/2006.</t>
        </r>
      </text>
    </comment>
    <comment ref="AC118" authorId="7">
      <text>
        <r>
          <rPr>
            <b/>
            <sz val="8"/>
            <color indexed="81"/>
            <rFont val="Tahoma"/>
            <family val="2"/>
          </rPr>
          <t>James Ferrara:</t>
        </r>
        <r>
          <rPr>
            <sz val="8"/>
            <color indexed="81"/>
            <rFont val="Tahoma"/>
            <family val="2"/>
          </rPr>
          <t xml:space="preserve">
As of 06/30/2006.</t>
        </r>
      </text>
    </comment>
    <comment ref="AD118" authorId="0">
      <text>
        <r>
          <rPr>
            <b/>
            <sz val="8"/>
            <color indexed="81"/>
            <rFont val="Tahoma"/>
            <family val="2"/>
          </rPr>
          <t>Brian Essex:</t>
        </r>
        <r>
          <rPr>
            <sz val="8"/>
            <color indexed="81"/>
            <rFont val="Tahoma"/>
            <family val="2"/>
          </rPr>
          <t xml:space="preserve">
at 9/29/06</t>
        </r>
      </text>
    </comment>
    <comment ref="AA176" authorId="8">
      <text>
        <r>
          <rPr>
            <sz val="8"/>
            <color indexed="81"/>
            <rFont val="Tahoma"/>
            <family val="2"/>
          </rPr>
          <t xml:space="preserve">
Accumulated Depreciation, ADBE 10K 2005
</t>
        </r>
      </text>
    </comment>
    <comment ref="AF176" authorId="8">
      <text>
        <r>
          <rPr>
            <sz val="8"/>
            <color indexed="81"/>
            <rFont val="Tahoma"/>
            <family val="2"/>
          </rPr>
          <t>From ADBE 10K, Accumulated Depreciation, 2006</t>
        </r>
      </text>
    </comment>
  </commentList>
</comments>
</file>

<file path=xl/comments3.xml><?xml version="1.0" encoding="utf-8"?>
<comments xmlns="http://schemas.openxmlformats.org/spreadsheetml/2006/main">
  <authors>
    <author>StanZ</author>
    <author>Mao, Tom (Research)</author>
    <author>Austria, Anjelo D (Research)</author>
    <author>essexbr</author>
    <author>Phillip Rowe</author>
    <author>Brian Essex</author>
  </authors>
  <commentList>
    <comment ref="BQ7" authorId="0">
      <text>
        <r>
          <rPr>
            <b/>
            <sz val="9"/>
            <color indexed="81"/>
            <rFont val="Tahoma"/>
            <family val="2"/>
          </rPr>
          <t>StanZ:</t>
        </r>
        <r>
          <rPr>
            <sz val="9"/>
            <color indexed="81"/>
            <rFont val="Tahoma"/>
            <family val="2"/>
          </rPr>
          <t xml:space="preserve">
Guide for QoQ growth</t>
        </r>
      </text>
    </comment>
    <comment ref="BR7" authorId="0">
      <text>
        <r>
          <rPr>
            <b/>
            <sz val="9"/>
            <color indexed="81"/>
            <rFont val="Tahoma"/>
            <family val="2"/>
          </rPr>
          <t>StanZ:</t>
        </r>
        <r>
          <rPr>
            <sz val="9"/>
            <color indexed="81"/>
            <rFont val="Tahoma"/>
            <family val="2"/>
          </rPr>
          <t xml:space="preserve">
Q2 call: QoQ decline</t>
        </r>
      </text>
    </comment>
    <comment ref="BS7" authorId="0">
      <text>
        <r>
          <rPr>
            <b/>
            <sz val="9"/>
            <color indexed="81"/>
            <rFont val="Tahoma"/>
            <family val="2"/>
          </rPr>
          <t>StanZ:</t>
        </r>
        <r>
          <rPr>
            <sz val="9"/>
            <color indexed="81"/>
            <rFont val="Tahoma"/>
            <family val="2"/>
          </rPr>
          <t xml:space="preserve">
Q3 call: QoQ growth</t>
        </r>
      </text>
    </comment>
    <comment ref="BU7" authorId="0">
      <text>
        <r>
          <rPr>
            <b/>
            <sz val="9"/>
            <color indexed="81"/>
            <rFont val="Tahoma"/>
            <family val="2"/>
          </rPr>
          <t>StanZ:</t>
        </r>
        <r>
          <rPr>
            <sz val="9"/>
            <color indexed="81"/>
            <rFont val="Tahoma"/>
            <family val="2"/>
          </rPr>
          <t xml:space="preserve">
grow QoQ
</t>
        </r>
      </text>
    </comment>
    <comment ref="BY7" authorId="1">
      <text>
        <r>
          <rPr>
            <b/>
            <sz val="9"/>
            <color indexed="81"/>
            <rFont val="Tahoma"/>
            <family val="2"/>
          </rPr>
          <t>Mao, Tom (Research):</t>
        </r>
        <r>
          <rPr>
            <sz val="9"/>
            <color indexed="81"/>
            <rFont val="Tahoma"/>
            <family val="2"/>
          </rPr>
          <t xml:space="preserve">
FQ3 2.95B</t>
        </r>
      </text>
    </comment>
    <comment ref="BS10" authorId="0">
      <text>
        <r>
          <rPr>
            <b/>
            <sz val="9"/>
            <color indexed="81"/>
            <rFont val="Tahoma"/>
            <family val="2"/>
          </rPr>
          <t>StanZ:</t>
        </r>
        <r>
          <rPr>
            <sz val="9"/>
            <color indexed="81"/>
            <rFont val="Tahoma"/>
            <family val="2"/>
          </rPr>
          <t xml:space="preserve">
Q3 call: same as Q314
</t>
        </r>
      </text>
    </comment>
    <comment ref="BU10" authorId="0">
      <text>
        <r>
          <rPr>
            <b/>
            <sz val="9"/>
            <color indexed="81"/>
            <rFont val="Tahoma"/>
            <family val="2"/>
          </rPr>
          <t>StanZ:</t>
        </r>
        <r>
          <rPr>
            <sz val="9"/>
            <color indexed="81"/>
            <rFont val="Tahoma"/>
            <family val="2"/>
          </rPr>
          <t xml:space="preserve">
expect slight QoQ decline</t>
        </r>
      </text>
    </comment>
    <comment ref="BY10" authorId="0">
      <text>
        <r>
          <rPr>
            <b/>
            <sz val="9"/>
            <color indexed="81"/>
            <rFont val="Tahoma"/>
            <family val="2"/>
          </rPr>
          <t>StanZ:</t>
        </r>
        <r>
          <rPr>
            <sz val="9"/>
            <color indexed="81"/>
            <rFont val="Tahoma"/>
            <family val="2"/>
          </rPr>
          <t xml:space="preserve">
Q414 call: grow slightly YoY</t>
        </r>
      </text>
    </comment>
    <comment ref="BQ17" authorId="0">
      <text>
        <r>
          <rPr>
            <b/>
            <sz val="9"/>
            <color indexed="81"/>
            <rFont val="Tahoma"/>
            <family val="2"/>
          </rPr>
          <t>StanZ:</t>
        </r>
        <r>
          <rPr>
            <sz val="9"/>
            <color indexed="81"/>
            <rFont val="Tahoma"/>
            <family val="2"/>
          </rPr>
          <t xml:space="preserve">
Guide for QoQ growth</t>
        </r>
      </text>
    </comment>
    <comment ref="BR17" authorId="0">
      <text>
        <r>
          <rPr>
            <b/>
            <sz val="9"/>
            <color indexed="81"/>
            <rFont val="Tahoma"/>
            <family val="2"/>
          </rPr>
          <t>StanZ:</t>
        </r>
        <r>
          <rPr>
            <sz val="9"/>
            <color indexed="81"/>
            <rFont val="Tahoma"/>
            <family val="2"/>
          </rPr>
          <t xml:space="preserve">
Q2 call: ~20% growth</t>
        </r>
      </text>
    </comment>
    <comment ref="BS17" authorId="0">
      <text>
        <r>
          <rPr>
            <b/>
            <sz val="9"/>
            <color indexed="81"/>
            <rFont val="Tahoma"/>
            <family val="2"/>
          </rPr>
          <t>StanZ:</t>
        </r>
        <r>
          <rPr>
            <sz val="9"/>
            <color indexed="81"/>
            <rFont val="Tahoma"/>
            <family val="2"/>
          </rPr>
          <t xml:space="preserve">
Q3 call: "grow slightly YoY"</t>
        </r>
      </text>
    </comment>
    <comment ref="BT17" authorId="0">
      <text>
        <r>
          <rPr>
            <b/>
            <sz val="9"/>
            <color indexed="81"/>
            <rFont val="Tahoma"/>
            <family val="2"/>
          </rPr>
          <t>StanZ:</t>
        </r>
        <r>
          <rPr>
            <sz val="9"/>
            <color indexed="81"/>
            <rFont val="Tahoma"/>
            <family val="2"/>
          </rPr>
          <t xml:space="preserve">
Q214 call: "at least 20%"
Q413 call: ~20%
</t>
        </r>
      </text>
    </comment>
    <comment ref="BU17" authorId="0">
      <text>
        <r>
          <rPr>
            <b/>
            <sz val="9"/>
            <color indexed="81"/>
            <rFont val="Tahoma"/>
            <family val="2"/>
          </rPr>
          <t>StanZ:</t>
        </r>
        <r>
          <rPr>
            <sz val="9"/>
            <color indexed="81"/>
            <rFont val="Tahoma"/>
            <family val="2"/>
          </rPr>
          <t xml:space="preserve">
expect QoQ decline, but YoY growth</t>
        </r>
      </text>
    </comment>
    <comment ref="BX17" authorId="1">
      <text>
        <r>
          <rPr>
            <b/>
            <sz val="9"/>
            <color indexed="81"/>
            <rFont val="Tahoma"/>
            <family val="2"/>
          </rPr>
          <t>Mao, Tom (Research):</t>
        </r>
        <r>
          <rPr>
            <sz val="9"/>
            <color indexed="81"/>
            <rFont val="Tahoma"/>
            <family val="2"/>
          </rPr>
          <t xml:space="preserve">
FQ3 365-400M </t>
        </r>
      </text>
    </comment>
    <comment ref="BY17" authorId="0">
      <text>
        <r>
          <rPr>
            <b/>
            <sz val="9"/>
            <color indexed="81"/>
            <rFont val="Tahoma"/>
            <family val="2"/>
          </rPr>
          <t>StanZ:</t>
        </r>
        <r>
          <rPr>
            <sz val="9"/>
            <color indexed="81"/>
            <rFont val="Tahoma"/>
            <family val="2"/>
          </rPr>
          <t xml:space="preserve">
Q414 call: 30% bookings and 25% rev growth</t>
        </r>
      </text>
    </comment>
    <comment ref="CD17" authorId="2">
      <text>
        <r>
          <rPr>
            <b/>
            <sz val="9"/>
            <color indexed="81"/>
            <rFont val="Tahoma"/>
            <family val="2"/>
          </rPr>
          <t>Austria, Anjelo D (Research):</t>
        </r>
        <r>
          <rPr>
            <sz val="9"/>
            <color indexed="81"/>
            <rFont val="Tahoma"/>
            <family val="2"/>
          </rPr>
          <t xml:space="preserve">
Expected ~$45M of perpetual revenue</t>
        </r>
      </text>
    </comment>
    <comment ref="BQ24" authorId="0">
      <text>
        <r>
          <rPr>
            <b/>
            <sz val="9"/>
            <color indexed="81"/>
            <rFont val="Tahoma"/>
            <family val="2"/>
          </rPr>
          <t>StanZ:</t>
        </r>
        <r>
          <rPr>
            <sz val="9"/>
            <color indexed="81"/>
            <rFont val="Tahoma"/>
            <family val="2"/>
          </rPr>
          <t xml:space="preserve">
Guide flat QoQ</t>
        </r>
      </text>
    </comment>
    <comment ref="BR24" authorId="0">
      <text>
        <r>
          <rPr>
            <b/>
            <sz val="9"/>
            <color indexed="81"/>
            <rFont val="Tahoma"/>
            <family val="2"/>
          </rPr>
          <t>StanZ:</t>
        </r>
        <r>
          <rPr>
            <sz val="9"/>
            <color indexed="81"/>
            <rFont val="Tahoma"/>
            <family val="2"/>
          </rPr>
          <t xml:space="preserve">
Q2 call: flat QoQ</t>
        </r>
      </text>
    </comment>
    <comment ref="BS24" authorId="0">
      <text>
        <r>
          <rPr>
            <b/>
            <sz val="9"/>
            <color indexed="81"/>
            <rFont val="Tahoma"/>
            <family val="2"/>
          </rPr>
          <t>StanZ:</t>
        </r>
        <r>
          <rPr>
            <sz val="9"/>
            <color indexed="81"/>
            <rFont val="Tahoma"/>
            <family val="2"/>
          </rPr>
          <t xml:space="preserve">
Q3 call: relatively flat QoQ</t>
        </r>
      </text>
    </comment>
    <comment ref="BU24" authorId="0">
      <text>
        <r>
          <rPr>
            <b/>
            <sz val="9"/>
            <color indexed="81"/>
            <rFont val="Tahoma"/>
            <family val="2"/>
          </rPr>
          <t>StanZ:</t>
        </r>
        <r>
          <rPr>
            <sz val="9"/>
            <color indexed="81"/>
            <rFont val="Tahoma"/>
            <family val="2"/>
          </rPr>
          <t xml:space="preserve">
expect QoQ decline</t>
        </r>
      </text>
    </comment>
    <comment ref="BY24" authorId="0">
      <text>
        <r>
          <rPr>
            <b/>
            <sz val="9"/>
            <color indexed="81"/>
            <rFont val="Tahoma"/>
            <family val="2"/>
          </rPr>
          <t>StanZ:</t>
        </r>
        <r>
          <rPr>
            <sz val="9"/>
            <color indexed="81"/>
            <rFont val="Tahoma"/>
            <family val="2"/>
          </rPr>
          <t xml:space="preserve">
Q414 call: expect slight YoY decline</t>
        </r>
      </text>
    </comment>
    <comment ref="CJ24" authorId="2">
      <text>
        <r>
          <rPr>
            <b/>
            <sz val="9"/>
            <color indexed="81"/>
            <rFont val="Tahoma"/>
            <family val="2"/>
          </rPr>
          <t>Austria, Anjelo D (Research):</t>
        </r>
        <r>
          <rPr>
            <sz val="9"/>
            <color indexed="81"/>
            <rFont val="Tahoma"/>
            <family val="2"/>
          </rPr>
          <t xml:space="preserve">
MS Estimate
</t>
        </r>
      </text>
    </comment>
    <comment ref="BQ27" authorId="0">
      <text>
        <r>
          <rPr>
            <b/>
            <sz val="9"/>
            <color indexed="81"/>
            <rFont val="Tahoma"/>
            <family val="2"/>
          </rPr>
          <t>StanZ:</t>
        </r>
        <r>
          <rPr>
            <sz val="9"/>
            <color indexed="81"/>
            <rFont val="Tahoma"/>
            <family val="2"/>
          </rPr>
          <t xml:space="preserve">
Guide for down QoQ</t>
        </r>
      </text>
    </comment>
    <comment ref="BR27" authorId="0">
      <text>
        <r>
          <rPr>
            <b/>
            <sz val="9"/>
            <color indexed="81"/>
            <rFont val="Tahoma"/>
            <family val="2"/>
          </rPr>
          <t>StanZ:</t>
        </r>
        <r>
          <rPr>
            <sz val="9"/>
            <color indexed="81"/>
            <rFont val="Tahoma"/>
            <family val="2"/>
          </rPr>
          <t xml:space="preserve">
Q2 call: QoQ decline</t>
        </r>
      </text>
    </comment>
    <comment ref="BS27" authorId="0">
      <text>
        <r>
          <rPr>
            <b/>
            <sz val="9"/>
            <color indexed="81"/>
            <rFont val="Tahoma"/>
            <family val="2"/>
          </rPr>
          <t>StanZ:</t>
        </r>
        <r>
          <rPr>
            <sz val="9"/>
            <color indexed="81"/>
            <rFont val="Tahoma"/>
            <family val="2"/>
          </rPr>
          <t xml:space="preserve">
Q3 call: QoQ decline</t>
        </r>
      </text>
    </comment>
    <comment ref="BU27" authorId="0">
      <text>
        <r>
          <rPr>
            <b/>
            <sz val="9"/>
            <color indexed="81"/>
            <rFont val="Tahoma"/>
            <family val="2"/>
          </rPr>
          <t>StanZ:</t>
        </r>
        <r>
          <rPr>
            <sz val="9"/>
            <color indexed="81"/>
            <rFont val="Tahoma"/>
            <family val="2"/>
          </rPr>
          <t xml:space="preserve">
expect QoQ decline</t>
        </r>
      </text>
    </comment>
    <comment ref="BY27" authorId="0">
      <text>
        <r>
          <rPr>
            <b/>
            <sz val="9"/>
            <color indexed="81"/>
            <rFont val="Tahoma"/>
            <family val="2"/>
          </rPr>
          <t>StanZ:</t>
        </r>
        <r>
          <rPr>
            <sz val="9"/>
            <color indexed="81"/>
            <rFont val="Tahoma"/>
            <family val="2"/>
          </rPr>
          <t xml:space="preserve">
Q414 call: expect slight YoY decline</t>
        </r>
      </text>
    </comment>
    <comment ref="CJ27" authorId="2">
      <text>
        <r>
          <rPr>
            <b/>
            <sz val="9"/>
            <color indexed="81"/>
            <rFont val="Tahoma"/>
            <family val="2"/>
          </rPr>
          <t>Austria, Anjelo D (Research):</t>
        </r>
        <r>
          <rPr>
            <sz val="9"/>
            <color indexed="81"/>
            <rFont val="Tahoma"/>
            <family val="2"/>
          </rPr>
          <t xml:space="preserve">
MS Estimate
</t>
        </r>
      </text>
    </comment>
    <comment ref="BZ31" authorId="2">
      <text>
        <r>
          <rPr>
            <b/>
            <sz val="9"/>
            <color indexed="81"/>
            <rFont val="Tahoma"/>
            <family val="2"/>
          </rPr>
          <t>Austria, Anjelo D (Research):</t>
        </r>
        <r>
          <rPr>
            <sz val="9"/>
            <color indexed="81"/>
            <rFont val="Tahoma"/>
            <family val="2"/>
          </rPr>
          <t xml:space="preserve">
"The first quarter had an extra week of revenue, which we estimate had an approximate benefit of $75 million.”</t>
        </r>
      </text>
    </comment>
    <comment ref="A66" authorId="3">
      <text>
        <r>
          <rPr>
            <b/>
            <sz val="8"/>
            <color indexed="81"/>
            <rFont val="Tahoma"/>
            <family val="2"/>
          </rPr>
          <t>essexbr:</t>
        </r>
        <r>
          <rPr>
            <sz val="8"/>
            <color indexed="81"/>
            <rFont val="Tahoma"/>
            <family val="2"/>
          </rPr>
          <t xml:space="preserve">
These are backed into based on %age of segment above.</t>
        </r>
      </text>
    </comment>
    <comment ref="A79" authorId="3">
      <text>
        <r>
          <rPr>
            <b/>
            <sz val="8"/>
            <color indexed="81"/>
            <rFont val="Tahoma"/>
            <family val="2"/>
          </rPr>
          <t>essexbr:</t>
        </r>
        <r>
          <rPr>
            <sz val="8"/>
            <color indexed="81"/>
            <rFont val="Tahoma"/>
            <family val="2"/>
          </rPr>
          <t xml:space="preserve">
This driver backs cost of services &amp; support out of total cost.</t>
        </r>
      </text>
    </comment>
    <comment ref="BU83" authorId="0">
      <text>
        <r>
          <rPr>
            <b/>
            <sz val="9"/>
            <color indexed="81"/>
            <rFont val="Tahoma"/>
            <family val="2"/>
          </rPr>
          <t>StanZ:</t>
        </r>
        <r>
          <rPr>
            <sz val="9"/>
            <color indexed="81"/>
            <rFont val="Tahoma"/>
            <family val="2"/>
          </rPr>
          <t xml:space="preserve">
expect QoQ decline</t>
        </r>
      </text>
    </comment>
    <comment ref="A153" authorId="4">
      <text>
        <r>
          <rPr>
            <b/>
            <sz val="8"/>
            <color indexed="81"/>
            <rFont val="Tahoma"/>
            <family val="2"/>
          </rPr>
          <t>Phillip Rowe:</t>
        </r>
        <r>
          <rPr>
            <sz val="8"/>
            <color indexed="81"/>
            <rFont val="Tahoma"/>
            <family val="2"/>
          </rPr>
          <t xml:space="preserve">
Creative Suite, Photoshop, Illustrator</t>
        </r>
      </text>
    </comment>
    <comment ref="AG153" authorId="5">
      <text>
        <r>
          <rPr>
            <b/>
            <sz val="8"/>
            <color indexed="81"/>
            <rFont val="Tahoma"/>
            <family val="2"/>
          </rPr>
          <t>Brian Essex:</t>
        </r>
        <r>
          <rPr>
            <sz val="8"/>
            <color indexed="81"/>
            <rFont val="Tahoma"/>
            <family val="2"/>
          </rPr>
          <t xml:space="preserve">
Flash video streaming and Flash media server reported in CS this Q instead of Knowledge worker.</t>
        </r>
      </text>
    </comment>
    <comment ref="AK153" authorId="4">
      <text>
        <r>
          <rPr>
            <b/>
            <sz val="8"/>
            <color indexed="81"/>
            <rFont val="Tahoma"/>
            <family val="2"/>
          </rPr>
          <t>Phillip Rowe:</t>
        </r>
        <r>
          <rPr>
            <sz val="8"/>
            <color indexed="81"/>
            <rFont val="Tahoma"/>
            <family val="2"/>
          </rPr>
          <t xml:space="preserve">
65% is suites based revs</t>
        </r>
      </text>
    </comment>
    <comment ref="AL153" authorId="4">
      <text>
        <r>
          <rPr>
            <b/>
            <sz val="8"/>
            <color indexed="81"/>
            <rFont val="Tahoma"/>
            <family val="2"/>
          </rPr>
          <t>Phillip Rowe:</t>
        </r>
        <r>
          <rPr>
            <sz val="8"/>
            <color indexed="81"/>
            <rFont val="Tahoma"/>
            <family val="2"/>
          </rPr>
          <t xml:space="preserve">
CS3 rev would be up, but other creative would be down due to hobbyist  seasonality</t>
        </r>
      </text>
    </comment>
    <comment ref="AM153" authorId="4">
      <text>
        <r>
          <rPr>
            <b/>
            <sz val="8"/>
            <color indexed="81"/>
            <rFont val="Tahoma"/>
            <family val="2"/>
          </rPr>
          <t>Phillip Rowe:</t>
        </r>
        <r>
          <rPr>
            <sz val="8"/>
            <color indexed="81"/>
            <rFont val="Tahoma"/>
            <family val="2"/>
          </rPr>
          <t xml:space="preserve">
CS3 anniversary in April 2008</t>
        </r>
      </text>
    </comment>
    <comment ref="A157" authorId="4">
      <text>
        <r>
          <rPr>
            <b/>
            <sz val="8"/>
            <color indexed="81"/>
            <rFont val="Tahoma"/>
            <family val="2"/>
          </rPr>
          <t>Phillip Rowe:</t>
        </r>
        <r>
          <rPr>
            <sz val="8"/>
            <color indexed="81"/>
            <rFont val="Tahoma"/>
            <family val="2"/>
          </rPr>
          <t xml:space="preserve">
 mostly desktop Acrobat</t>
        </r>
      </text>
    </comment>
    <comment ref="A160" authorId="4">
      <text>
        <r>
          <rPr>
            <b/>
            <sz val="8"/>
            <color indexed="81"/>
            <rFont val="Tahoma"/>
            <family val="2"/>
          </rPr>
          <t>Phillip Rowe:</t>
        </r>
        <r>
          <rPr>
            <sz val="8"/>
            <color indexed="81"/>
            <rFont val="Tahoma"/>
            <family val="2"/>
          </rPr>
          <t xml:space="preserve">
mostly server software</t>
        </r>
      </text>
    </comment>
    <comment ref="A163" authorId="4">
      <text>
        <r>
          <rPr>
            <b/>
            <sz val="8"/>
            <color indexed="81"/>
            <rFont val="Tahoma"/>
            <family val="2"/>
          </rPr>
          <t>Phillip Rowe:</t>
        </r>
        <r>
          <rPr>
            <sz val="8"/>
            <color indexed="81"/>
            <rFont val="Tahoma"/>
            <family val="2"/>
          </rPr>
          <t xml:space="preserve">
mostly server software</t>
        </r>
      </text>
    </comment>
    <comment ref="A167" authorId="4">
      <text>
        <r>
          <rPr>
            <b/>
            <sz val="8"/>
            <color indexed="81"/>
            <rFont val="Tahoma"/>
            <family val="2"/>
          </rPr>
          <t>Phillip Rowe:</t>
        </r>
        <r>
          <rPr>
            <sz val="8"/>
            <color indexed="81"/>
            <rFont val="Tahoma"/>
            <family val="2"/>
          </rPr>
          <t xml:space="preserve">
Flash player OEM rev</t>
        </r>
      </text>
    </comment>
    <comment ref="AJ167" authorId="4">
      <text>
        <r>
          <rPr>
            <b/>
            <sz val="8"/>
            <color indexed="81"/>
            <rFont val="Tahoma"/>
            <family val="2"/>
          </rPr>
          <t>Phillip Rowe:</t>
        </r>
        <r>
          <rPr>
            <sz val="8"/>
            <color indexed="81"/>
            <rFont val="Tahoma"/>
            <family val="2"/>
          </rPr>
          <t xml:space="preserve">
vedeo growth was 37% yy</t>
        </r>
      </text>
    </comment>
    <comment ref="AL167" authorId="4">
      <text>
        <r>
          <rPr>
            <b/>
            <sz val="8"/>
            <color indexed="81"/>
            <rFont val="Tahoma"/>
            <family val="2"/>
          </rPr>
          <t>Phillip Rowe:</t>
        </r>
        <r>
          <rPr>
            <sz val="8"/>
            <color indexed="81"/>
            <rFont val="Tahoma"/>
            <family val="2"/>
          </rPr>
          <t xml:space="preserve">
Q4 call: Q1 would be approx same as Q4</t>
        </r>
      </text>
    </comment>
    <comment ref="A182" authorId="4">
      <text>
        <r>
          <rPr>
            <b/>
            <sz val="8"/>
            <color indexed="81"/>
            <rFont val="Tahoma"/>
            <family val="2"/>
          </rPr>
          <t>Phillip Rowe:</t>
        </r>
        <r>
          <rPr>
            <sz val="8"/>
            <color indexed="81"/>
            <rFont val="Tahoma"/>
            <family val="2"/>
          </rPr>
          <t xml:space="preserve">
old design products, player royalties, etc.</t>
        </r>
      </text>
    </comment>
    <comment ref="AL182" authorId="4">
      <text>
        <r>
          <rPr>
            <b/>
            <sz val="8"/>
            <color indexed="81"/>
            <rFont val="Tahoma"/>
            <family val="2"/>
          </rPr>
          <t>Phillip Rowe:</t>
        </r>
        <r>
          <rPr>
            <sz val="8"/>
            <color indexed="81"/>
            <rFont val="Tahoma"/>
            <family val="2"/>
          </rPr>
          <t xml:space="preserve">
Q4 call: Q1 would be approx same as Q4</t>
        </r>
      </text>
    </comment>
    <comment ref="AQ182" authorId="4">
      <text>
        <r>
          <rPr>
            <b/>
            <sz val="8"/>
            <color indexed="81"/>
            <rFont val="Tahoma"/>
            <family val="2"/>
          </rPr>
          <t>Phillip Rowe:</t>
        </r>
        <r>
          <rPr>
            <sz val="8"/>
            <color indexed="81"/>
            <rFont val="Tahoma"/>
            <family val="2"/>
          </rPr>
          <t xml:space="preserve">
Q4 call: Q1 would be approx same as Q4</t>
        </r>
      </text>
    </comment>
    <comment ref="A222" authorId="3">
      <text>
        <r>
          <rPr>
            <b/>
            <sz val="8"/>
            <color indexed="81"/>
            <rFont val="Tahoma"/>
            <family val="2"/>
          </rPr>
          <t>essexbr:</t>
        </r>
        <r>
          <rPr>
            <sz val="8"/>
            <color indexed="81"/>
            <rFont val="Tahoma"/>
            <family val="2"/>
          </rPr>
          <t xml:space="preserve">
Individual segment drivers.</t>
        </r>
      </text>
    </comment>
    <comment ref="A223" authorId="3">
      <text>
        <r>
          <rPr>
            <b/>
            <sz val="8"/>
            <color indexed="81"/>
            <rFont val="Tahoma"/>
            <family val="2"/>
          </rPr>
          <t>essexbr:</t>
        </r>
        <r>
          <rPr>
            <sz val="8"/>
            <color indexed="81"/>
            <rFont val="Tahoma"/>
            <family val="2"/>
          </rPr>
          <t xml:space="preserve">
Individual segment drivers.</t>
        </r>
      </text>
    </comment>
    <comment ref="A255" authorId="3">
      <text>
        <r>
          <rPr>
            <b/>
            <sz val="8"/>
            <color indexed="81"/>
            <rFont val="Tahoma"/>
            <family val="2"/>
          </rPr>
          <t>essexbr:</t>
        </r>
        <r>
          <rPr>
            <sz val="8"/>
            <color indexed="81"/>
            <rFont val="Tahoma"/>
            <family val="2"/>
          </rPr>
          <t xml:space="preserve">
These segments drive total cost.</t>
        </r>
      </text>
    </comment>
  </commentList>
</comments>
</file>

<file path=xl/comments4.xml><?xml version="1.0" encoding="utf-8"?>
<comments xmlns="http://schemas.openxmlformats.org/spreadsheetml/2006/main">
  <authors>
    <author>StanZ</author>
    <author>Austria, Anjelo D (Research)</author>
    <author>Phillip Rowe</author>
    <author>swanjenn</author>
    <author>Lowe, Jennifer Swanson (Research)</author>
    <author>meligo</author>
    <author>Zlotsky, Stan (Research)</author>
    <author>stanz</author>
  </authors>
  <commentList>
    <comment ref="BT17" authorId="0">
      <text>
        <r>
          <rPr>
            <b/>
            <sz val="9"/>
            <color indexed="81"/>
            <rFont val="Tahoma"/>
            <family val="2"/>
          </rPr>
          <t>StanZ:</t>
        </r>
        <r>
          <rPr>
            <sz val="9"/>
            <color indexed="81"/>
            <rFont val="Tahoma"/>
            <family val="2"/>
          </rPr>
          <t xml:space="preserve">
given on Q1 call</t>
        </r>
      </text>
    </comment>
    <comment ref="CD18" authorId="1">
      <text>
        <r>
          <rPr>
            <b/>
            <sz val="9"/>
            <color indexed="81"/>
            <rFont val="Tahoma"/>
            <family val="2"/>
          </rPr>
          <t>Austria, Anjelo D (Research):</t>
        </r>
        <r>
          <rPr>
            <sz val="9"/>
            <color indexed="81"/>
            <rFont val="Tahoma"/>
            <family val="2"/>
          </rPr>
          <t xml:space="preserve">
$19M target
</t>
        </r>
      </text>
    </comment>
    <comment ref="AI52" authorId="2">
      <text>
        <r>
          <rPr>
            <b/>
            <sz val="8"/>
            <color indexed="81"/>
            <rFont val="Tahoma"/>
            <family val="2"/>
          </rPr>
          <t>Phillip Rowe:</t>
        </r>
        <r>
          <rPr>
            <sz val="8"/>
            <color indexed="81"/>
            <rFont val="Tahoma"/>
            <family val="2"/>
          </rPr>
          <t xml:space="preserve">
majority of increase was R&amp;D</t>
        </r>
      </text>
    </comment>
    <comment ref="AB60" authorId="3">
      <text>
        <r>
          <rPr>
            <b/>
            <sz val="8"/>
            <color indexed="81"/>
            <rFont val="Tahoma"/>
            <family val="2"/>
          </rPr>
          <t>swanjenn:</t>
        </r>
        <r>
          <rPr>
            <sz val="8"/>
            <color indexed="81"/>
            <rFont val="Tahoma"/>
            <family val="2"/>
          </rPr>
          <t xml:space="preserve">
"insignificant percentage"</t>
        </r>
      </text>
    </comment>
    <comment ref="AC60" authorId="3">
      <text>
        <r>
          <rPr>
            <b/>
            <sz val="8"/>
            <color indexed="81"/>
            <rFont val="Tahoma"/>
            <family val="2"/>
          </rPr>
          <t>swanjenn:</t>
        </r>
        <r>
          <rPr>
            <sz val="8"/>
            <color indexed="81"/>
            <rFont val="Tahoma"/>
            <family val="2"/>
          </rPr>
          <t xml:space="preserve">
"insignificant percentage"</t>
        </r>
      </text>
    </comment>
    <comment ref="AF60" authorId="3">
      <text>
        <r>
          <rPr>
            <b/>
            <sz val="8"/>
            <color indexed="81"/>
            <rFont val="Tahoma"/>
            <family val="2"/>
          </rPr>
          <t>swanjenn:</t>
        </r>
        <r>
          <rPr>
            <sz val="8"/>
            <color indexed="81"/>
            <rFont val="Tahoma"/>
            <family val="2"/>
          </rPr>
          <t xml:space="preserve">
"less than 1%"</t>
        </r>
      </text>
    </comment>
    <comment ref="AM60" authorId="3">
      <text>
        <r>
          <rPr>
            <b/>
            <sz val="8"/>
            <color indexed="81"/>
            <rFont val="Tahoma"/>
            <family val="2"/>
          </rPr>
          <t>swanjenn:</t>
        </r>
        <r>
          <rPr>
            <sz val="8"/>
            <color indexed="81"/>
            <rFont val="Tahoma"/>
            <family val="2"/>
          </rPr>
          <t xml:space="preserve">
"minimal"
</t>
        </r>
      </text>
    </comment>
    <comment ref="AN60" authorId="3">
      <text>
        <r>
          <rPr>
            <b/>
            <sz val="8"/>
            <color indexed="81"/>
            <rFont val="Tahoma"/>
            <family val="2"/>
          </rPr>
          <t>swanjenn:</t>
        </r>
        <r>
          <rPr>
            <sz val="8"/>
            <color indexed="81"/>
            <rFont val="Tahoma"/>
            <family val="2"/>
          </rPr>
          <t xml:space="preserve">
"minimal"
</t>
        </r>
      </text>
    </comment>
    <comment ref="AP60" authorId="3">
      <text>
        <r>
          <rPr>
            <b/>
            <sz val="8"/>
            <color indexed="81"/>
            <rFont val="Tahoma"/>
            <family val="2"/>
          </rPr>
          <t>swanjenn:</t>
        </r>
        <r>
          <rPr>
            <sz val="8"/>
            <color indexed="81"/>
            <rFont val="Tahoma"/>
            <family val="2"/>
          </rPr>
          <t xml:space="preserve">
"minimal"
</t>
        </r>
      </text>
    </comment>
    <comment ref="BR67" authorId="0">
      <text>
        <r>
          <rPr>
            <b/>
            <sz val="9"/>
            <color indexed="81"/>
            <rFont val="Tahoma"/>
            <family val="2"/>
          </rPr>
          <t>StanZ:</t>
        </r>
        <r>
          <rPr>
            <sz val="9"/>
            <color indexed="81"/>
            <rFont val="Tahoma"/>
            <family val="2"/>
          </rPr>
          <t xml:space="preserve">
- 3.3m on Q2 call
- 3m on Q413 call</t>
        </r>
      </text>
    </comment>
    <comment ref="BZ69" authorId="1">
      <text>
        <r>
          <rPr>
            <b/>
            <sz val="9"/>
            <color indexed="81"/>
            <rFont val="Tahoma"/>
            <family val="2"/>
          </rPr>
          <t>Austria, Anjelo D (Research):</t>
        </r>
        <r>
          <rPr>
            <sz val="9"/>
            <color indexed="81"/>
            <rFont val="Tahoma"/>
            <family val="2"/>
          </rPr>
          <t xml:space="preserve">
MS Estimate
</t>
        </r>
      </text>
    </comment>
    <comment ref="CA69" authorId="1">
      <text>
        <r>
          <rPr>
            <b/>
            <sz val="9"/>
            <color indexed="81"/>
            <rFont val="Tahoma"/>
            <family val="2"/>
          </rPr>
          <t>Austria, Anjelo D (Research):</t>
        </r>
        <r>
          <rPr>
            <sz val="9"/>
            <color indexed="81"/>
            <rFont val="Tahoma"/>
            <family val="2"/>
          </rPr>
          <t xml:space="preserve">
MS Estimate
</t>
        </r>
      </text>
    </comment>
    <comment ref="CB69" authorId="1">
      <text>
        <r>
          <rPr>
            <b/>
            <sz val="9"/>
            <color indexed="81"/>
            <rFont val="Tahoma"/>
            <family val="2"/>
          </rPr>
          <t>Austria, Anjelo D (Research):</t>
        </r>
        <r>
          <rPr>
            <sz val="9"/>
            <color indexed="81"/>
            <rFont val="Tahoma"/>
            <family val="2"/>
          </rPr>
          <t xml:space="preserve">
MS Estimate
</t>
        </r>
      </text>
    </comment>
    <comment ref="CD69" authorId="1">
      <text>
        <r>
          <rPr>
            <b/>
            <sz val="9"/>
            <color indexed="81"/>
            <rFont val="Tahoma"/>
            <family val="2"/>
          </rPr>
          <t>Austria, Anjelo D (Research):</t>
        </r>
        <r>
          <rPr>
            <sz val="9"/>
            <color indexed="81"/>
            <rFont val="Tahoma"/>
            <family val="2"/>
          </rPr>
          <t xml:space="preserve">
MS Estimate
</t>
        </r>
      </text>
    </comment>
    <comment ref="CE69" authorId="1">
      <text>
        <r>
          <rPr>
            <b/>
            <sz val="9"/>
            <color indexed="81"/>
            <rFont val="Tahoma"/>
            <family val="2"/>
          </rPr>
          <t>Austria, Anjelo D (Research):</t>
        </r>
        <r>
          <rPr>
            <sz val="9"/>
            <color indexed="81"/>
            <rFont val="Tahoma"/>
            <family val="2"/>
          </rPr>
          <t xml:space="preserve">
MS Estimate
</t>
        </r>
      </text>
    </comment>
    <comment ref="CF69" authorId="1">
      <text>
        <r>
          <rPr>
            <b/>
            <sz val="9"/>
            <color indexed="81"/>
            <rFont val="Tahoma"/>
            <family val="2"/>
          </rPr>
          <t>Austria, Anjelo D (Research):</t>
        </r>
        <r>
          <rPr>
            <sz val="9"/>
            <color indexed="81"/>
            <rFont val="Tahoma"/>
            <family val="2"/>
          </rPr>
          <t xml:space="preserve">
MS Estimate
</t>
        </r>
      </text>
    </comment>
    <comment ref="CE71" authorId="1">
      <text>
        <r>
          <rPr>
            <b/>
            <sz val="9"/>
            <color indexed="81"/>
            <rFont val="Tahoma"/>
            <family val="2"/>
          </rPr>
          <t>Austria, Anjelo D (Research):</t>
        </r>
        <r>
          <rPr>
            <sz val="9"/>
            <color indexed="81"/>
            <rFont val="Tahoma"/>
            <family val="2"/>
          </rPr>
          <t xml:space="preserve">
Q2 ARR performance was also driven by solid retention, as well as quarter-over-quarter ARPU growth across all key offerings.</t>
        </r>
      </text>
    </comment>
    <comment ref="CI71" authorId="1">
      <text>
        <r>
          <rPr>
            <b/>
            <sz val="9"/>
            <color indexed="81"/>
            <rFont val="Tahoma"/>
            <family val="2"/>
          </rPr>
          <t>Austria, Anjelo D (Research):</t>
        </r>
        <r>
          <rPr>
            <sz val="9"/>
            <color indexed="81"/>
            <rFont val="Tahoma"/>
            <family val="2"/>
          </rPr>
          <t xml:space="preserve">
Intl price changes, services on, etc
</t>
        </r>
      </text>
    </comment>
    <comment ref="BR74" authorId="4">
      <text>
        <r>
          <rPr>
            <b/>
            <sz val="8"/>
            <color indexed="81"/>
            <rFont val="Tahoma"/>
            <family val="2"/>
          </rPr>
          <t>Lowe, Jennifer Swanson (Research):</t>
        </r>
        <r>
          <rPr>
            <sz val="8"/>
            <color indexed="81"/>
            <rFont val="Tahoma"/>
            <family val="2"/>
          </rPr>
          <t xml:space="preserve">
Would've been ~$62M lower at current FX</t>
        </r>
      </text>
    </comment>
    <comment ref="BS74" authorId="0">
      <text>
        <r>
          <rPr>
            <b/>
            <sz val="9"/>
            <color indexed="81"/>
            <rFont val="Tahoma"/>
            <family val="2"/>
          </rPr>
          <t>StanZ:</t>
        </r>
        <r>
          <rPr>
            <sz val="9"/>
            <color indexed="81"/>
            <rFont val="Tahoma"/>
            <family val="2"/>
          </rPr>
          <t xml:space="preserve">
- $1.60B on Q413 call (including DP suite)
</t>
        </r>
      </text>
    </comment>
    <comment ref="BW74" authorId="1">
      <text>
        <r>
          <rPr>
            <b/>
            <sz val="9"/>
            <color indexed="81"/>
            <rFont val="Tahoma"/>
            <family val="2"/>
          </rPr>
          <t>Austria, Anjelo D (Research):</t>
        </r>
        <r>
          <rPr>
            <sz val="9"/>
            <color indexed="81"/>
            <rFont val="Tahoma"/>
            <family val="2"/>
          </rPr>
          <t xml:space="preserve">
2,599 at 2014 Rates
</t>
        </r>
      </text>
    </comment>
    <comment ref="CB74" authorId="1">
      <text>
        <r>
          <rPr>
            <b/>
            <sz val="9"/>
            <color indexed="81"/>
            <rFont val="Tahoma"/>
            <family val="2"/>
          </rPr>
          <t>Austria, Anjelo D (Research):</t>
        </r>
        <r>
          <rPr>
            <sz val="9"/>
            <color indexed="81"/>
            <rFont val="Tahoma"/>
            <family val="2"/>
          </rPr>
          <t xml:space="preserve">
$3,539M at 2015 Rates
</t>
        </r>
      </text>
    </comment>
    <comment ref="CG74" authorId="1">
      <text>
        <r>
          <rPr>
            <b/>
            <sz val="9"/>
            <color indexed="81"/>
            <rFont val="Tahoma"/>
            <family val="2"/>
          </rPr>
          <t>Austria, Anjelo D (Research):</t>
        </r>
        <r>
          <rPr>
            <sz val="9"/>
            <color indexed="81"/>
            <rFont val="Tahoma"/>
            <family val="2"/>
          </rPr>
          <t xml:space="preserve">
$4,631M on December 2016 FX Rates
</t>
        </r>
      </text>
    </comment>
    <comment ref="BO93" authorId="0">
      <text>
        <r>
          <rPr>
            <b/>
            <sz val="9"/>
            <color indexed="81"/>
            <rFont val="Tahoma"/>
            <family val="2"/>
          </rPr>
          <t>StanZ:</t>
        </r>
        <r>
          <rPr>
            <sz val="9"/>
            <color indexed="81"/>
            <rFont val="Tahoma"/>
            <family val="2"/>
          </rPr>
          <t xml:space="preserve">
- on Q413 call expect QoQ decline</t>
        </r>
      </text>
    </comment>
    <comment ref="BN104" authorId="5">
      <text>
        <r>
          <rPr>
            <b/>
            <sz val="8"/>
            <color indexed="81"/>
            <rFont val="Tahoma"/>
            <family val="2"/>
          </rPr>
          <t>meligo:</t>
        </r>
        <r>
          <rPr>
            <sz val="8"/>
            <color indexed="81"/>
            <rFont val="Tahoma"/>
            <family val="2"/>
          </rPr>
          <t xml:space="preserve">
$115M by FY13</t>
        </r>
      </text>
    </comment>
    <comment ref="BS104" authorId="6">
      <text>
        <r>
          <rPr>
            <b/>
            <sz val="9"/>
            <color indexed="81"/>
            <rFont val="Tahoma"/>
            <family val="2"/>
          </rPr>
          <t xml:space="preserve">StanZ: 
- </t>
        </r>
        <r>
          <rPr>
            <sz val="9"/>
            <color indexed="81"/>
            <rFont val="Tahoma"/>
            <family val="2"/>
          </rPr>
          <t>$250M on Q413 call</t>
        </r>
      </text>
    </comment>
    <comment ref="BW104" authorId="1">
      <text>
        <r>
          <rPr>
            <b/>
            <sz val="9"/>
            <color indexed="81"/>
            <rFont val="Tahoma"/>
            <family val="2"/>
          </rPr>
          <t>Austria, Anjelo D (Research):</t>
        </r>
        <r>
          <rPr>
            <sz val="9"/>
            <color indexed="81"/>
            <rFont val="Tahoma"/>
            <family val="2"/>
          </rPr>
          <t xml:space="preserve">
397 at 2014 currency rates
</t>
        </r>
      </text>
    </comment>
    <comment ref="CB104" authorId="1">
      <text>
        <r>
          <rPr>
            <b/>
            <sz val="9"/>
            <color indexed="81"/>
            <rFont val="Tahoma"/>
            <family val="2"/>
          </rPr>
          <t>Austria, Anjelo D (Research):</t>
        </r>
        <r>
          <rPr>
            <sz val="9"/>
            <color indexed="81"/>
            <rFont val="Tahoma"/>
            <family val="2"/>
          </rPr>
          <t xml:space="preserve">
$475 at 2015 Rates
</t>
        </r>
      </text>
    </comment>
    <comment ref="CG104" authorId="1">
      <text>
        <r>
          <rPr>
            <b/>
            <sz val="9"/>
            <color indexed="81"/>
            <rFont val="Tahoma"/>
            <family val="2"/>
          </rPr>
          <t>Austria, Anjelo D (Research):</t>
        </r>
        <r>
          <rPr>
            <sz val="9"/>
            <color indexed="81"/>
            <rFont val="Tahoma"/>
            <family val="2"/>
          </rPr>
          <t xml:space="preserve">
$600M at Dec 2016 rates
</t>
        </r>
      </text>
    </comment>
    <comment ref="BN111" authorId="7">
      <text>
        <r>
          <rPr>
            <b/>
            <sz val="8"/>
            <color indexed="81"/>
            <rFont val="Tahoma"/>
            <family val="2"/>
          </rPr>
          <t>stanz:</t>
        </r>
        <r>
          <rPr>
            <sz val="8"/>
            <color indexed="81"/>
            <rFont val="Tahoma"/>
            <family val="2"/>
          </rPr>
          <t xml:space="preserve">
raised to $875m from $800 on Q313 call</t>
        </r>
      </text>
    </comment>
    <comment ref="BQ111" authorId="0">
      <text>
        <r>
          <rPr>
            <b/>
            <sz val="9"/>
            <color indexed="81"/>
            <rFont val="Tahoma"/>
            <family val="2"/>
          </rPr>
          <t>StanZ:</t>
        </r>
        <r>
          <rPr>
            <sz val="9"/>
            <color indexed="81"/>
            <rFont val="Tahoma"/>
            <family val="2"/>
          </rPr>
          <t xml:space="preserve">
Q2 call: $250M QoQ ARR increase
</t>
        </r>
      </text>
    </comment>
    <comment ref="BS111" authorId="0">
      <text>
        <r>
          <rPr>
            <b/>
            <sz val="9"/>
            <color indexed="81"/>
            <rFont val="Tahoma"/>
            <family val="2"/>
          </rPr>
          <t>StanZ:</t>
        </r>
        <r>
          <rPr>
            <sz val="9"/>
            <color indexed="81"/>
            <rFont val="Tahoma"/>
            <family val="2"/>
          </rPr>
          <t xml:space="preserve">
- $1.925B on Q314 call
- $1.925B on Q214 call
- $1.85B on Q413 call</t>
        </r>
      </text>
    </comment>
    <comment ref="BW111" authorId="4">
      <text>
        <r>
          <rPr>
            <b/>
            <sz val="8"/>
            <color indexed="81"/>
            <rFont val="Tahoma"/>
            <family val="2"/>
          </rPr>
          <t>Lowe, Jennifer Swanson (Research):</t>
        </r>
        <r>
          <rPr>
            <sz val="8"/>
            <color indexed="81"/>
            <rFont val="Tahoma"/>
            <family val="2"/>
          </rPr>
          <t xml:space="preserve">
Guide Q414: $2.9B</t>
        </r>
      </text>
    </comment>
    <comment ref="BX111" authorId="0">
      <text>
        <r>
          <rPr>
            <b/>
            <sz val="9"/>
            <color indexed="81"/>
            <rFont val="Tahoma"/>
            <family val="2"/>
          </rPr>
          <t>StanZ:</t>
        </r>
        <r>
          <rPr>
            <sz val="9"/>
            <color indexed="81"/>
            <rFont val="Tahoma"/>
            <family val="2"/>
          </rPr>
          <t xml:space="preserve">
Q2 call: raised from $2.9B to $2.925B</t>
        </r>
      </text>
    </comment>
    <comment ref="CB111" authorId="1">
      <text>
        <r>
          <rPr>
            <b/>
            <sz val="9"/>
            <color indexed="81"/>
            <rFont val="Tahoma"/>
            <family val="2"/>
          </rPr>
          <t>Austria, Anjelo D (Research):</t>
        </r>
        <r>
          <rPr>
            <sz val="9"/>
            <color indexed="81"/>
            <rFont val="Tahoma"/>
            <family val="2"/>
          </rPr>
          <t xml:space="preserve">
$4,014M at 2015 Rates
</t>
        </r>
      </text>
    </comment>
    <comment ref="CG111" authorId="1">
      <text>
        <r>
          <rPr>
            <b/>
            <sz val="9"/>
            <color indexed="81"/>
            <rFont val="Tahoma"/>
            <family val="2"/>
          </rPr>
          <t>Austria, Anjelo D (Research):</t>
        </r>
        <r>
          <rPr>
            <sz val="9"/>
            <color indexed="81"/>
            <rFont val="Tahoma"/>
            <family val="2"/>
          </rPr>
          <t xml:space="preserve">
$5,231M Dec 2016 FX
</t>
        </r>
      </text>
    </comment>
    <comment ref="CI113" authorId="1">
      <text>
        <r>
          <rPr>
            <b/>
            <sz val="9"/>
            <color indexed="81"/>
            <rFont val="Tahoma"/>
            <family val="2"/>
          </rPr>
          <t>Austria, Anjelo D (Research):</t>
        </r>
        <r>
          <rPr>
            <sz val="9"/>
            <color indexed="81"/>
            <rFont val="Tahoma"/>
            <family val="2"/>
          </rPr>
          <t xml:space="preserve">
Includes one-time $20M catch-up benefit from FX
</t>
        </r>
      </text>
    </comment>
    <comment ref="BI173" authorId="0">
      <text>
        <r>
          <rPr>
            <b/>
            <sz val="9"/>
            <color indexed="81"/>
            <rFont val="Tahoma"/>
            <family val="2"/>
          </rPr>
          <t>StanZ:</t>
        </r>
        <r>
          <rPr>
            <sz val="9"/>
            <color indexed="81"/>
            <rFont val="Tahoma"/>
            <family val="2"/>
          </rPr>
          <t xml:space="preserve">
On 2015 A-day 80% of all ELAs converted to ETLA and out of 3.3M ETLA seats, we estimate 10% were new</t>
        </r>
      </text>
    </comment>
    <comment ref="BI176" authorId="0">
      <text>
        <r>
          <rPr>
            <b/>
            <sz val="9"/>
            <color indexed="81"/>
            <rFont val="Tahoma"/>
            <family val="2"/>
          </rPr>
          <t>StanZ:</t>
        </r>
        <r>
          <rPr>
            <sz val="9"/>
            <color indexed="81"/>
            <rFont val="Tahoma"/>
            <family val="2"/>
          </rPr>
          <t xml:space="preserve">
Given in May '13 as of 1QFY13; CS3-CS5.5 install base</t>
        </r>
      </text>
    </comment>
  </commentList>
</comments>
</file>

<file path=xl/comments5.xml><?xml version="1.0" encoding="utf-8"?>
<comments xmlns="http://schemas.openxmlformats.org/spreadsheetml/2006/main">
  <authors>
    <author>essexbr</author>
    <author>swanjenn</author>
    <author>Lowe, Jennifer Swanson (Research)</author>
    <author>Austria, Anjelo D (Research)</author>
    <author>StanZ</author>
    <author>Phillip Rowe</author>
  </authors>
  <commentList>
    <comment ref="X28" authorId="0">
      <text>
        <r>
          <rPr>
            <b/>
            <sz val="8"/>
            <color indexed="81"/>
            <rFont val="Tahoma"/>
            <family val="2"/>
          </rPr>
          <t>essexbr:</t>
        </r>
        <r>
          <rPr>
            <sz val="8"/>
            <color indexed="81"/>
            <rFont val="Tahoma"/>
            <family val="2"/>
          </rPr>
          <t xml:space="preserve">
Check to make sure not going down when projections finished.</t>
        </r>
      </text>
    </comment>
    <comment ref="BP29" authorId="1">
      <text>
        <r>
          <rPr>
            <b/>
            <sz val="8"/>
            <color indexed="81"/>
            <rFont val="Tahoma"/>
            <family val="2"/>
          </rPr>
          <t>swanjenn:</t>
        </r>
        <r>
          <rPr>
            <sz val="8"/>
            <color indexed="81"/>
            <rFont val="Tahoma"/>
            <family val="2"/>
          </rPr>
          <t xml:space="preserve">
$600M of debt due in Feb 2015</t>
        </r>
      </text>
    </comment>
    <comment ref="BT60" authorId="2">
      <text>
        <r>
          <rPr>
            <b/>
            <sz val="8"/>
            <color indexed="81"/>
            <rFont val="Tahoma"/>
            <family val="2"/>
          </rPr>
          <t>Lowe, Jennifer Swanson (Research):</t>
        </r>
        <r>
          <rPr>
            <sz val="8"/>
            <color indexed="81"/>
            <rFont val="Tahoma"/>
            <family val="2"/>
          </rPr>
          <t xml:space="preserve">
From 10-K
</t>
        </r>
      </text>
    </comment>
    <comment ref="BY60" authorId="3">
      <text>
        <r>
          <rPr>
            <b/>
            <sz val="9"/>
            <color indexed="81"/>
            <rFont val="Tahoma"/>
            <family val="2"/>
          </rPr>
          <t>Austria, Anjelo D (Research):</t>
        </r>
        <r>
          <rPr>
            <sz val="9"/>
            <color indexed="81"/>
            <rFont val="Tahoma"/>
            <family val="2"/>
          </rPr>
          <t xml:space="preserve">
10-K
</t>
        </r>
      </text>
    </comment>
    <comment ref="CD60" authorId="3">
      <text>
        <r>
          <rPr>
            <b/>
            <sz val="9"/>
            <color indexed="81"/>
            <rFont val="Tahoma"/>
            <family val="2"/>
          </rPr>
          <t>Austria, Anjelo D (Research):</t>
        </r>
        <r>
          <rPr>
            <sz val="9"/>
            <color indexed="81"/>
            <rFont val="Tahoma"/>
            <family val="2"/>
          </rPr>
          <t xml:space="preserve">
10K
</t>
        </r>
      </text>
    </comment>
    <comment ref="CI60" authorId="3">
      <text>
        <r>
          <rPr>
            <b/>
            <sz val="9"/>
            <color indexed="81"/>
            <rFont val="Tahoma"/>
            <family val="2"/>
          </rPr>
          <t>Austria, Anjelo D (Research):</t>
        </r>
        <r>
          <rPr>
            <sz val="9"/>
            <color indexed="81"/>
            <rFont val="Tahoma"/>
            <family val="2"/>
          </rPr>
          <t xml:space="preserve">
10K
</t>
        </r>
      </text>
    </comment>
    <comment ref="BT61" authorId="2">
      <text>
        <r>
          <rPr>
            <b/>
            <sz val="8"/>
            <color indexed="81"/>
            <rFont val="Tahoma"/>
            <family val="2"/>
          </rPr>
          <t>Lowe, Jennifer Swanson (Research):</t>
        </r>
        <r>
          <rPr>
            <sz val="8"/>
            <color indexed="81"/>
            <rFont val="Tahoma"/>
            <family val="2"/>
          </rPr>
          <t xml:space="preserve">
From 10-K</t>
        </r>
      </text>
    </comment>
    <comment ref="CC61" authorId="3">
      <text>
        <r>
          <rPr>
            <b/>
            <sz val="9"/>
            <color indexed="81"/>
            <rFont val="Tahoma"/>
            <family val="2"/>
          </rPr>
          <t>Austria, Anjelo D (Research):</t>
        </r>
        <r>
          <rPr>
            <sz val="9"/>
            <color indexed="81"/>
            <rFont val="Tahoma"/>
            <family val="2"/>
          </rPr>
          <t xml:space="preserve">
we repurchased approximately 3.2 million shares at a cost of $331 million. We currently
have $500 million remaining under our current authority granted January 2015.
</t>
        </r>
      </text>
    </comment>
    <comment ref="BS71" authorId="4">
      <text>
        <r>
          <rPr>
            <b/>
            <sz val="9"/>
            <color indexed="81"/>
            <rFont val="Tahoma"/>
            <family val="2"/>
          </rPr>
          <t>StanZ:</t>
        </r>
        <r>
          <rPr>
            <sz val="9"/>
            <color indexed="81"/>
            <rFont val="Tahoma"/>
            <family val="2"/>
          </rPr>
          <t xml:space="preserve">
announced Jan 14, 2015</t>
        </r>
      </text>
    </comment>
    <comment ref="CE71" authorId="3">
      <text>
        <r>
          <rPr>
            <b/>
            <sz val="9"/>
            <color indexed="81"/>
            <rFont val="Tahoma"/>
            <family val="2"/>
          </rPr>
          <t>Austria, Anjelo D (Research):</t>
        </r>
        <r>
          <rPr>
            <sz val="9"/>
            <color indexed="81"/>
            <rFont val="Tahoma"/>
            <family val="2"/>
          </rPr>
          <t xml:space="preserve">
On January 17, 2017, Adobe issued a press release announcing that its Board of Directors has approved a new stock repurchase program granting the Company authority to repurchase up to $2.5 billion in common stock through the end of fiscal 2019. 
</t>
        </r>
      </text>
    </comment>
    <comment ref="CF71" authorId="3">
      <text>
        <r>
          <rPr>
            <b/>
            <sz val="9"/>
            <color indexed="81"/>
            <rFont val="Tahoma"/>
            <family val="2"/>
          </rPr>
          <t>Austria, Anjelo D (Research):</t>
        </r>
        <r>
          <rPr>
            <sz val="9"/>
            <color indexed="81"/>
            <rFont val="Tahoma"/>
            <family val="2"/>
          </rPr>
          <t xml:space="preserve">
In Q2, we repurchased approximately 2 million shares at a cost of $266 million, and we exhausted our $2 billion authority granted in January 2015. In Q3 we will begin utilizing our new $2.5 billion authority granted in January 2017.</t>
        </r>
      </text>
    </comment>
    <comment ref="CG71" authorId="3">
      <text>
        <r>
          <rPr>
            <b/>
            <sz val="9"/>
            <color indexed="81"/>
            <rFont val="Tahoma"/>
            <family val="2"/>
          </rPr>
          <t>Austria, Anjelo D (Research):</t>
        </r>
        <r>
          <rPr>
            <sz val="9"/>
            <color indexed="81"/>
            <rFont val="Tahoma"/>
            <family val="2"/>
          </rPr>
          <t xml:space="preserve">
In Q3, we repurchased approximately 2.1 million shares at a cost of $298 million. We have
approximately $2.2 billion remaining of our $2.5 billion stock repurchase authority granted in January
2017.</t>
        </r>
      </text>
    </comment>
    <comment ref="CH71" authorId="3">
      <text>
        <r>
          <rPr>
            <b/>
            <sz val="9"/>
            <color indexed="81"/>
            <rFont val="Tahoma"/>
            <family val="2"/>
          </rPr>
          <t>Austria, Anjelo D (Research):</t>
        </r>
        <r>
          <rPr>
            <sz val="9"/>
            <color indexed="81"/>
            <rFont val="Tahoma"/>
            <family val="2"/>
          </rPr>
          <t xml:space="preserve">
In Q4, we repurchased approximately 1.9 million shares at a cost of $297 million. During the year, we
repurchased 8.2 million shares, returning $1.1 billion dollars to stockholders. We have approximately $1.9
billion remaining of our $2.5 billion stock repurchase authority granted in January 2017.</t>
        </r>
      </text>
    </comment>
    <comment ref="CJ71" authorId="3">
      <text>
        <r>
          <rPr>
            <b/>
            <sz val="9"/>
            <color indexed="81"/>
            <rFont val="Tahoma"/>
            <family val="2"/>
          </rPr>
          <t>Austria, Anjelo D (Research):</t>
        </r>
        <r>
          <rPr>
            <sz val="9"/>
            <color indexed="81"/>
            <rFont val="Tahoma"/>
            <family val="2"/>
          </rPr>
          <t xml:space="preserve">
In Q1 FY18 we repurchased 1.6 million shares at a cost of $301 million, which lowered our diluted share count to less than 500 million shares. We have approximately $1.6 billion remaining of our $2.5 billion stock repurchase authority granted in January 2017.</t>
        </r>
      </text>
    </comment>
    <comment ref="AL95" authorId="5">
      <text>
        <r>
          <rPr>
            <b/>
            <sz val="8"/>
            <color indexed="81"/>
            <rFont val="Tahoma"/>
            <family val="2"/>
          </rPr>
          <t>Phillip Rowe:</t>
        </r>
        <r>
          <rPr>
            <sz val="8"/>
            <color indexed="81"/>
            <rFont val="Tahoma"/>
            <family val="2"/>
          </rPr>
          <t xml:space="preserve">
3/11/08: Talked with Mike Saviage (IR): 
43 in Q107 is abnormallyl high/ mid 30 is more reasonable (</t>
        </r>
      </text>
    </comment>
    <comment ref="AQ95" authorId="5">
      <text>
        <r>
          <rPr>
            <b/>
            <sz val="8"/>
            <color indexed="81"/>
            <rFont val="Tahoma"/>
            <family val="2"/>
          </rPr>
          <t>Phillip Rowe:</t>
        </r>
        <r>
          <rPr>
            <sz val="8"/>
            <color indexed="81"/>
            <rFont val="Tahoma"/>
            <family val="2"/>
          </rPr>
          <t xml:space="preserve">
3/11/08: Talked with Mike Saviage (IR): 
43 in Q107 is abnormallyl high/ mid 30 is more reasonable (</t>
        </r>
      </text>
    </comment>
    <comment ref="A115" authorId="1">
      <text>
        <r>
          <rPr>
            <b/>
            <sz val="8"/>
            <color indexed="81"/>
            <rFont val="Tahoma"/>
            <family val="2"/>
          </rPr>
          <t>swanjenn:</t>
        </r>
        <r>
          <rPr>
            <sz val="8"/>
            <color indexed="81"/>
            <rFont val="Tahoma"/>
            <family val="2"/>
          </rPr>
          <t xml:space="preserve">
In February 2010, we issued $600.0 million of 3.25% senior notes due February 1, 2015 (the “2015 Notes”) and $900.0 million of 4.75% senior notes due February 1, 2020 (the “2020 Notes” and, together with the 2015 Notes, the “Notes”). Our proceeds were approximately $1.5 billion and were net of an issuance discount of $6.6 million. The Notes rank equally with our other unsecured and unsubordinated indebtedness. In addition, we incurred issuance costs of approximately $10.7 million. Both the discount and issuance costs are being amortized to interest expense over the respective terms of the Notes using the effective interest method. The effective interest rate including the discount and issuance costs is 3.45% for the 2015 Notes and 4.92% for the 2020 Notes. Interest is payable semi-annually, in arrears, on February 1 and August 1, commencing on August 1, 2010. During fiscal 2012 interest payments totaled $62.3 million. The proceeds from the Notes are available for general corporate purposes, including repayment of any balance outstanding on our credit facility. </t>
        </r>
      </text>
    </comment>
    <comment ref="BJ127" authorId="2">
      <text>
        <r>
          <rPr>
            <b/>
            <sz val="8"/>
            <color indexed="81"/>
            <rFont val="Tahoma"/>
            <family val="2"/>
          </rPr>
          <t>Lowe, Jennifer Swanson (Research):</t>
        </r>
        <r>
          <rPr>
            <sz val="8"/>
            <color indexed="81"/>
            <rFont val="Tahoma"/>
            <family val="2"/>
          </rPr>
          <t xml:space="preserve">
Per 10-K
</t>
        </r>
      </text>
    </comment>
    <comment ref="BO127" authorId="2">
      <text>
        <r>
          <rPr>
            <b/>
            <sz val="8"/>
            <color indexed="81"/>
            <rFont val="Tahoma"/>
            <family val="2"/>
          </rPr>
          <t>Lowe, Jennifer Swanson (Research):</t>
        </r>
        <r>
          <rPr>
            <sz val="8"/>
            <color indexed="81"/>
            <rFont val="Tahoma"/>
            <family val="2"/>
          </rPr>
          <t xml:space="preserve">
Per 10-K
</t>
        </r>
      </text>
    </comment>
    <comment ref="BT127" authorId="2">
      <text>
        <r>
          <rPr>
            <b/>
            <sz val="8"/>
            <color indexed="81"/>
            <rFont val="Tahoma"/>
            <family val="2"/>
          </rPr>
          <t>Lowe, Jennifer Swanson (Research):</t>
        </r>
        <r>
          <rPr>
            <sz val="8"/>
            <color indexed="81"/>
            <rFont val="Tahoma"/>
            <family val="2"/>
          </rPr>
          <t xml:space="preserve">
Per 10-K
</t>
        </r>
      </text>
    </comment>
    <comment ref="BY127" authorId="3">
      <text>
        <r>
          <rPr>
            <b/>
            <sz val="9"/>
            <color indexed="81"/>
            <rFont val="Tahoma"/>
            <family val="2"/>
          </rPr>
          <t>Austria, Anjelo D (Research):</t>
        </r>
        <r>
          <rPr>
            <sz val="9"/>
            <color indexed="81"/>
            <rFont val="Tahoma"/>
            <family val="2"/>
          </rPr>
          <t xml:space="preserve">
10K
</t>
        </r>
      </text>
    </comment>
    <comment ref="CD127" authorId="3">
      <text>
        <r>
          <rPr>
            <b/>
            <sz val="9"/>
            <color indexed="81"/>
            <rFont val="Tahoma"/>
            <family val="2"/>
          </rPr>
          <t>Austria, Anjelo D (Research):</t>
        </r>
        <r>
          <rPr>
            <sz val="9"/>
            <color indexed="81"/>
            <rFont val="Tahoma"/>
            <family val="2"/>
          </rPr>
          <t xml:space="preserve">
10K
</t>
        </r>
      </text>
    </comment>
    <comment ref="BR128" authorId="2">
      <text>
        <r>
          <rPr>
            <b/>
            <sz val="8"/>
            <color indexed="81"/>
            <rFont val="Tahoma"/>
            <family val="2"/>
          </rPr>
          <t>Lowe, Jennifer Swanson (Research):</t>
        </r>
        <r>
          <rPr>
            <sz val="8"/>
            <color indexed="81"/>
            <rFont val="Tahoma"/>
            <family val="2"/>
          </rPr>
          <t xml:space="preserve">
In August 2014, we exercised our option to purchase the East and West Towers for a total purchase price of $143.2 million. We capitalized the East and West Towers as property and equipment on our Consolidated Balance Sheets at $144.1 million, the lesser of cost or fair value, which represented the total purchase price plus other direct costs associated with the purchase. These buildings will be depreciated over their useful life of 40 years on a straight-line basis. </t>
        </r>
      </text>
    </comment>
    <comment ref="BW128" authorId="2">
      <text>
        <r>
          <rPr>
            <b/>
            <sz val="8"/>
            <color indexed="81"/>
            <rFont val="Tahoma"/>
            <family val="2"/>
          </rPr>
          <t>Lowe, Jennifer Swanson (Research):</t>
        </r>
        <r>
          <rPr>
            <sz val="8"/>
            <color indexed="81"/>
            <rFont val="Tahoma"/>
            <family val="2"/>
          </rPr>
          <t xml:space="preserve">
In August 2014, we exercised our option to purchase the East and West Towers for a total purchase price of $143.2 million. We capitalized the East and West Towers as property and equipment on our Consolidated Balance Sheets at $144.1 million, the lesser of cost or fair value, which represented the total purchase price plus other direct costs associated with the purchase. These buildings will be depreciated over their useful life of 40 years on a straight-line basis. </t>
        </r>
      </text>
    </comment>
    <comment ref="BX128" authorId="2">
      <text>
        <r>
          <rPr>
            <b/>
            <sz val="8"/>
            <color indexed="81"/>
            <rFont val="Tahoma"/>
            <family val="2"/>
          </rPr>
          <t>Lowe, Jennifer Swanson (Research):</t>
        </r>
        <r>
          <rPr>
            <sz val="8"/>
            <color indexed="81"/>
            <rFont val="Tahoma"/>
            <family val="2"/>
          </rPr>
          <t xml:space="preserve">
In August 2014, we exercised our option to purchase the East and West Towers for a total purchase price of $143.2 million. We capitalized the East and West Towers as property and equipment on our Consolidated Balance Sheets at $144.1 million, the lesser of cost or fair value, which represented the total purchase price plus other direct costs associated with the purchase. These buildings will be depreciated over their useful life of 40 years on a straight-line basis. </t>
        </r>
      </text>
    </comment>
    <comment ref="BU133" authorId="2">
      <text>
        <r>
          <rPr>
            <b/>
            <sz val="8"/>
            <color indexed="81"/>
            <rFont val="Tahoma"/>
            <family val="2"/>
          </rPr>
          <t>Lowe, Jennifer Swanson (Research):</t>
        </r>
        <r>
          <rPr>
            <sz val="8"/>
            <color indexed="81"/>
            <rFont val="Tahoma"/>
            <family val="2"/>
          </rPr>
          <t xml:space="preserve">
Fotolia</t>
        </r>
      </text>
    </comment>
    <comment ref="BJ134" authorId="2">
      <text>
        <r>
          <rPr>
            <b/>
            <sz val="8"/>
            <color indexed="81"/>
            <rFont val="Tahoma"/>
            <family val="2"/>
          </rPr>
          <t>Lowe, Jennifer Swanson (Research):</t>
        </r>
        <r>
          <rPr>
            <sz val="8"/>
            <color indexed="81"/>
            <rFont val="Tahoma"/>
            <family val="2"/>
          </rPr>
          <t xml:space="preserve">
Per 10-K
</t>
        </r>
      </text>
    </comment>
    <comment ref="BO134" authorId="2">
      <text>
        <r>
          <rPr>
            <b/>
            <sz val="8"/>
            <color indexed="81"/>
            <rFont val="Tahoma"/>
            <family val="2"/>
          </rPr>
          <t>Lowe, Jennifer Swanson (Research):</t>
        </r>
        <r>
          <rPr>
            <sz val="8"/>
            <color indexed="81"/>
            <rFont val="Tahoma"/>
            <family val="2"/>
          </rPr>
          <t xml:space="preserve">
Per 10-K
</t>
        </r>
      </text>
    </comment>
    <comment ref="BT134" authorId="2">
      <text>
        <r>
          <rPr>
            <b/>
            <sz val="8"/>
            <color indexed="81"/>
            <rFont val="Tahoma"/>
            <family val="2"/>
          </rPr>
          <t>Lowe, Jennifer Swanson (Research):</t>
        </r>
        <r>
          <rPr>
            <sz val="8"/>
            <color indexed="81"/>
            <rFont val="Tahoma"/>
            <family val="2"/>
          </rPr>
          <t xml:space="preserve">
Per 10-K
</t>
        </r>
      </text>
    </comment>
    <comment ref="BY134" authorId="3">
      <text>
        <r>
          <rPr>
            <b/>
            <sz val="9"/>
            <color indexed="81"/>
            <rFont val="Tahoma"/>
            <family val="2"/>
          </rPr>
          <t>Austria, Anjelo D (Research):</t>
        </r>
        <r>
          <rPr>
            <sz val="9"/>
            <color indexed="81"/>
            <rFont val="Tahoma"/>
            <family val="2"/>
          </rPr>
          <t xml:space="preserve">
10K
</t>
        </r>
      </text>
    </comment>
    <comment ref="CD134" authorId="3">
      <text>
        <r>
          <rPr>
            <b/>
            <sz val="9"/>
            <color indexed="81"/>
            <rFont val="Tahoma"/>
            <family val="2"/>
          </rPr>
          <t>Austria, Anjelo D (Research):</t>
        </r>
        <r>
          <rPr>
            <sz val="9"/>
            <color indexed="81"/>
            <rFont val="Tahoma"/>
            <family val="2"/>
          </rPr>
          <t xml:space="preserve">
10K
</t>
        </r>
      </text>
    </comment>
  </commentList>
</comments>
</file>

<file path=xl/comments6.xml><?xml version="1.0" encoding="utf-8"?>
<comments xmlns="http://schemas.openxmlformats.org/spreadsheetml/2006/main">
  <authors>
    <author>Brian Essex</author>
    <author>essexbr</author>
  </authors>
  <commentList>
    <comment ref="Y11" authorId="0">
      <text>
        <r>
          <rPr>
            <b/>
            <sz val="8"/>
            <color indexed="81"/>
            <rFont val="Tahoma"/>
            <family val="2"/>
          </rPr>
          <t>Brian Essex:</t>
        </r>
        <r>
          <rPr>
            <sz val="8"/>
            <color indexed="81"/>
            <rFont val="Tahoma"/>
            <family val="2"/>
          </rPr>
          <t xml:space="preserve">
Retirement of PP&amp;E.</t>
        </r>
      </text>
    </comment>
    <comment ref="W52" authorId="1">
      <text>
        <r>
          <rPr>
            <b/>
            <sz val="8"/>
            <color indexed="81"/>
            <rFont val="Tahoma"/>
            <family val="2"/>
          </rPr>
          <t>essexbr:</t>
        </r>
        <r>
          <rPr>
            <sz val="8"/>
            <color indexed="81"/>
            <rFont val="Tahoma"/>
            <family val="2"/>
          </rPr>
          <t xml:space="preserve">
Press release does not balance to 10k.</t>
        </r>
      </text>
    </comment>
  </commentList>
</comments>
</file>

<file path=xl/comments7.xml><?xml version="1.0" encoding="utf-8"?>
<comments xmlns="http://schemas.openxmlformats.org/spreadsheetml/2006/main">
  <authors>
    <author>swanjenn</author>
    <author>Austria, Anjelo D (Research)</author>
  </authors>
  <commentList>
    <comment ref="AC55" authorId="0">
      <text>
        <r>
          <rPr>
            <b/>
            <sz val="8"/>
            <color indexed="81"/>
            <rFont val="Tahoma"/>
            <family val="2"/>
          </rPr>
          <t>swanjenn:</t>
        </r>
        <r>
          <rPr>
            <sz val="8"/>
            <color indexed="81"/>
            <rFont val="Tahoma"/>
            <family val="2"/>
          </rPr>
          <t xml:space="preserve">
revenues in EMEA and Asia measured in US dollars decreased approximately $15.2 million and $39.7 million during the three and six months ended June 2, 2006</t>
        </r>
      </text>
    </comment>
    <comment ref="CA66" authorId="1">
      <text>
        <r>
          <rPr>
            <b/>
            <sz val="9"/>
            <color indexed="81"/>
            <rFont val="Tahoma"/>
            <family val="2"/>
          </rPr>
          <t>Austria, Anjelo D (Research):</t>
        </r>
        <r>
          <rPr>
            <sz val="9"/>
            <color indexed="81"/>
            <rFont val="Tahoma"/>
            <family val="2"/>
          </rPr>
          <t xml:space="preserve">
Source: Oanda
</t>
        </r>
      </text>
    </comment>
  </commentList>
</comments>
</file>

<file path=xl/sharedStrings.xml><?xml version="1.0" encoding="utf-8"?>
<sst xmlns="http://schemas.openxmlformats.org/spreadsheetml/2006/main" count="3703" uniqueCount="1279">
  <si>
    <t>$0.26-$0.32</t>
  </si>
  <si>
    <t>Buyback as % of FCF</t>
  </si>
  <si>
    <t>Scenario Analysis</t>
  </si>
  <si>
    <t>Bear</t>
  </si>
  <si>
    <t>Bull</t>
  </si>
  <si>
    <t xml:space="preserve"> 2/08</t>
  </si>
  <si>
    <t>Constant Currency Growth</t>
  </si>
  <si>
    <t>Revenues</t>
  </si>
  <si>
    <t>Organic Revenue Growth</t>
  </si>
  <si>
    <t>Organic Revenue</t>
  </si>
  <si>
    <t>Revenue Per Employee (000s)</t>
  </si>
  <si>
    <t>Revenue Per RND Employee (000s)</t>
  </si>
  <si>
    <t>Revenue Per S&amp;M Employee (000s)</t>
  </si>
  <si>
    <t>Revenue Analysis</t>
  </si>
  <si>
    <t>Q.Q</t>
  </si>
  <si>
    <t>Capex</t>
  </si>
  <si>
    <t>Depreciation</t>
  </si>
  <si>
    <t>svcsGM</t>
  </si>
  <si>
    <t>productGM</t>
  </si>
  <si>
    <t>grmgn</t>
  </si>
  <si>
    <t>LiveCycle and Web Conferencing Revenue</t>
  </si>
  <si>
    <t>Efficient Frontier (1/20/2012)</t>
  </si>
  <si>
    <t>Digital Media ex Document Services</t>
  </si>
  <si>
    <t>$1,090-1,040</t>
  </si>
  <si>
    <t>502-504</t>
  </si>
  <si>
    <t>$0.57-0.61</t>
  </si>
  <si>
    <t>Year-over-year growth:</t>
  </si>
  <si>
    <t>36-38%</t>
  </si>
  <si>
    <t>497-499</t>
  </si>
  <si>
    <t>$0.57-0.64</t>
  </si>
  <si>
    <t>United States</t>
  </si>
  <si>
    <t>NA</t>
  </si>
  <si>
    <t xml:space="preserve">Avg. Price </t>
  </si>
  <si>
    <t>EPS (Basic) - Reported</t>
  </si>
  <si>
    <t>Cost of Revenues</t>
  </si>
  <si>
    <t>Assets</t>
  </si>
  <si>
    <t>Deferred Income Taxes</t>
  </si>
  <si>
    <t>Total Current Assets</t>
  </si>
  <si>
    <t>Total Assets</t>
  </si>
  <si>
    <t>Liabilities</t>
  </si>
  <si>
    <t>Accounts Payable</t>
  </si>
  <si>
    <t>Total Current Liabilities</t>
  </si>
  <si>
    <t>Total Liabilities</t>
  </si>
  <si>
    <t>Total Stockholder's Equity</t>
  </si>
  <si>
    <t>Total Liabs &amp; Stockholder's Equity</t>
  </si>
  <si>
    <t>Balance Sheet</t>
  </si>
  <si>
    <t>Diltuted share count</t>
  </si>
  <si>
    <t>Diluted share count</t>
  </si>
  <si>
    <t>Proceeds from borrowings under line of credit</t>
  </si>
  <si>
    <t>ST Deferred Revenue as % of Total Revenue</t>
  </si>
  <si>
    <t>Enterprise and Developer Solutions</t>
  </si>
  <si>
    <t>,mscalc:sedolCodeCalc</t>
  </si>
  <si>
    <t>,mscalc:closePriceCurrencyCalc</t>
  </si>
  <si>
    <t>,mscalc:targetPrice,,,,USD</t>
  </si>
  <si>
    <t>ADBE.O,mscalc:targetPrice</t>
  </si>
  <si>
    <t>$N$2</t>
  </si>
  <si>
    <t>eps</t>
  </si>
  <si>
    <t>ltmrev</t>
  </si>
  <si>
    <t>ltmeps</t>
  </si>
  <si>
    <t>LTM Operating Margin</t>
  </si>
  <si>
    <t>1) Historical Total Revenue figures are from most recent company filings.</t>
  </si>
  <si>
    <t xml:space="preserve">     Interest Income </t>
  </si>
  <si>
    <t>Interest Expense</t>
  </si>
  <si>
    <t>Creative &amp; Interactive</t>
  </si>
  <si>
    <t>Digital Media</t>
  </si>
  <si>
    <t>Digital Enterprise</t>
  </si>
  <si>
    <t>Print &amp; Publishing</t>
  </si>
  <si>
    <t>PRIOR BUSINESS SEGMENTS- Changed in Q111</t>
  </si>
  <si>
    <t xml:space="preserve"> 2/11</t>
  </si>
  <si>
    <t>Enterprise Revenue</t>
  </si>
  <si>
    <t>Printing and Publishing</t>
  </si>
  <si>
    <t>$970-1020M</t>
  </si>
  <si>
    <t>34-36%</t>
  </si>
  <si>
    <t>510-512M</t>
  </si>
  <si>
    <t>$0.47-0.54</t>
  </si>
  <si>
    <t>Excess Tax Benefit from Stock Based Compensation</t>
  </si>
  <si>
    <t>By Product Type</t>
  </si>
  <si>
    <t>YoY</t>
  </si>
  <si>
    <t>QoQ</t>
  </si>
  <si>
    <t>Yen Impact</t>
  </si>
  <si>
    <t>Knowledge Worker</t>
  </si>
  <si>
    <t>Other Metrics</t>
  </si>
  <si>
    <t>Total New Customer Adds</t>
  </si>
  <si>
    <t>Creative Cloud Subscription Revenue</t>
  </si>
  <si>
    <t>% of Digital Marketing + Knowledge + Creative Cloud</t>
  </si>
  <si>
    <t>Share Repurchase Activity</t>
  </si>
  <si>
    <t>Accrued Expenses % of LTM Operating Expense</t>
  </si>
  <si>
    <t>A/R Turnover</t>
  </si>
  <si>
    <t>A/P Turnover</t>
  </si>
  <si>
    <t>Total Gross Profit</t>
  </si>
  <si>
    <t>Other Comprehensive Income</t>
  </si>
  <si>
    <t>Retained Earnings</t>
  </si>
  <si>
    <t>Currency Impact</t>
  </si>
  <si>
    <t>Creative Solutions</t>
  </si>
  <si>
    <t>Knowledge Worker Solutions</t>
  </si>
  <si>
    <t xml:space="preserve"> Tax Benefit - Issuance of Stock / Ex. of Options</t>
  </si>
  <si>
    <t>Cumm. Effect of Chg. in Accounting Principle</t>
  </si>
  <si>
    <t xml:space="preserve"> Current Portion Deferred Revenue</t>
  </si>
  <si>
    <t xml:space="preserve">    Cost of Product</t>
  </si>
  <si>
    <t xml:space="preserve">    Cost of Services &amp; Support</t>
  </si>
  <si>
    <t xml:space="preserve">         % of Product Revenue</t>
  </si>
  <si>
    <t>Capex YoY Growth</t>
  </si>
  <si>
    <t>EBITDA</t>
  </si>
  <si>
    <t>EBITDA Margin</t>
  </si>
  <si>
    <t>GAAP EPS (Diluted) - Reported</t>
  </si>
  <si>
    <t xml:space="preserve"> % QoQ Growth</t>
  </si>
  <si>
    <t>8/12</t>
  </si>
  <si>
    <t>$0.53-0.58</t>
  </si>
  <si>
    <t>Subscriptions added per week</t>
  </si>
  <si>
    <t>5K</t>
  </si>
  <si>
    <t>8K</t>
  </si>
  <si>
    <t>% new to Adobe</t>
  </si>
  <si>
    <t>% purchasing on Adobe.com</t>
  </si>
  <si>
    <t>Goodwill</t>
  </si>
  <si>
    <t xml:space="preserve">     Mac</t>
  </si>
  <si>
    <t>EVA Metrics</t>
  </si>
  <si>
    <t>Total Invested Capital</t>
  </si>
  <si>
    <t>Change in Working Capital Need</t>
  </si>
  <si>
    <t>ROIC</t>
  </si>
  <si>
    <t>ROIC-WACC</t>
  </si>
  <si>
    <t>EVA</t>
  </si>
  <si>
    <t>Current Stock Price</t>
  </si>
  <si>
    <t>Treasury Stock -- Q Beginning</t>
  </si>
  <si>
    <t>Treasury Stock -- Q End</t>
  </si>
  <si>
    <t>Reissuance of Treas Stock for Comp</t>
  </si>
  <si>
    <t>Purchases of Treasury Stock</t>
  </si>
  <si>
    <t>LTM Total Operating Expenses</t>
  </si>
  <si>
    <t>Income Statement</t>
  </si>
  <si>
    <t>Services</t>
  </si>
  <si>
    <t>% of Sales</t>
  </si>
  <si>
    <t>Total Debt</t>
  </si>
  <si>
    <t>-</t>
  </si>
  <si>
    <t>Other Assets to Total Assets</t>
  </si>
  <si>
    <t>Other Liabilities to Total Liabilities</t>
  </si>
  <si>
    <t>Reported Revenue</t>
  </si>
  <si>
    <t xml:space="preserve">         % of revenues</t>
  </si>
  <si>
    <t>Net Cash Per Share</t>
  </si>
  <si>
    <t>FY06</t>
  </si>
  <si>
    <t>Y.Y.</t>
  </si>
  <si>
    <t>ModelWare Net Income</t>
  </si>
  <si>
    <t>ModelWare EPS (Diluted)</t>
  </si>
  <si>
    <t xml:space="preserve">     Other Expenses</t>
  </si>
  <si>
    <t xml:space="preserve">FCF  </t>
  </si>
  <si>
    <t>_fy12</t>
  </si>
  <si>
    <t>1c12</t>
  </si>
  <si>
    <t>2c12</t>
  </si>
  <si>
    <t>3c12</t>
  </si>
  <si>
    <t>4c12</t>
  </si>
  <si>
    <t>800-850</t>
  </si>
  <si>
    <t>30-32%</t>
  </si>
  <si>
    <t>0.34-0.39</t>
  </si>
  <si>
    <t>Exchange Rate Impact</t>
  </si>
  <si>
    <t>Aggregate Price</t>
  </si>
  <si>
    <t>Platform</t>
  </si>
  <si>
    <t>Print and Publishing</t>
  </si>
  <si>
    <t xml:space="preserve"> Other </t>
  </si>
  <si>
    <t>Total Operating Expenses</t>
  </si>
  <si>
    <t>Operating Income</t>
  </si>
  <si>
    <t>Operating Margin</t>
  </si>
  <si>
    <t>Operating Cash Flow</t>
  </si>
  <si>
    <t>opcash</t>
  </si>
  <si>
    <t xml:space="preserve">     Server Transactions &gt; $50,000</t>
  </si>
  <si>
    <t xml:space="preserve">     % of total Server Revenue</t>
  </si>
  <si>
    <t xml:space="preserve">     Revenue for over $50 transactions ($MM)</t>
  </si>
  <si>
    <t>Not Disclosed</t>
  </si>
  <si>
    <t xml:space="preserve">     Other </t>
  </si>
  <si>
    <t>LTM Operating Income</t>
  </si>
  <si>
    <t xml:space="preserve">     Americas</t>
  </si>
  <si>
    <t xml:space="preserve">     EMEA</t>
  </si>
  <si>
    <t xml:space="preserve">     Asia Pacific</t>
  </si>
  <si>
    <t>Constant Currency</t>
  </si>
  <si>
    <t>Stock option expense, net of tax</t>
  </si>
  <si>
    <t>5/14</t>
  </si>
  <si>
    <t>975-1025</t>
  </si>
  <si>
    <t>506-508</t>
  </si>
  <si>
    <t>Prepaid and Other Current Assets</t>
  </si>
  <si>
    <t>8/14</t>
  </si>
  <si>
    <t>1025-1075</t>
  </si>
  <si>
    <t>Total employees</t>
  </si>
  <si>
    <t>11/14</t>
  </si>
  <si>
    <t>Fotolia</t>
  </si>
  <si>
    <t>1050-1100</t>
  </si>
  <si>
    <t>0.34-0.40</t>
  </si>
  <si>
    <t>This sheet contains Factset binary data for use with this workbook's =FDS codes.  Modifying the worksheet's contents may damage the workbook's =FDS functionality.</t>
  </si>
  <si>
    <t>5/08</t>
  </si>
  <si>
    <t>544-548M</t>
  </si>
  <si>
    <t>Total Expenses</t>
  </si>
  <si>
    <t xml:space="preserve"> Common Stock, Net</t>
  </si>
  <si>
    <t>Employees</t>
  </si>
  <si>
    <t>Depreciation and Amortization</t>
  </si>
  <si>
    <t>LTM EPS</t>
  </si>
  <si>
    <t>Total Revenues</t>
  </si>
  <si>
    <t>S&amp;M</t>
  </si>
  <si>
    <t>R&amp;D</t>
  </si>
  <si>
    <t>G&amp;A</t>
  </si>
  <si>
    <t>EPS</t>
  </si>
  <si>
    <t>Income Statement Analysis</t>
  </si>
  <si>
    <t>DSO</t>
  </si>
  <si>
    <t>Deferred Revenue</t>
  </si>
  <si>
    <t>Days Payable</t>
  </si>
  <si>
    <t xml:space="preserve"> 2/07</t>
  </si>
  <si>
    <t>Omniture</t>
  </si>
  <si>
    <t>Other Receivables</t>
  </si>
  <si>
    <t>Property, Plant &amp; Equipment</t>
  </si>
  <si>
    <t>5/01</t>
  </si>
  <si>
    <t>8/01</t>
  </si>
  <si>
    <t>11/01</t>
  </si>
  <si>
    <t>2/02</t>
  </si>
  <si>
    <t>5/02</t>
  </si>
  <si>
    <t>8/02</t>
  </si>
  <si>
    <t>11/02</t>
  </si>
  <si>
    <t>2/03</t>
  </si>
  <si>
    <t>5/03</t>
  </si>
  <si>
    <t>3) ModelWare EPS calculated using reported (GAAP) revenue.  Excludes extraordinary and one-time chargees. Includes stock option expense as reported historically and using FV method for forecast periods.</t>
  </si>
  <si>
    <t>5/10</t>
  </si>
  <si>
    <t>Digital Enterprise Solutions (KWS + E&amp;DS in FY08)</t>
  </si>
  <si>
    <t>36-37%</t>
  </si>
  <si>
    <t>532-534M</t>
  </si>
  <si>
    <t>$0.46-0.50</t>
  </si>
  <si>
    <t xml:space="preserve">   YoY</t>
  </si>
  <si>
    <t xml:space="preserve">   QoQ</t>
  </si>
  <si>
    <t>Operating Expense</t>
  </si>
  <si>
    <t>Tax Rate (effective)</t>
  </si>
  <si>
    <t>Capex to Depreciation &amp; Amortization</t>
  </si>
  <si>
    <t xml:space="preserve">EPS - Diluted </t>
  </si>
  <si>
    <t>1c01</t>
  </si>
  <si>
    <t>2c01</t>
  </si>
  <si>
    <t>3c01</t>
  </si>
  <si>
    <t>4c01</t>
  </si>
  <si>
    <t>_fy01</t>
  </si>
  <si>
    <t>1c02</t>
  </si>
  <si>
    <t>2c02</t>
  </si>
  <si>
    <t>3c02</t>
  </si>
  <si>
    <t>4c02</t>
  </si>
  <si>
    <t>_fy02</t>
  </si>
  <si>
    <t>1c03</t>
  </si>
  <si>
    <t>2c03</t>
  </si>
  <si>
    <t>3c03</t>
  </si>
  <si>
    <t>4c03</t>
  </si>
  <si>
    <t>_fy03</t>
  </si>
  <si>
    <t>1c04</t>
  </si>
  <si>
    <t>Document Services</t>
  </si>
  <si>
    <t>Digital Media ex- Doc Services</t>
  </si>
  <si>
    <t>1c17</t>
  </si>
  <si>
    <t>2c17</t>
  </si>
  <si>
    <t>3c17</t>
  </si>
  <si>
    <t>4c17</t>
  </si>
  <si>
    <t>_fy17</t>
  </si>
  <si>
    <t>1c18</t>
  </si>
  <si>
    <t>2c18</t>
  </si>
  <si>
    <t>3c18</t>
  </si>
  <si>
    <t>4c18</t>
  </si>
  <si>
    <t>_fy18</t>
  </si>
  <si>
    <t>5/18E</t>
  </si>
  <si>
    <t>8/18E</t>
  </si>
  <si>
    <t>11/18E</t>
  </si>
  <si>
    <t>FY18E</t>
  </si>
  <si>
    <t>Y.Y % Change in Deferred Revenue</t>
  </si>
  <si>
    <t>Days Sales Outstanding</t>
  </si>
  <si>
    <t>Other Balance Sheet Metrics</t>
  </si>
  <si>
    <t>Other Cash Flow Metrics</t>
  </si>
  <si>
    <t>Earnings and Cash Flow Analysis</t>
  </si>
  <si>
    <t>Revenue by Geography</t>
  </si>
  <si>
    <t xml:space="preserve">         Y/Y change</t>
  </si>
  <si>
    <t xml:space="preserve">         Q/Q change</t>
  </si>
  <si>
    <t>Adjusted EPS (incl. Stock comp)</t>
  </si>
  <si>
    <t xml:space="preserve">Reported Net Income </t>
  </si>
  <si>
    <t>2/05</t>
  </si>
  <si>
    <t>Average Value for Server Transactions &gt; $50k (000's)</t>
  </si>
  <si>
    <t>LTM R&amp;D</t>
  </si>
  <si>
    <t>LTM CFFO</t>
  </si>
  <si>
    <t>cash</t>
  </si>
  <si>
    <t>debt</t>
  </si>
  <si>
    <t>fcf</t>
  </si>
  <si>
    <t>Mobile and Device Solutions</t>
  </si>
  <si>
    <t>% of Segment Revenue</t>
  </si>
  <si>
    <t>TOTAL COST OF REVENUE</t>
  </si>
  <si>
    <t>% of Total Revenue</t>
  </si>
  <si>
    <t xml:space="preserve">          Stock Based Compensation Expense</t>
  </si>
  <si>
    <t>FY05</t>
  </si>
  <si>
    <t xml:space="preserve"> 2/09</t>
  </si>
  <si>
    <t>8/03</t>
  </si>
  <si>
    <t>11/03</t>
  </si>
  <si>
    <t>2/04</t>
  </si>
  <si>
    <t>5/04</t>
  </si>
  <si>
    <t>8/04</t>
  </si>
  <si>
    <t>11/04</t>
  </si>
  <si>
    <t>Adobe Systems</t>
  </si>
  <si>
    <t xml:space="preserve">     Other Foreign Countries</t>
  </si>
  <si>
    <t>Expected Impact</t>
  </si>
  <si>
    <t>Actual Impact</t>
  </si>
  <si>
    <t>Assumption Sets</t>
  </si>
  <si>
    <t>FY19</t>
  </si>
  <si>
    <t>Year-Ending</t>
  </si>
  <si>
    <t>Y/Y Growth</t>
  </si>
  <si>
    <t>Echo Sign (7/18/2011)</t>
  </si>
  <si>
    <t>Bull Case</t>
  </si>
  <si>
    <t>Operating Expenses (%)</t>
  </si>
  <si>
    <t>Backlog % of rev</t>
  </si>
  <si>
    <t>Backlog exiting Q</t>
  </si>
  <si>
    <t>Unrecorded Goodwill from Poolings, write offs and cumulative amortization</t>
  </si>
  <si>
    <t>$490-510</t>
  </si>
  <si>
    <t>$475-495</t>
  </si>
  <si>
    <t>Common and Preferred Stock</t>
  </si>
  <si>
    <t>5/13</t>
  </si>
  <si>
    <t>Product &amp; Subscription</t>
  </si>
  <si>
    <t>511-513</t>
  </si>
  <si>
    <t>Product line as % of total</t>
  </si>
  <si>
    <t>Product Line Contribution</t>
  </si>
  <si>
    <t>Change in Cash and Cash Equivalents</t>
  </si>
  <si>
    <t>Cash, Beginning of Period</t>
  </si>
  <si>
    <t>Adjusted Net Income</t>
  </si>
  <si>
    <t>_fy08</t>
  </si>
  <si>
    <t>ltmop</t>
  </si>
  <si>
    <t>ltmexp</t>
  </si>
  <si>
    <t>ltmopcash</t>
  </si>
  <si>
    <t>ltmopmgn</t>
  </si>
  <si>
    <t>ltmrnd</t>
  </si>
  <si>
    <t>div</t>
  </si>
  <si>
    <t>Common Dividends</t>
  </si>
  <si>
    <t>Capital Lease Obligation</t>
  </si>
  <si>
    <t>Accrued Expenses</t>
  </si>
  <si>
    <t>Current Portion of Long Term Debt</t>
  </si>
  <si>
    <t>Other Current Assets</t>
  </si>
  <si>
    <t>Other Non-Current Assets</t>
  </si>
  <si>
    <t xml:space="preserve">     Restructuring obligations</t>
  </si>
  <si>
    <t xml:space="preserve">     Income Taxes Payable</t>
  </si>
  <si>
    <t>Tax Benefit - Issuance of Stock</t>
  </si>
  <si>
    <t>Purchase - Property &amp; Equipment</t>
  </si>
  <si>
    <t>Base</t>
  </si>
  <si>
    <t>NOPAT</t>
  </si>
  <si>
    <t>PRIOR BUSINESS SEGMENTS</t>
  </si>
  <si>
    <t>($ Millions, Except Per-Share Data)</t>
  </si>
  <si>
    <t>Domestic</t>
  </si>
  <si>
    <t>ADBE.O,mscalc:sedolCodeCalc</t>
  </si>
  <si>
    <t>2008154</t>
  </si>
  <si>
    <t>ADBE.O,mscalc:targetPrice,,,,USD</t>
  </si>
  <si>
    <t>ADBE.O,mscalc:closePriceCurrencyCalc</t>
  </si>
  <si>
    <t>Revenue Growth (%)</t>
  </si>
  <si>
    <t>Operating Expense as % of Revenue</t>
  </si>
  <si>
    <t>Y/Y % Growth</t>
  </si>
  <si>
    <t>Q/Q % Growth</t>
  </si>
  <si>
    <t>Estimates Using % of Sales Approach</t>
  </si>
  <si>
    <t>1c10</t>
  </si>
  <si>
    <t>2c10</t>
  </si>
  <si>
    <t>3c10</t>
  </si>
  <si>
    <t>4c10</t>
  </si>
  <si>
    <t>_fy10</t>
  </si>
  <si>
    <t>Const Currency Growth Rates</t>
  </si>
  <si>
    <t>USD v. EURO -- Qtly Avg.</t>
  </si>
  <si>
    <t>USD v. YEN -- Qtly Avg.</t>
  </si>
  <si>
    <t>USD v. EURO -- Change YoY</t>
  </si>
  <si>
    <t>USD v. YEN -- Change YoY</t>
  </si>
  <si>
    <t>Long-term Deferred Revenue</t>
  </si>
  <si>
    <t>Days Payable (on total expense)</t>
  </si>
  <si>
    <t>Investment in Lease Receivable</t>
  </si>
  <si>
    <t>Short Term Investments</t>
  </si>
  <si>
    <t>Minority Interest</t>
  </si>
  <si>
    <t xml:space="preserve">a) Cash flow actuals represent reported figures from most recent company filings.  </t>
  </si>
  <si>
    <t>Income taxes payable</t>
  </si>
  <si>
    <t>Macromedia (12/03/2005)</t>
  </si>
  <si>
    <t>Services &amp; Support Revenue</t>
  </si>
  <si>
    <t>Cost of Revenue:</t>
  </si>
  <si>
    <t xml:space="preserve">     % of Segment Revenue</t>
  </si>
  <si>
    <t xml:space="preserve">     % of Total Revenue</t>
  </si>
  <si>
    <t>Segment Analysis</t>
  </si>
  <si>
    <t>Gross Profit:</t>
  </si>
  <si>
    <t>Americas</t>
  </si>
  <si>
    <t>Net Cash &amp; ST Investments Per Share</t>
  </si>
  <si>
    <t>FY04</t>
  </si>
  <si>
    <t>Earnings Monitor</t>
  </si>
  <si>
    <t>Discount Rate</t>
  </si>
  <si>
    <t>Net Cash</t>
  </si>
  <si>
    <t>EPS Multiple</t>
  </si>
  <si>
    <t>Value / Share</t>
  </si>
  <si>
    <t xml:space="preserve">          Investment (Gain)/Loss</t>
  </si>
  <si>
    <t xml:space="preserve">          Amortization of Purchased Technology</t>
  </si>
  <si>
    <t>Total Digital Media ARR</t>
  </si>
  <si>
    <t xml:space="preserve"> </t>
  </si>
  <si>
    <t>LT Portion of Convertible Debt</t>
  </si>
  <si>
    <t>Treasury Stock</t>
  </si>
  <si>
    <t xml:space="preserve"> Acquisitions, Net of Cash </t>
  </si>
  <si>
    <t xml:space="preserve"> Proceeds - Exercise of Options &amp; Purchase Plans</t>
  </si>
  <si>
    <t>Accounts Receivable, Net</t>
  </si>
  <si>
    <t xml:space="preserve">     Other Accrued Expenses</t>
  </si>
  <si>
    <t>* Stock option expense for forcasted period is computed using a fair value method based on black scholes option valuation.</t>
  </si>
  <si>
    <t>1) Operating EPS excludes maintenance all extraordinary and one-time charges.</t>
  </si>
  <si>
    <t>2) Excludes extraordinary and one-time charges and includes stock option expense calculated using the fair value method.</t>
  </si>
  <si>
    <t>Shareholders Equity</t>
  </si>
  <si>
    <t>PP&amp;E</t>
  </si>
  <si>
    <t>Other Current Liabilities</t>
  </si>
  <si>
    <t>Other Long Term Liabilities</t>
  </si>
  <si>
    <t>Defrev</t>
  </si>
  <si>
    <t xml:space="preserve">          Amortization of Deferred Compensation</t>
  </si>
  <si>
    <t>Additional Paid-in Capital -- Q Beginning</t>
  </si>
  <si>
    <t>Additional Paid-in Capital-- Q End</t>
  </si>
  <si>
    <t>Stock-Based Compensation</t>
  </si>
  <si>
    <t>Tax Benefit from Employee Stock Plans</t>
  </si>
  <si>
    <t>Issuance of Common Stock for Comp</t>
  </si>
  <si>
    <t>Issuance of Common Stock for Acq</t>
  </si>
  <si>
    <t>Other Items</t>
  </si>
  <si>
    <t>Tax Benefit From Stock Issuances</t>
  </si>
  <si>
    <t>USD vs. EuroCur -- Change YoY</t>
  </si>
  <si>
    <t>Statutory Tax Rate</t>
  </si>
  <si>
    <t xml:space="preserve"> Depreciation &amp; Amortization (PPE &amp; non-PPE)</t>
  </si>
  <si>
    <t xml:space="preserve"> Other Current Liabilities</t>
  </si>
  <si>
    <t xml:space="preserve"> Long-term Deferred Revenue</t>
  </si>
  <si>
    <t xml:space="preserve"> Other Long-term Liabilities</t>
  </si>
  <si>
    <t xml:space="preserve"> Deferred Taxes &amp; Other</t>
  </si>
  <si>
    <t>USD v. GBP -- Qtly Avg.</t>
  </si>
  <si>
    <t>Euro/GBP Impact</t>
  </si>
  <si>
    <t>USD v. GBP -- Change YoY</t>
  </si>
  <si>
    <t>Total Product Revenue</t>
  </si>
  <si>
    <t>Summary Revenue Buildup:</t>
  </si>
  <si>
    <t>Cost of Services &amp; Support</t>
  </si>
  <si>
    <t>Total Product Cost</t>
  </si>
  <si>
    <t xml:space="preserve">     % of Total Product Revenue</t>
  </si>
  <si>
    <t>Total Digital Media Revenue</t>
  </si>
  <si>
    <t>Perpetual Revenue</t>
  </si>
  <si>
    <t>Other Creative Revenue</t>
  </si>
  <si>
    <t>Recognized Digital Media Ex-Doc Serv Revenue</t>
  </si>
  <si>
    <t>507-509</t>
  </si>
  <si>
    <t>$950-1,000</t>
  </si>
  <si>
    <t>0.26-0.32</t>
  </si>
  <si>
    <t>503-505</t>
  </si>
  <si>
    <t>8/08</t>
  </si>
  <si>
    <t xml:space="preserve"> 2/10</t>
  </si>
  <si>
    <t>Ommiture</t>
  </si>
  <si>
    <t>$875-925M</t>
  </si>
  <si>
    <t>531-535M</t>
  </si>
  <si>
    <t>Organic Revenue - Constant Currency</t>
  </si>
  <si>
    <t>Reported Revenue Less Concur. Trans.</t>
  </si>
  <si>
    <t>$800-850M</t>
  </si>
  <si>
    <t>37-38%</t>
  </si>
  <si>
    <t xml:space="preserve"> 2/13</t>
  </si>
  <si>
    <t>0.29-0.35</t>
  </si>
  <si>
    <t>$975-1,025</t>
  </si>
  <si>
    <t xml:space="preserve">          Restructuring Charge</t>
  </si>
  <si>
    <t>GAAP - Reported Figures</t>
  </si>
  <si>
    <t xml:space="preserve">Operating Income </t>
  </si>
  <si>
    <t>EPS (Diluted) - Operating</t>
  </si>
  <si>
    <t>11/10</t>
  </si>
  <si>
    <t>Day Software (11/2010)</t>
  </si>
  <si>
    <t>Total Cost of Revenue</t>
  </si>
  <si>
    <t>Total Margin</t>
  </si>
  <si>
    <t>Total Revenue</t>
  </si>
  <si>
    <t>Cost of Revenue</t>
  </si>
  <si>
    <t>Gross Income</t>
  </si>
  <si>
    <t>Gross Margin</t>
  </si>
  <si>
    <t>Operating Expenses</t>
  </si>
  <si>
    <t>New Subscriber growth QoQ</t>
  </si>
  <si>
    <t>CC ARR QoQ growth</t>
  </si>
  <si>
    <t>11/13</t>
  </si>
  <si>
    <t>N/A</t>
  </si>
  <si>
    <t>Creative ARR (# of paid subscriptions *12* avg. monthly revenue per users)</t>
  </si>
  <si>
    <t>950-1000</t>
  </si>
  <si>
    <t>0.22-0.28</t>
  </si>
  <si>
    <t>Operating Activities:</t>
  </si>
  <si>
    <t>Adjustments to Operating Activities:</t>
  </si>
  <si>
    <t xml:space="preserve"> 2/14</t>
  </si>
  <si>
    <t>Marketing Cloud</t>
  </si>
  <si>
    <t>1000-1050</t>
  </si>
  <si>
    <t>508-510</t>
  </si>
  <si>
    <t>Diluted Shares Outstanding (Operating)</t>
  </si>
  <si>
    <t>Total Cash, Equivalents &amp; Marketable Securities</t>
  </si>
  <si>
    <t>EBIT (1-T)</t>
  </si>
  <si>
    <t xml:space="preserve">     Total</t>
  </si>
  <si>
    <t>Purchased</t>
  </si>
  <si>
    <t>8/07</t>
  </si>
  <si>
    <t>2/06</t>
  </si>
  <si>
    <t xml:space="preserve"> 5/06</t>
  </si>
  <si>
    <t>Revenue</t>
  </si>
  <si>
    <t>USD</t>
  </si>
  <si>
    <t xml:space="preserve"> Treasury Stock</t>
  </si>
  <si>
    <t xml:space="preserve">          Tax Adjustments (GAAP vs Non-GAAP)</t>
  </si>
  <si>
    <t>5/07</t>
  </si>
  <si>
    <t>1c06</t>
  </si>
  <si>
    <t>2c06</t>
  </si>
  <si>
    <t>3c06</t>
  </si>
  <si>
    <t>4c06</t>
  </si>
  <si>
    <t>_fy06</t>
  </si>
  <si>
    <t>ROIC (ex. Cash)</t>
  </si>
  <si>
    <t>ADBE Debt</t>
  </si>
  <si>
    <t>Due Feb. 2015 @ 3.25%</t>
  </si>
  <si>
    <t>Due Feb. 2020 @ 4.75%</t>
  </si>
  <si>
    <t>Quarterly Interest</t>
  </si>
  <si>
    <t>EBIT (1-T) Per Share</t>
  </si>
  <si>
    <t>Cash per Share</t>
  </si>
  <si>
    <t>1c13</t>
  </si>
  <si>
    <t>2c13</t>
  </si>
  <si>
    <t>3c13</t>
  </si>
  <si>
    <t>4c13</t>
  </si>
  <si>
    <t>_fy13</t>
  </si>
  <si>
    <t>Capex to Sales</t>
  </si>
  <si>
    <t>Cash Flow Statement (Quarterly)</t>
  </si>
  <si>
    <t>Digital Marketing</t>
  </si>
  <si>
    <t>Inorganic Revenue</t>
  </si>
  <si>
    <t>Efficient Frontier</t>
  </si>
  <si>
    <t xml:space="preserve"> 2/12</t>
  </si>
  <si>
    <t>PRIOR BUSINESS SEGMENTS- Changed in Q112</t>
  </si>
  <si>
    <t>Document Services Revenue</t>
  </si>
  <si>
    <t>Total Revenue Impact</t>
  </si>
  <si>
    <t xml:space="preserve"> Impairment of PP&amp;E, Goodwill &amp; Other</t>
  </si>
  <si>
    <t>5/09</t>
  </si>
  <si>
    <t>$665-715M</t>
  </si>
  <si>
    <t>31-35%</t>
  </si>
  <si>
    <t>529-531M</t>
  </si>
  <si>
    <t>$0.30-0.37</t>
  </si>
  <si>
    <t>Capex as % of LTM revs</t>
  </si>
  <si>
    <t>Research &amp; Development</t>
  </si>
  <si>
    <t>Sales &amp; marketing</t>
  </si>
  <si>
    <t>General &amp; Administrative</t>
  </si>
  <si>
    <t>Guidance</t>
  </si>
  <si>
    <t>Share Count</t>
  </si>
  <si>
    <t>Tax rate</t>
  </si>
  <si>
    <t>$855-885M</t>
  </si>
  <si>
    <t>546-550M</t>
  </si>
  <si>
    <t>$0.45-0.47</t>
  </si>
  <si>
    <t>Depreciation (net of other intangibles)</t>
  </si>
  <si>
    <t>Additional Paid-in Capital, net</t>
  </si>
  <si>
    <t>LTM Total Revenue</t>
  </si>
  <si>
    <t>Accounts Receivable</t>
  </si>
  <si>
    <t>Cash</t>
  </si>
  <si>
    <t>Debt</t>
  </si>
  <si>
    <t>Dilution Ratio</t>
  </si>
  <si>
    <t>Additional Paid in Capital</t>
  </si>
  <si>
    <t>Total</t>
  </si>
  <si>
    <t xml:space="preserve"> Excess Tax Benefit from Stock Based Compensation</t>
  </si>
  <si>
    <t xml:space="preserve"> Proceeds from borrowings under line of credit</t>
  </si>
  <si>
    <t>Currency</t>
  </si>
  <si>
    <t>5/11</t>
  </si>
  <si>
    <t>$1,000-1,050M</t>
  </si>
  <si>
    <t>501-503M</t>
  </si>
  <si>
    <t>$0.50-0.56</t>
  </si>
  <si>
    <t>Other Income</t>
  </si>
  <si>
    <t>Income Before Taxes</t>
  </si>
  <si>
    <t>Income Tax Expense</t>
  </si>
  <si>
    <t>Tax Rate</t>
  </si>
  <si>
    <t>Net Income</t>
  </si>
  <si>
    <t>Notes:</t>
  </si>
  <si>
    <t>depr</t>
  </si>
  <si>
    <t>capex</t>
  </si>
  <si>
    <t>5/12</t>
  </si>
  <si>
    <t>$1,075-1,0125</t>
  </si>
  <si>
    <t>501-502</t>
  </si>
  <si>
    <t>$0.56-0.61</t>
  </si>
  <si>
    <t>Paid Subscriptions</t>
  </si>
  <si>
    <t xml:space="preserve">   YoY Growth</t>
  </si>
  <si>
    <t>% Total Solution</t>
  </si>
  <si>
    <t>Digital Publishing Suite Customers</t>
  </si>
  <si>
    <t>% Recurring Revenue</t>
  </si>
  <si>
    <t>incwkcap</t>
  </si>
  <si>
    <t>Free Cash Flow</t>
  </si>
  <si>
    <t>Dividend</t>
  </si>
  <si>
    <t>Operating Margins</t>
  </si>
  <si>
    <t>Gross Margins</t>
  </si>
  <si>
    <t>Services &amp; Support</t>
  </si>
  <si>
    <t xml:space="preserve">         % of Services &amp; Support Revenue</t>
  </si>
  <si>
    <t>2/01</t>
  </si>
  <si>
    <t>YoY Growth</t>
  </si>
  <si>
    <t>Common/Preferred Stock Change, net</t>
  </si>
  <si>
    <t xml:space="preserve"> Convertible, Net</t>
  </si>
  <si>
    <t xml:space="preserve">     Domestic</t>
  </si>
  <si>
    <t xml:space="preserve">     International</t>
  </si>
  <si>
    <t>1c05</t>
  </si>
  <si>
    <t>2c05</t>
  </si>
  <si>
    <t>3c05</t>
  </si>
  <si>
    <t>4c05</t>
  </si>
  <si>
    <t>_fy05</t>
  </si>
  <si>
    <t>11/06</t>
  </si>
  <si>
    <t>Total Revenue by Geography</t>
  </si>
  <si>
    <t>As Reported Growth</t>
  </si>
  <si>
    <t>Transaction 8</t>
  </si>
  <si>
    <t>Transaction 9</t>
  </si>
  <si>
    <t xml:space="preserve"> 5/05</t>
  </si>
  <si>
    <t>8/05</t>
  </si>
  <si>
    <t>Cash &amp; Cash Equivalents</t>
  </si>
  <si>
    <t>11/07</t>
  </si>
  <si>
    <t>$675-725M</t>
  </si>
  <si>
    <t>32-36%</t>
  </si>
  <si>
    <t>528-530M</t>
  </si>
  <si>
    <t>$0.31-0.38</t>
  </si>
  <si>
    <t>FY08</t>
  </si>
  <si>
    <t>FY09</t>
  </si>
  <si>
    <t>FY10</t>
  </si>
  <si>
    <t>FY11</t>
  </si>
  <si>
    <t>FY12</t>
  </si>
  <si>
    <t>FY13</t>
  </si>
  <si>
    <t>FY14</t>
  </si>
  <si>
    <t>FY15</t>
  </si>
  <si>
    <t>FY16</t>
  </si>
  <si>
    <t>FY17</t>
  </si>
  <si>
    <t>FY18</t>
  </si>
  <si>
    <t>Inventory</t>
  </si>
  <si>
    <t xml:space="preserve">   Product Revenue</t>
  </si>
  <si>
    <t xml:space="preserve">   Subscription</t>
  </si>
  <si>
    <t>Digital Media Subscription Revenue</t>
  </si>
  <si>
    <t>Change in deferred revenue</t>
  </si>
  <si>
    <t>Change in operating assets &amp; liabilities</t>
  </si>
  <si>
    <r>
      <t>ModelWare Operating Metrics</t>
    </r>
    <r>
      <rPr>
        <b/>
        <vertAlign val="superscript"/>
        <sz val="9"/>
        <rFont val="Times New Roman"/>
        <family val="1"/>
      </rPr>
      <t xml:space="preserve"> (3)</t>
    </r>
  </si>
  <si>
    <t>Number of ETLA Seats</t>
  </si>
  <si>
    <t>ETLA Revenue</t>
  </si>
  <si>
    <t>Net Impact from ETLA</t>
  </si>
  <si>
    <t xml:space="preserve">Perpetual Revenue Shift to Sub. </t>
  </si>
  <si>
    <t>ETLA Impact</t>
  </si>
  <si>
    <t>Net New Added ETLA Seats QoQ</t>
  </si>
  <si>
    <t>Average revenue per user per month-- ETLA</t>
  </si>
  <si>
    <t xml:space="preserve">Intangibles </t>
  </si>
  <si>
    <t>Working Capital</t>
  </si>
  <si>
    <t>Modelware: Adjustment to Net Income for Dilutive Items</t>
  </si>
  <si>
    <t>8/06</t>
  </si>
  <si>
    <t>Product</t>
  </si>
  <si>
    <t>2) Historical currency figures use a daily average for each quarter.</t>
  </si>
  <si>
    <t>Total Deferred Revenue (Based on Y/Y % Growth)</t>
  </si>
  <si>
    <t>Increase In Working Capital</t>
  </si>
  <si>
    <t xml:space="preserve">          Goodwill &amp; Intangible Amortization</t>
  </si>
  <si>
    <t xml:space="preserve">EPS (Basic) - Operating </t>
  </si>
  <si>
    <t>Debt/Capital Ratio</t>
  </si>
  <si>
    <t>WACC</t>
  </si>
  <si>
    <t xml:space="preserve"> Other Current Assets</t>
  </si>
  <si>
    <t>PTOP</t>
  </si>
  <si>
    <t>By Product Type:</t>
  </si>
  <si>
    <t xml:space="preserve">     Y.Y</t>
  </si>
  <si>
    <t xml:space="preserve"> Stock Compensation Expense</t>
  </si>
  <si>
    <t xml:space="preserve"> Provision for Losses on Receivables</t>
  </si>
  <si>
    <t xml:space="preserve"> Acquired In-Process R&amp;D</t>
  </si>
  <si>
    <t xml:space="preserve"> Non-Cash Restructuring and Other Charges</t>
  </si>
  <si>
    <t xml:space="preserve"> Trade and Other Payables</t>
  </si>
  <si>
    <t xml:space="preserve"> Accrued Expenses</t>
  </si>
  <si>
    <t xml:space="preserve"> Sales &amp; Maturities of Marketable Securities</t>
  </si>
  <si>
    <t xml:space="preserve">  % YoY Growth</t>
  </si>
  <si>
    <t>Other</t>
  </si>
  <si>
    <t>11/08</t>
  </si>
  <si>
    <t>11/11</t>
  </si>
  <si>
    <t>$1,025-1,075</t>
  </si>
  <si>
    <t>500-502</t>
  </si>
  <si>
    <t>$0.54-0.59</t>
  </si>
  <si>
    <t>1c14</t>
  </si>
  <si>
    <t>2c14</t>
  </si>
  <si>
    <t>3c14</t>
  </si>
  <si>
    <t>4c14</t>
  </si>
  <si>
    <t>Bear Case</t>
  </si>
  <si>
    <t>Base Case</t>
  </si>
  <si>
    <t xml:space="preserve">International </t>
  </si>
  <si>
    <t>Basic Shares (EoP)</t>
  </si>
  <si>
    <t>Basic Shares Outstanding (Wa)</t>
  </si>
  <si>
    <t>Annual Dilution from new issuance</t>
  </si>
  <si>
    <t>Adj FCF</t>
  </si>
  <si>
    <t>YoY change</t>
  </si>
  <si>
    <t>Adj FCF w/ buyback</t>
  </si>
  <si>
    <t>b) As a result of acquisitions, in some instances, not all quarters with a given year have been restated.</t>
  </si>
  <si>
    <t>Free Cash Flow to Earnings Ratio</t>
  </si>
  <si>
    <t>ROE</t>
  </si>
  <si>
    <t>$0.39-0.44</t>
  </si>
  <si>
    <t>FCF</t>
  </si>
  <si>
    <t>Fiscal Year</t>
  </si>
  <si>
    <t>FY07</t>
  </si>
  <si>
    <t>2) As a result of acquisitions, in some instances, not all quarters with a given year have been restated.</t>
  </si>
  <si>
    <t xml:space="preserve">1) Cash flow actuals represent reported figures from most recent company filings.  </t>
  </si>
  <si>
    <t>Print Publishing</t>
  </si>
  <si>
    <t>1c11</t>
  </si>
  <si>
    <t>2c11</t>
  </si>
  <si>
    <t>3c11</t>
  </si>
  <si>
    <t>4c11</t>
  </si>
  <si>
    <t>_fy11</t>
  </si>
  <si>
    <t>DSO (on total revenue)</t>
  </si>
  <si>
    <t>8/09</t>
  </si>
  <si>
    <t>$690-740M</t>
  </si>
  <si>
    <t>33-36%</t>
  </si>
  <si>
    <t>530-532M</t>
  </si>
  <si>
    <t>$0.33-0.39</t>
  </si>
  <si>
    <t>Cash Flow Statement (Cumulative)</t>
  </si>
  <si>
    <t>Net income (loss)</t>
  </si>
  <si>
    <t>Cash, end of period</t>
  </si>
  <si>
    <t>Cash Flows From Investing Activities</t>
  </si>
  <si>
    <t>8/11</t>
  </si>
  <si>
    <t>$1,075-1,125</t>
  </si>
  <si>
    <t>8/13</t>
  </si>
  <si>
    <t>$1,000-1,050</t>
  </si>
  <si>
    <t>0.28-0.34</t>
  </si>
  <si>
    <t>Neolane</t>
  </si>
  <si>
    <t>Neolane (07/23/2013)</t>
  </si>
  <si>
    <t>Concurrent Transactions</t>
  </si>
  <si>
    <t xml:space="preserve"> Deferred Taxes Payable</t>
  </si>
  <si>
    <t>$640-670</t>
  </si>
  <si>
    <t>Consensus Estimates</t>
  </si>
  <si>
    <t>ADBE.O</t>
  </si>
  <si>
    <t>Diluted Shares Outstanding (Reported)</t>
  </si>
  <si>
    <t>FY01</t>
  </si>
  <si>
    <t>FY02</t>
  </si>
  <si>
    <t>FY03</t>
  </si>
  <si>
    <t>2c04</t>
  </si>
  <si>
    <t>3c04</t>
  </si>
  <si>
    <t>4c04</t>
  </si>
  <si>
    <t>_fy04</t>
  </si>
  <si>
    <t>Digital Imaging and Video</t>
  </si>
  <si>
    <t>Creative Professional</t>
  </si>
  <si>
    <t>Intelligent Documents</t>
  </si>
  <si>
    <t>OEM Postscript &amp; Other</t>
  </si>
  <si>
    <t xml:space="preserve">          In Process R&amp;D</t>
  </si>
  <si>
    <t xml:space="preserve">     Investment Income (Loss)</t>
  </si>
  <si>
    <t xml:space="preserve"> Investments</t>
  </si>
  <si>
    <t>Total Revenue Guidance</t>
  </si>
  <si>
    <t>11/05</t>
  </si>
  <si>
    <t>1c07</t>
  </si>
  <si>
    <t>2c07</t>
  </si>
  <si>
    <t>3c07</t>
  </si>
  <si>
    <t>Cash Flows From Financing Activities</t>
  </si>
  <si>
    <t>% of Total</t>
  </si>
  <si>
    <t xml:space="preserve">     Q.Q</t>
  </si>
  <si>
    <t xml:space="preserve">Total Revenue </t>
  </si>
  <si>
    <t>1c16</t>
  </si>
  <si>
    <t>2c16</t>
  </si>
  <si>
    <t>3c16</t>
  </si>
  <si>
    <t>4c16</t>
  </si>
  <si>
    <t>_fy16</t>
  </si>
  <si>
    <t>$925-955M</t>
  </si>
  <si>
    <t>$0.51-0.53</t>
  </si>
  <si>
    <t xml:space="preserve">Estimates Using % of Operating Expense </t>
  </si>
  <si>
    <t>NM</t>
  </si>
  <si>
    <t>Product Margin</t>
  </si>
  <si>
    <t>Services Margin</t>
  </si>
  <si>
    <t>Server Metrics</t>
  </si>
  <si>
    <t xml:space="preserve">     Windows</t>
  </si>
  <si>
    <t>8/10</t>
  </si>
  <si>
    <t>$950-1000M</t>
  </si>
  <si>
    <t>516-520M</t>
  </si>
  <si>
    <t>$0.48-0.54</t>
  </si>
  <si>
    <t>% of Knowledge + Enterprise Cost</t>
  </si>
  <si>
    <t>1c09</t>
  </si>
  <si>
    <t>2c09</t>
  </si>
  <si>
    <t>3c09</t>
  </si>
  <si>
    <t>4c09</t>
  </si>
  <si>
    <t>_fy09</t>
  </si>
  <si>
    <t>4c07</t>
  </si>
  <si>
    <t>_fy07</t>
  </si>
  <si>
    <t>1c08</t>
  </si>
  <si>
    <t>2c08</t>
  </si>
  <si>
    <t>3c08</t>
  </si>
  <si>
    <t>4c08</t>
  </si>
  <si>
    <t>Accounts Receivable and Payable (Based on DSO and Days Payable)</t>
  </si>
  <si>
    <t>LT Deferred Revenue as % of Total Revenue</t>
  </si>
  <si>
    <t>11/09</t>
  </si>
  <si>
    <t>Omniture (GAAP)</t>
  </si>
  <si>
    <t>TOTAL REVENUE (GAAP)</t>
  </si>
  <si>
    <t>Net Cash Provided by (used in) Operating Activities</t>
  </si>
  <si>
    <t>Net Cash Used in Investing Activities</t>
  </si>
  <si>
    <t>Net Cash Provided by Financing Activities</t>
  </si>
  <si>
    <t>Average revenue per user per month</t>
  </si>
  <si>
    <t>Creative Cloud Metrics</t>
  </si>
  <si>
    <t>% Annual Subscriptions</t>
  </si>
  <si>
    <t>Net New to Adobe QoQ</t>
  </si>
  <si>
    <t>11/12</t>
  </si>
  <si>
    <t>10K</t>
  </si>
  <si>
    <t>Net New Added Subscribers QoQ</t>
  </si>
  <si>
    <t>1c15</t>
  </si>
  <si>
    <t>2c15</t>
  </si>
  <si>
    <t>3c15</t>
  </si>
  <si>
    <t>4c15</t>
  </si>
  <si>
    <t>_fy15</t>
  </si>
  <si>
    <t>Document Services Annualized Recurring Revenue</t>
  </si>
  <si>
    <t>Net Impact to Recognized Acrobat Revenue</t>
  </si>
  <si>
    <t>Document Services ex-Sub. Impact</t>
  </si>
  <si>
    <t>ARR of ETLAs</t>
  </si>
  <si>
    <t>FCF Yield</t>
  </si>
  <si>
    <t xml:space="preserve"> Deferred Income Taxes</t>
  </si>
  <si>
    <t xml:space="preserve"> Gains (Losses) on Investments</t>
  </si>
  <si>
    <t xml:space="preserve"> Other</t>
  </si>
  <si>
    <t xml:space="preserve"> Accounts Receivable</t>
  </si>
  <si>
    <t xml:space="preserve"> Purchase - Property &amp; Equipment</t>
  </si>
  <si>
    <t>Estimated Revenue Mix by Platform:</t>
  </si>
  <si>
    <t xml:space="preserve">     Server Product</t>
  </si>
  <si>
    <t xml:space="preserve">     Acrobat Product</t>
  </si>
  <si>
    <t xml:space="preserve">          Y.Y</t>
  </si>
  <si>
    <t xml:space="preserve">          Q.Q</t>
  </si>
  <si>
    <t>Description</t>
  </si>
  <si>
    <t xml:space="preserve">Notes: </t>
  </si>
  <si>
    <t>Backlog $</t>
  </si>
  <si>
    <t>Backlog Analysis</t>
  </si>
  <si>
    <t>Backlog-Adjusted Revenue</t>
  </si>
  <si>
    <t>Count</t>
  </si>
  <si>
    <t>Currency Growth Rates</t>
  </si>
  <si>
    <t>USD v EURO</t>
  </si>
  <si>
    <t>USD v YEN</t>
  </si>
  <si>
    <t>Blended Rate</t>
  </si>
  <si>
    <t>Repurchase authorization remaining</t>
  </si>
  <si>
    <t>Doc Services as % of Digital Media ARR</t>
  </si>
  <si>
    <t>Adjusted ARR</t>
  </si>
  <si>
    <t xml:space="preserve"> 2/15</t>
  </si>
  <si>
    <t>1125-1175</t>
  </si>
  <si>
    <t>0.41-0.47</t>
  </si>
  <si>
    <t>PPE - Beginning of Q</t>
  </si>
  <si>
    <t>Add Capex</t>
  </si>
  <si>
    <t>Less Depreciation</t>
  </si>
  <si>
    <t>PPE- End of Q</t>
  </si>
  <si>
    <t>Intangibles - Beginning of Q</t>
  </si>
  <si>
    <t>Add Acquisitions</t>
  </si>
  <si>
    <t>Less Amortization</t>
  </si>
  <si>
    <t>Intangibles - End of Q</t>
  </si>
  <si>
    <t>Other D&amp;A</t>
  </si>
  <si>
    <t>Total D&amp;A</t>
  </si>
  <si>
    <t>Due Feb. 2025 @ 3.25%</t>
  </si>
  <si>
    <t>Interest Income as % of Cash</t>
  </si>
  <si>
    <t>Basic Shares Out - Q Beginning</t>
  </si>
  <si>
    <t>Basic Shares Out - Q End</t>
  </si>
  <si>
    <t>New Shares Issued</t>
  </si>
  <si>
    <t>Repurchases</t>
  </si>
  <si>
    <t>Price paid for repurch</t>
  </si>
  <si>
    <t>QoQ Growth</t>
  </si>
  <si>
    <t xml:space="preserve"> Purchases of Treasury Stock</t>
  </si>
  <si>
    <t>Retained Earnings -- Q Beginning</t>
  </si>
  <si>
    <t>Retained Earnings -- Q End</t>
  </si>
  <si>
    <t>5/15</t>
  </si>
  <si>
    <t>1175-1225</t>
  </si>
  <si>
    <t>0.45-0.51</t>
  </si>
  <si>
    <t>Subs</t>
  </si>
  <si>
    <t>8/15</t>
  </si>
  <si>
    <t>1275-1325</t>
  </si>
  <si>
    <t>0.56-0.62</t>
  </si>
  <si>
    <t>5.9M</t>
  </si>
  <si>
    <t>11/15</t>
  </si>
  <si>
    <t>1300-1350</t>
  </si>
  <si>
    <t xml:space="preserve"> 2/16</t>
  </si>
  <si>
    <t>1365-1415</t>
  </si>
  <si>
    <t>0.64-0.70</t>
  </si>
  <si>
    <t>SBC for consensus</t>
  </si>
  <si>
    <t>Ebitda for consensus</t>
  </si>
  <si>
    <t>Ebitda Delta</t>
  </si>
  <si>
    <t>Company Reported Adjusted EBITDA</t>
  </si>
  <si>
    <t>Toggle (0/1)</t>
  </si>
  <si>
    <t>CC ARR YoY growth</t>
  </si>
  <si>
    <t>5/16</t>
  </si>
  <si>
    <t>1420-1470</t>
  </si>
  <si>
    <t>504-506</t>
  </si>
  <si>
    <t>0.69-0.75</t>
  </si>
  <si>
    <t>Beat $</t>
  </si>
  <si>
    <t>Beat % vs midpoint</t>
  </si>
  <si>
    <t>Beat % vs high end of guide</t>
  </si>
  <si>
    <t>Low End</t>
  </si>
  <si>
    <t xml:space="preserve">High End </t>
  </si>
  <si>
    <t>Midpoint</t>
  </si>
  <si>
    <t>8/16</t>
  </si>
  <si>
    <t>1550-1600</t>
  </si>
  <si>
    <t>0.83-0.89</t>
  </si>
  <si>
    <t>5800-5850</t>
  </si>
  <si>
    <t>2.94-3.00</t>
  </si>
  <si>
    <t>1c19</t>
  </si>
  <si>
    <t>2c19</t>
  </si>
  <si>
    <t>3c19</t>
  </si>
  <si>
    <t>4c19</t>
  </si>
  <si>
    <t>_fy19</t>
  </si>
  <si>
    <t xml:space="preserve"> 2/19E</t>
  </si>
  <si>
    <t>5/19E</t>
  </si>
  <si>
    <t>8/19E</t>
  </si>
  <si>
    <t>11/19E</t>
  </si>
  <si>
    <t>FY19E</t>
  </si>
  <si>
    <t>11/16</t>
  </si>
  <si>
    <t xml:space="preserve">Total Digital Media ARR QoQ Growth </t>
  </si>
  <si>
    <t>ARR YoY Growth</t>
  </si>
  <si>
    <t>ARR $ Added</t>
  </si>
  <si>
    <t>FX ARR Adjustment</t>
  </si>
  <si>
    <t>DS QoQ Growth</t>
  </si>
  <si>
    <t>DS YoY Growth</t>
  </si>
  <si>
    <t>TubeMogul</t>
  </si>
  <si>
    <t xml:space="preserve"> 2/17</t>
  </si>
  <si>
    <t>5/17</t>
  </si>
  <si>
    <t>8/17</t>
  </si>
  <si>
    <t>Total Subscription Revenue</t>
  </si>
  <si>
    <t>% of Subscription Revenue</t>
  </si>
  <si>
    <t xml:space="preserve"> 2/20E</t>
  </si>
  <si>
    <t>5/20E</t>
  </si>
  <si>
    <t>8/20E</t>
  </si>
  <si>
    <t>11/20E</t>
  </si>
  <si>
    <t>FY20E</t>
  </si>
  <si>
    <t>Digital Marketing Subscription Revenue</t>
  </si>
  <si>
    <t>Print and Publishing Subscription Revenue</t>
  </si>
  <si>
    <t xml:space="preserve">Recurring Revenue </t>
  </si>
  <si>
    <t>Subscription Revenue Metrics</t>
  </si>
  <si>
    <t>CC Sub Analysis</t>
  </si>
  <si>
    <t>Reported Subs (M)</t>
  </si>
  <si>
    <t>New to Adobe %</t>
  </si>
  <si>
    <t>New to Adobe Install Base Cumulative (M)</t>
  </si>
  <si>
    <t>New to Adobe Subs Added per Year</t>
  </si>
  <si>
    <t>ETLA Seats (M)</t>
  </si>
  <si>
    <t>ETLA Market Growth Rate %</t>
  </si>
  <si>
    <t>New to Adobe Added per Year (M)</t>
  </si>
  <si>
    <t>Total New to Adobe Install Base Cumulative %</t>
  </si>
  <si>
    <t>Total New to Adobe Install Base Cumulative (M)</t>
  </si>
  <si>
    <t>Total Subs Added per Year (M)</t>
  </si>
  <si>
    <t>Total New Subs Added per Year (M)</t>
  </si>
  <si>
    <t>Converted Legacy ELA Seats (M)</t>
  </si>
  <si>
    <t>Converted CS Seats (M)</t>
  </si>
  <si>
    <t>Total Converted Seats (M)</t>
  </si>
  <si>
    <t>CS ELA Install Base (M)</t>
  </si>
  <si>
    <t>CS Install Base (M)</t>
  </si>
  <si>
    <t>Sold CS6 copies</t>
  </si>
  <si>
    <t>CS Install Base (M) remaining</t>
  </si>
  <si>
    <t xml:space="preserve">ARPU Reconciliation </t>
  </si>
  <si>
    <t>New Subs</t>
  </si>
  <si>
    <t>Converted Subs</t>
  </si>
  <si>
    <t>ETLA</t>
  </si>
  <si>
    <t>Blended ARPU (calculated/estimated)</t>
  </si>
  <si>
    <t>Blended ARPU (from reported/modeled numbers)</t>
  </si>
  <si>
    <t>Creative Cloud ARR (including ETLA)</t>
  </si>
  <si>
    <t>16-19</t>
  </si>
  <si>
    <t>11/17</t>
  </si>
  <si>
    <t xml:space="preserve">Unbilled backlog </t>
  </si>
  <si>
    <t>14-19</t>
  </si>
  <si>
    <t>193</t>
  </si>
  <si>
    <t xml:space="preserve">Core Print and Publishing </t>
  </si>
  <si>
    <t>PRIOR BUSINESS SEGMENTS- Changed in 1Q18</t>
  </si>
  <si>
    <t>Digital Experience</t>
  </si>
  <si>
    <t xml:space="preserve"> 2/18</t>
  </si>
  <si>
    <t>Net New ARR</t>
  </si>
  <si>
    <t>Annual Net New ARR Guidance</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</si>
  <si>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</si>
  <si>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</si>
  <si>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</si>
  <si>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</si>
  <si>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</si>
  <si>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</si>
  <si>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</si>
  <si>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Keith Weiss, Anjelo Austria, Stan Zlotsky</t>
  </si>
  <si>
    <t>Date: 15 Mar 2018</t>
  </si>
  <si>
    <t>Ticker: ADBE.O</t>
  </si>
  <si>
    <t>Stock Rating: Equal-Weight</t>
  </si>
  <si>
    <t>Industry: Software</t>
  </si>
  <si>
    <t>Industry View: Attractive</t>
  </si>
  <si>
    <t>Price as of 15 Mar 2018: 218.87</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</si>
  <si>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</si>
  <si>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</si>
  <si>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</si>
  <si>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</si>
  <si>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Adobe Systems.</t>
  </si>
  <si>
    <t>STOCK RATINGS</t>
  </si>
  <si>
    <t>Global Stock Ratings Distribution</t>
  </si>
  <si>
    <t>(as of February 28,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</si>
  <si>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</si>
  <si>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</si>
  <si>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</si>
  <si>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</si>
  <si>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</si>
  <si>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</si>
  <si>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</si>
  <si>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</si>
  <si>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</si>
  <si>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</si>
  <si>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</si>
  <si>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</si>
  <si>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</si>
  <si>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</si>
  <si>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</si>
  <si>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</si>
  <si>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</si>
  <si>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</si>
  <si>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</si>
  <si>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</si>
  <si>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</si>
  <si>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</si>
  <si>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</si>
  <si>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</si>
  <si>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</si>
  <si>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</si>
  <si>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</si>
  <si>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</si>
  <si>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</si>
  <si>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</si>
  <si>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</si>
  <si>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</si>
  <si>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</si>
  <si>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</si>
  <si>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</si>
  <si>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</si>
  <si>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</si>
  <si>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</si>
  <si>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</si>
  <si>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</si>
  <si>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</si>
  <si>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</si>
  <si>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</si>
  <si>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</si>
  <si>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</si>
  <si>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</si>
  <si>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</si>
  <si>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</si>
  <si>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</si>
  <si>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</si>
  <si>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</si>
  <si>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</si>
  <si>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</si>
  <si>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</si>
  <si>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</si>
  <si>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</si>
  <si>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</si>
  <si>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</si>
  <si>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</si>
  <si>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</si>
  <si>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</si>
  <si>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</si>
  <si>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</si>
  <si>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</si>
  <si>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</si>
  <si>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</si>
  <si>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</si>
  <si>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</si>
  <si>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</si>
  <si>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</si>
  <si>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</si>
  <si>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</si>
  <si>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</si>
  <si>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</si>
  <si>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</si>
  <si>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</si>
  <si>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</si>
  <si>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</si>
  <si>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</si>
  <si>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</si>
  <si>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</si>
  <si>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</si>
  <si>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</si>
  <si>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</si>
  <si>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</si>
  <si>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</si>
  <si>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</si>
  <si>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</si>
  <si>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</si>
  <si>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</si>
  <si>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</si>
  <si>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</si>
  <si>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</si>
  <si>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</si>
  <si>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</si>
  <si>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</si>
  <si>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</si>
  <si>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</si>
  <si>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</si>
  <si>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</si>
  <si>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</si>
  <si>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</si>
  <si>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</si>
  <si>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</si>
  <si>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</si>
  <si>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</si>
  <si>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</si>
  <si>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</si>
  <si>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</si>
  <si>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</si>
  <si>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</si>
  <si>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</si>
  <si>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</si>
  <si>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</si>
  <si>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</si>
  <si>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</si>
  <si>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</si>
  <si>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</si>
  <si>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</si>
  <si>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</si>
  <si>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</si>
  <si>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</si>
  <si>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</si>
  <si>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</si>
  <si>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</si>
  <si>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</si>
  <si>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</si>
  <si>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</si>
  <si>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</si>
  <si>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</si>
  <si>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</si>
  <si>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</si>
  <si>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</si>
  <si>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</si>
  <si>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</si>
  <si>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</si>
  <si>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</si>
  <si>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</si>
  <si>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</si>
  <si>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</si>
  <si>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</si>
  <si>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</si>
  <si>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</si>
  <si>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</si>
  <si>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</si>
  <si>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</si>
  <si>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</si>
  <si>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</si>
  <si>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</si>
  <si>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</si>
  <si>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</si>
  <si>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</si>
  <si>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</si>
  <si>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</si>
  <si>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</si>
  <si>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</si>
  <si>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</si>
  <si>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</si>
  <si>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</si>
  <si>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</si>
  <si>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</si>
  <si>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</si>
  <si>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</si>
  <si>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</si>
  <si>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</si>
  <si>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</si>
  <si>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</si>
  <si>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</si>
  <si>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</si>
  <si>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</si>
  <si>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</si>
  <si>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</si>
  <si>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Adobe Systems.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</si>
  <si>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</si>
  <si>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</si>
  <si>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</si>
  <si>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</si>
  <si>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</si>
  <si>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</si>
  <si>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</si>
  <si>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</si>
  <si>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</si>
  <si>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</si>
  <si>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</si>
  <si>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</si>
  <si>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</si>
  <si>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</si>
  <si>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</si>
  <si>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</si>
  <si>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</si>
  <si>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</si>
  <si>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</si>
  <si>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</si>
  <si>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</si>
  <si>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</si>
  <si>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</si>
  <si>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</si>
  <si>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</si>
  <si>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</si>
  <si>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</si>
  <si>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</si>
  <si>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</si>
  <si>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</si>
  <si>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</si>
  <si>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</si>
  <si>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</si>
  <si>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</si>
  <si>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</si>
  <si>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</si>
  <si>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</si>
  <si>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</si>
  <si>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</si>
  <si>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</si>
  <si>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</si>
  <si>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</si>
  <si>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</si>
  <si>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</si>
  <si>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</si>
  <si>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</si>
  <si>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</si>
  <si>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</si>
  <si>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</si>
  <si>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</si>
  <si>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</si>
  <si>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</si>
  <si>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</si>
  <si>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</si>
  <si>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</si>
  <si>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</si>
  <si>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</si>
  <si>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</si>
  <si>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</si>
  <si>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</si>
  <si>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</si>
  <si>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</si>
  <si>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</si>
  <si>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</si>
  <si>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</si>
  <si>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</si>
  <si>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</si>
  <si>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</si>
  <si>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Adobe Systems.</t>
  </si>
  <si>
    <t>Within the last 12 months, Morgan Stanley has provided or is providing investment banking services to,</t>
  </si>
  <si>
    <t>or has an investment banking client relationship with, the following company: Adobe Systems.</t>
  </si>
  <si>
    <t>Within the last 12 months, Morgan Stanley has received compensation for products and services other than</t>
  </si>
  <si>
    <t>investment banking services from Adobe Systems.</t>
  </si>
  <si>
    <t>In the next 3 months, Morgan Stanley expects to receive or intends to seek compensation for investment</t>
  </si>
  <si>
    <t>banking services from Adobe Systems.</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</si>
  <si>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</si>
  <si>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</si>
  <si>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</si>
  <si>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</si>
  <si>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</si>
  <si>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Keith Weiss,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</si>
  <si>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</si>
  <si>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</si>
  <si>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</si>
  <si>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</si>
  <si>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</si>
  <si>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</si>
  <si>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</si>
  <si>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</si>
  <si>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</si>
  <si>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</si>
  <si>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</si>
  <si>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</si>
  <si>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</si>
  <si>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</si>
  <si>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</si>
  <si>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</si>
  <si>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</si>
  <si>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</si>
  <si>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</si>
  <si>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</si>
  <si>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</si>
  <si>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</si>
  <si>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</si>
  <si>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</si>
  <si>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</si>
  <si>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</si>
  <si>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</si>
  <si>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</si>
  <si>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</si>
  <si>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</si>
  <si>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</si>
  <si>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</si>
  <si>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</si>
  <si>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</si>
  <si>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</si>
  <si>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</si>
  <si>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</si>
  <si>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</si>
  <si>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</si>
  <si>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</si>
  <si>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</si>
  <si>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</si>
  <si>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</si>
  <si>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</si>
  <si>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</si>
  <si>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</si>
  <si>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</si>
  <si>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</si>
  <si>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</si>
  <si>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</si>
  <si>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</si>
  <si>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</si>
  <si>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</si>
  <si>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</si>
  <si>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</si>
  <si>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</si>
  <si>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</si>
  <si>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</si>
  <si>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</si>
  <si>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</si>
  <si>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</si>
  <si>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</si>
  <si>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</si>
  <si>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</si>
  <si>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</si>
  <si>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</si>
  <si>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</si>
  <si>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Attractive</t>
  </si>
  <si>
    <t>Quarterly Update</t>
  </si>
  <si>
    <t>NorthAmerica</t>
  </si>
  <si>
    <t>anjeloa</t>
  </si>
  <si>
    <t>MSA11763, MSA72GWP, MSA75HKR</t>
  </si>
  <si>
    <t>00724F101</t>
  </si>
  <si>
    <t>L:\ER43\ESWModels\ADBE.xlsm</t>
  </si>
  <si>
    <t>[BRO MSA]</t>
  </si>
  <si>
    <t>[PRODUCT MODEL]</t>
  </si>
  <si>
    <t>[EMAIL_ALERT YES]</t>
  </si>
  <si>
    <t>[DISCIPLINE Company]</t>
  </si>
  <si>
    <t>[SUPPRESSED NO]</t>
  </si>
  <si>
    <t>[DOCDAT 2018-03-15]</t>
  </si>
  <si>
    <t>[DOCTIME 21:55]</t>
  </si>
  <si>
    <t>[PSYM ADBE.O(S&amp;P) (None)]</t>
  </si>
  <si>
    <t>[COU 1]</t>
  </si>
  <si>
    <t>[ANA MSA72GWP MSA75HKR]</t>
  </si>
  <si>
    <t>[HL ADBE.O Model]</t>
  </si>
  <si>
    <t>[IND TECHNO COMPUT DATAPR]</t>
  </si>
  <si>
    <t>[PANA MSA11763]</t>
  </si>
  <si>
    <t>Target Price: 235</t>
  </si>
</sst>
</file>

<file path=xl/styles.xml><?xml version="1.0" encoding="utf-8"?>
<styleSheet xmlns="http://schemas.openxmlformats.org/spreadsheetml/2006/main" xmlns:mc="http://schemas.openxmlformats.org/markup-compatibility/2006" xmlns:x14ac="http://schemas.microsoft.com/office/spreadsheetml/2009/9/ac" mc:Ignorable="x14ac">
  <numFmts count="38">
    <numFmt numFmtId="6" formatCode="&quot;$&quot;#,##0_);[Red]\(&quot;$&quot;#,##0\)"/>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m/yy"/>
    <numFmt numFmtId="166" formatCode="#,##0.0"/>
    <numFmt numFmtId="167" formatCode="0.000"/>
    <numFmt numFmtId="168" formatCode="0.0%"/>
    <numFmt numFmtId="169" formatCode="_(* #,##0.0_);_(* \(#,##0.0\);_(* &quot;-&quot;??_);_(@_)"/>
    <numFmt numFmtId="170" formatCode="&quot;$&quot;#,##0.00"/>
    <numFmt numFmtId="171" formatCode="&quot;$&quot;#,##0"/>
    <numFmt numFmtId="172" formatCode="m/d/yy;@"/>
    <numFmt numFmtId="173" formatCode="&quot;$&quot;#,##0.0"/>
    <numFmt numFmtId="174" formatCode="0.0\x"/>
    <numFmt numFmtId="175" formatCode="0_);\(0\)"/>
    <numFmt numFmtId="176" formatCode="_(&quot;$&quot;* #,##0_);_(&quot;$&quot;* \(#,##0\);_(&quot;$&quot;* &quot;-&quot;??_);_(@_)"/>
    <numFmt numFmtId="177" formatCode="_(* #,##0_);_(* \(#,##0\);_(* &quot;-&quot;??_);_(@_)"/>
    <numFmt numFmtId="178" formatCode="#,##0.000"/>
    <numFmt numFmtId="179" formatCode="0.0000"/>
    <numFmt numFmtId="180" formatCode="0.00000"/>
    <numFmt numFmtId="181" formatCode="#,##0.0_);[Red]\(#,##0.0\)"/>
    <numFmt numFmtId="182" formatCode="#,##0.0_);\(#,##0.0\)"/>
    <numFmt numFmtId="183" formatCode="0.000%"/>
    <numFmt numFmtId="184" formatCode="[$-409]mmm\-yy;@"/>
    <numFmt numFmtId="185" formatCode="#,##0.000_);\(#,##0.000\)"/>
    <numFmt numFmtId="186" formatCode="#,##0.0000_);\(#,##0.0000\)"/>
    <numFmt numFmtId="187" formatCode="_(* #,##0.000_);_(* \(#,##0.000\);_(* &quot;-&quot;_);_(@_)"/>
    <numFmt numFmtId="188" formatCode="&quot;$&quot;#,##0.000"/>
    <numFmt numFmtId="189" formatCode="_(* #,##0.000_);_(* \(#,##0.000\);_(* &quot;-&quot;??_);_(@_)"/>
    <numFmt numFmtId="190" formatCode="_(* #,##0.0000_);_(* \(#,##0.0000\);_(* &quot;-&quot;??_);_(@_)"/>
    <numFmt numFmtId="191" formatCode="#,##0.00000_);\(#,##0.00000\)"/>
    <numFmt numFmtId="192" formatCode="#,##0.00000000000000_);\(#,##0.00000000000000\)"/>
    <numFmt numFmtId="193" formatCode="&quot;$&quot;#,##0.0000"/>
    <numFmt numFmtId="194" formatCode="#,##0.000_);[Red]\(#,##0.000\)"/>
    <numFmt numFmtId="195" formatCode="#,##0.0000000000000_);\(#,##0.0000000000000\)"/>
    <numFmt numFmtId="196" formatCode="mm/dd/yy\ hh:mm"/>
  </numFmts>
  <fonts count="103">
    <font>
      <sz val="10"/>
      <name val="Arial"/>
    </font>
    <font>
      <sz val="10"/>
      <name val="Arial"/>
      <family val="2"/>
    </font>
    <font>
      <sz val="8"/>
      <name val="Arial"/>
      <family val="2"/>
    </font>
    <font>
      <b/>
      <sz val="16"/>
      <name val="Arial"/>
      <family val="2"/>
    </font>
    <font>
      <b/>
      <sz val="11"/>
      <color indexed="9"/>
      <name val="GillSans"/>
    </font>
    <font>
      <sz val="8"/>
      <color indexed="9"/>
      <name val="Arial"/>
      <family val="2"/>
    </font>
    <font>
      <sz val="8"/>
      <color indexed="10"/>
      <name val="Arial"/>
      <family val="2"/>
    </font>
    <font>
      <sz val="8"/>
      <name val="Arial"/>
      <family val="2"/>
    </font>
    <font>
      <i/>
      <sz val="8"/>
      <name val="Arial"/>
      <family val="2"/>
    </font>
    <font>
      <b/>
      <sz val="11"/>
      <name val="GillSans"/>
    </font>
    <font>
      <sz val="10"/>
      <name val="GillSans Light"/>
    </font>
    <font>
      <sz val="9"/>
      <name val="Arial"/>
      <family val="2"/>
    </font>
    <font>
      <sz val="8"/>
      <color indexed="81"/>
      <name val="Tahoma"/>
      <family val="2"/>
    </font>
    <font>
      <b/>
      <sz val="8"/>
      <color indexed="81"/>
      <name val="Tahoma"/>
      <family val="2"/>
    </font>
    <font>
      <sz val="10"/>
      <name val="Arial"/>
      <family val="2"/>
    </font>
    <font>
      <b/>
      <sz val="10"/>
      <name val="Arial"/>
      <family val="2"/>
    </font>
    <font>
      <sz val="10"/>
      <color indexed="10"/>
      <name val="Arial"/>
      <family val="2"/>
    </font>
    <font>
      <b/>
      <sz val="8"/>
      <name val="Arial"/>
      <family val="2"/>
    </font>
    <font>
      <b/>
      <sz val="16"/>
      <color indexed="12"/>
      <name val="Arial"/>
      <family val="2"/>
    </font>
    <font>
      <sz val="10"/>
      <name val="MS Sans Serif"/>
      <family val="2"/>
    </font>
    <font>
      <sz val="9"/>
      <color indexed="12"/>
      <name val="Times New Roman"/>
      <family val="1"/>
    </font>
    <font>
      <sz val="9"/>
      <name val="Times New Roman"/>
      <family val="1"/>
    </font>
    <font>
      <b/>
      <sz val="9"/>
      <name val="Times New Roman"/>
      <family val="1"/>
    </font>
    <font>
      <sz val="8"/>
      <color indexed="17"/>
      <name val="Arial"/>
      <family val="2"/>
    </font>
    <font>
      <i/>
      <sz val="8"/>
      <color indexed="12"/>
      <name val="Arial"/>
      <family val="2"/>
    </font>
    <font>
      <b/>
      <i/>
      <sz val="8"/>
      <name val="Arial"/>
      <family val="2"/>
    </font>
    <font>
      <i/>
      <sz val="8"/>
      <color indexed="17"/>
      <name val="Arial"/>
      <family val="2"/>
    </font>
    <font>
      <sz val="11"/>
      <name val="Arial"/>
      <family val="2"/>
    </font>
    <font>
      <sz val="8"/>
      <color indexed="18"/>
      <name val="Arial"/>
      <family val="2"/>
    </font>
    <font>
      <sz val="10"/>
      <color indexed="18"/>
      <name val="Arial"/>
      <family val="2"/>
    </font>
    <font>
      <b/>
      <sz val="8"/>
      <color indexed="18"/>
      <name val="Arial"/>
      <family val="2"/>
    </font>
    <font>
      <b/>
      <i/>
      <sz val="8"/>
      <name val="Times New Roman"/>
      <family val="1"/>
    </font>
    <font>
      <i/>
      <sz val="9"/>
      <name val="Times New Roman"/>
      <family val="1"/>
    </font>
    <font>
      <sz val="9"/>
      <color indexed="18"/>
      <name val="Times New Roman"/>
      <family val="1"/>
    </font>
    <font>
      <b/>
      <sz val="9"/>
      <color indexed="10"/>
      <name val="Times New Roman"/>
      <family val="1"/>
    </font>
    <font>
      <b/>
      <sz val="9"/>
      <color indexed="18"/>
      <name val="Times New Roman"/>
      <family val="1"/>
    </font>
    <font>
      <sz val="9"/>
      <color indexed="9"/>
      <name val="Times New Roman"/>
      <family val="1"/>
    </font>
    <font>
      <b/>
      <i/>
      <sz val="9"/>
      <name val="Times New Roman"/>
      <family val="1"/>
    </font>
    <font>
      <i/>
      <sz val="9"/>
      <color indexed="18"/>
      <name val="Times New Roman"/>
      <family val="1"/>
    </font>
    <font>
      <b/>
      <i/>
      <sz val="9"/>
      <color indexed="10"/>
      <name val="Times New Roman"/>
      <family val="1"/>
    </font>
    <font>
      <sz val="9"/>
      <color indexed="10"/>
      <name val="Times New Roman"/>
      <family val="1"/>
    </font>
    <font>
      <b/>
      <i/>
      <sz val="9"/>
      <color indexed="18"/>
      <name val="Times New Roman"/>
      <family val="1"/>
    </font>
    <font>
      <sz val="9"/>
      <color indexed="8"/>
      <name val="Times New Roman"/>
      <family val="1"/>
    </font>
    <font>
      <i/>
      <sz val="9"/>
      <color indexed="8"/>
      <name val="Times New Roman"/>
      <family val="1"/>
    </font>
    <font>
      <b/>
      <vertAlign val="superscript"/>
      <sz val="9"/>
      <name val="Times New Roman"/>
      <family val="1"/>
    </font>
    <font>
      <b/>
      <sz val="9"/>
      <color indexed="8"/>
      <name val="Times New Roman"/>
      <family val="1"/>
    </font>
    <font>
      <sz val="9"/>
      <color indexed="18"/>
      <name val="Arial"/>
      <family val="2"/>
    </font>
    <font>
      <b/>
      <sz val="9"/>
      <color indexed="9"/>
      <name val="Times New Roman"/>
      <family val="1"/>
    </font>
    <font>
      <b/>
      <sz val="9"/>
      <color indexed="12"/>
      <name val="Times New Roman"/>
      <family val="1"/>
    </font>
    <font>
      <b/>
      <i/>
      <sz val="9"/>
      <color indexed="12"/>
      <name val="Times New Roman"/>
      <family val="1"/>
    </font>
    <font>
      <i/>
      <sz val="9"/>
      <color indexed="12"/>
      <name val="Times New Roman"/>
      <family val="1"/>
    </font>
    <font>
      <i/>
      <sz val="9"/>
      <color indexed="9"/>
      <name val="Times New Roman"/>
      <family val="1"/>
    </font>
    <font>
      <i/>
      <sz val="9"/>
      <color indexed="63"/>
      <name val="Times New Roman"/>
      <family val="1"/>
    </font>
    <font>
      <i/>
      <sz val="9"/>
      <color indexed="23"/>
      <name val="Times New Roman"/>
      <family val="1"/>
    </font>
    <font>
      <sz val="9"/>
      <color indexed="63"/>
      <name val="Times New Roman"/>
      <family val="1"/>
    </font>
    <font>
      <sz val="9"/>
      <color indexed="23"/>
      <name val="Times New Roman"/>
      <family val="1"/>
    </font>
    <font>
      <b/>
      <i/>
      <sz val="8"/>
      <color indexed="18"/>
      <name val="Arial"/>
      <family val="2"/>
    </font>
    <font>
      <b/>
      <sz val="10"/>
      <color indexed="8"/>
      <name val="Times New Roman"/>
      <family val="1"/>
    </font>
    <font>
      <sz val="10"/>
      <color indexed="8"/>
      <name val="Times New Roman"/>
      <family val="1"/>
    </font>
    <font>
      <i/>
      <sz val="8"/>
      <name val="Times New Roman"/>
      <family val="1"/>
    </font>
    <font>
      <sz val="9"/>
      <color indexed="22"/>
      <name val="Times New Roman"/>
      <family val="1"/>
    </font>
    <font>
      <b/>
      <i/>
      <sz val="9"/>
      <color indexed="8"/>
      <name val="Times New Roman"/>
      <family val="1"/>
    </font>
    <font>
      <sz val="9"/>
      <color indexed="17"/>
      <name val="Times New Roman"/>
      <family val="1"/>
    </font>
    <font>
      <b/>
      <sz val="9"/>
      <color indexed="47"/>
      <name val="Times New Roman"/>
      <family val="1"/>
    </font>
    <font>
      <sz val="9"/>
      <color indexed="47"/>
      <name val="Times New Roman"/>
      <family val="1"/>
    </font>
    <font>
      <b/>
      <i/>
      <sz val="9"/>
      <color indexed="47"/>
      <name val="Times New Roman"/>
      <family val="1"/>
    </font>
    <font>
      <i/>
      <sz val="9"/>
      <color indexed="47"/>
      <name val="Times New Roman"/>
      <family val="1"/>
    </font>
    <font>
      <b/>
      <sz val="9"/>
      <color indexed="17"/>
      <name val="Times New Roman"/>
      <family val="1"/>
    </font>
    <font>
      <sz val="9"/>
      <color indexed="81"/>
      <name val="Tahoma"/>
      <family val="2"/>
    </font>
    <font>
      <b/>
      <sz val="9"/>
      <color indexed="81"/>
      <name val="Tahoma"/>
      <family val="2"/>
    </font>
    <font>
      <sz val="8"/>
      <color indexed="10"/>
      <name val="Arial"/>
      <family val="2"/>
    </font>
    <font>
      <sz val="10"/>
      <name val="Arial"/>
      <family val="2"/>
    </font>
    <font>
      <sz val="10"/>
      <name val="MS Sans Serif"/>
      <family val="2"/>
    </font>
    <font>
      <b/>
      <sz val="10"/>
      <color indexed="8"/>
      <name val="Times New Roman"/>
      <family val="1"/>
    </font>
    <font>
      <sz val="10"/>
      <color indexed="8"/>
      <name val="Times New Roman"/>
      <family val="1"/>
    </font>
    <font>
      <sz val="10"/>
      <name val="Arial"/>
      <family val="2"/>
    </font>
    <font>
      <b/>
      <sz val="9"/>
      <color indexed="63"/>
      <name val="Times New Roman"/>
      <family val="1"/>
    </font>
    <font>
      <b/>
      <i/>
      <sz val="9"/>
      <color indexed="63"/>
      <name val="Times New Roman"/>
      <family val="1"/>
    </font>
    <font>
      <sz val="11"/>
      <color indexed="8"/>
      <name val="Calibri"/>
      <family val="2"/>
    </font>
    <font>
      <sz val="9"/>
      <color indexed="10"/>
      <name val="Times New Roman"/>
      <family val="1"/>
    </font>
    <font>
      <i/>
      <sz val="9"/>
      <color indexed="50"/>
      <name val="Times New Roman"/>
      <family val="1"/>
    </font>
    <font>
      <sz val="9"/>
      <color indexed="10"/>
      <name val="Times New Roman"/>
      <family val="1"/>
    </font>
    <font>
      <sz val="10"/>
      <name val="Arial"/>
      <family val="2"/>
    </font>
    <font>
      <b/>
      <i/>
      <sz val="8"/>
      <color indexed="12"/>
      <name val="Arial"/>
      <family val="2"/>
    </font>
    <font>
      <b/>
      <sz val="8"/>
      <color indexed="17"/>
      <name val="Arial"/>
      <family val="2"/>
    </font>
    <font>
      <sz val="11"/>
      <color theme="1"/>
      <name val="Calibri"/>
      <family val="2"/>
      <scheme val="minor"/>
    </font>
    <font>
      <sz val="9"/>
      <color rgb="FFFF0000"/>
      <name val="Times New Roman"/>
      <family val="1"/>
    </font>
    <font>
      <sz val="9"/>
      <color indexed="56"/>
      <name val="Times New Roman"/>
      <family val="1"/>
    </font>
    <font>
      <sz val="10"/>
      <name val="Arial"/>
      <family val="2"/>
    </font>
    <font>
      <sz val="10"/>
      <name val="Arial"/>
      <family val="2"/>
    </font>
    <font>
      <sz val="10"/>
      <name val="Arial"/>
      <family val="2"/>
    </font>
    <font>
      <i/>
      <sz val="10"/>
      <name val="Arial"/>
      <family val="2"/>
    </font>
    <font>
      <sz val="9"/>
      <color theme="1"/>
      <name val="Times New Roman"/>
      <family val="1"/>
    </font>
    <font>
      <i/>
      <sz val="9"/>
      <color theme="1"/>
      <name val="Times New Roman"/>
      <family val="1"/>
    </font>
    <font>
      <b/>
      <sz val="9"/>
      <color theme="1"/>
      <name val="Times New Roman"/>
      <family val="1"/>
    </font>
    <font>
      <sz val="9"/>
      <color theme="4"/>
      <name val="Times New Roman"/>
      <family val="1"/>
    </font>
    <font>
      <sz val="9"/>
      <color theme="4"/>
      <name val="Arial"/>
      <family val="2"/>
    </font>
    <font>
      <sz val="10"/>
      <name val="Arial"/>
      <family val="2"/>
    </font>
    <font>
      <sz val="9"/>
      <color rgb="FF0000FF"/>
      <name val="Times New Roman"/>
      <family val="1"/>
    </font>
    <font>
      <sz val="10"/>
      <name val="Arial"/>
      <family val="2"/>
    </font>
    <font>
      <sz val="10"/>
      <name val="Courier"/>
      <family val="3"/>
    </font>
    <font>
      <sz val="10"/>
      <color rgb="FF000000"/>
      <name val="Arial"/>
      <family val="2"/>
    </font>
    <font>
      <b/>
      <sz val="12"/>
      <color rgb="FF000080"/>
      <name val="Arial"/>
      <family val="2"/>
    </font>
  </fonts>
  <fills count="20">
    <fill>
      <patternFill patternType="none"/>
    </fill>
    <fill>
      <patternFill patternType="gray125"/>
    </fill>
    <fill>
      <patternFill patternType="solid">
        <fgColor indexed="43"/>
        <bgColor indexed="64"/>
      </patternFill>
    </fill>
    <fill>
      <patternFill patternType="mediumGray"/>
    </fill>
    <fill>
      <patternFill patternType="solid">
        <fgColor indexed="9"/>
        <bgColor indexed="64"/>
      </patternFill>
    </fill>
    <fill>
      <patternFill patternType="solid">
        <fgColor indexed="65"/>
        <bgColor indexed="64"/>
      </patternFill>
    </fill>
    <fill>
      <patternFill patternType="solid">
        <fgColor indexed="31"/>
        <bgColor indexed="64"/>
      </patternFill>
    </fill>
    <fill>
      <patternFill patternType="solid">
        <fgColor indexed="22"/>
        <bgColor indexed="64"/>
      </patternFill>
    </fill>
    <fill>
      <patternFill patternType="solid">
        <fgColor indexed="47"/>
        <bgColor indexed="64"/>
      </patternFill>
    </fill>
    <fill>
      <patternFill patternType="solid">
        <fgColor indexed="44"/>
        <bgColor indexed="64"/>
      </patternFill>
    </fill>
    <fill>
      <patternFill patternType="solid">
        <fgColor indexed="46"/>
        <bgColor indexed="64"/>
      </patternFill>
    </fill>
    <fill>
      <patternFill patternType="solid">
        <fgColor indexed="13"/>
        <bgColor indexed="64"/>
      </patternFill>
    </fill>
    <fill>
      <patternFill patternType="solid">
        <fgColor rgb="FFFFC0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bgColor indexed="64"/>
      </patternFill>
    </fill>
  </fills>
  <borders count="48">
    <border>
      <left/>
      <right/>
      <top/>
      <bottom/>
      <diagonal/>
    </border>
    <border>
      <left/>
      <right/>
      <top/>
      <bottom style="thin">
        <color indexed="8"/>
      </bottom>
      <diagonal/>
    </border>
    <border>
      <left/>
      <right/>
      <top style="thin">
        <color indexed="64"/>
      </top>
      <bottom/>
      <diagonal/>
    </border>
    <border>
      <left/>
      <right/>
      <top/>
      <bottom style="thin">
        <color indexed="64"/>
      </bottom>
      <diagonal/>
    </border>
    <border>
      <left/>
      <right/>
      <top style="medium">
        <color indexed="64"/>
      </top>
      <bottom style="medium">
        <color indexed="64"/>
      </bottom>
      <diagonal/>
    </border>
    <border>
      <left style="thin">
        <color indexed="64"/>
      </left>
      <right style="thin">
        <color indexed="64"/>
      </right>
      <top/>
      <bottom/>
      <diagonal/>
    </border>
    <border>
      <left/>
      <right/>
      <top style="thin">
        <color indexed="64"/>
      </top>
      <bottom style="thin">
        <color indexed="64"/>
      </bottom>
      <diagonal/>
    </border>
    <border>
      <left/>
      <right/>
      <top style="thin">
        <color indexed="8"/>
      </top>
      <bottom/>
      <diagonal/>
    </border>
    <border>
      <left/>
      <right/>
      <top style="thin">
        <color indexed="8"/>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right/>
      <top/>
      <bottom style="double">
        <color indexed="64"/>
      </bottom>
      <diagonal/>
    </border>
    <border>
      <left style="thin">
        <color indexed="64"/>
      </left>
      <right style="thin">
        <color indexed="64"/>
      </right>
      <top/>
      <bottom style="double">
        <color indexed="64"/>
      </bottom>
      <diagonal/>
    </border>
    <border>
      <left/>
      <right style="hair">
        <color indexed="64"/>
      </right>
      <top/>
      <bottom/>
      <diagonal/>
    </border>
    <border>
      <left/>
      <right style="hair">
        <color indexed="64"/>
      </right>
      <top style="thin">
        <color indexed="64"/>
      </top>
      <bottom style="thin">
        <color indexed="64"/>
      </bottom>
      <diagonal/>
    </border>
    <border>
      <left style="thin">
        <color indexed="64"/>
      </left>
      <right style="thin">
        <color indexed="8"/>
      </right>
      <top/>
      <bottom/>
      <diagonal/>
    </border>
    <border>
      <left/>
      <right/>
      <top style="thin">
        <color indexed="64"/>
      </top>
      <bottom style="thin">
        <color indexed="8"/>
      </bottom>
      <diagonal/>
    </border>
    <border>
      <left style="thin">
        <color indexed="64"/>
      </left>
      <right/>
      <top style="thin">
        <color indexed="64"/>
      </top>
      <bottom style="thin">
        <color indexed="8"/>
      </bottom>
      <diagonal/>
    </border>
    <border>
      <left/>
      <right style="thin">
        <color indexed="64"/>
      </right>
      <top style="thin">
        <color indexed="64"/>
      </top>
      <bottom style="thin">
        <color indexed="8"/>
      </bottom>
      <diagonal/>
    </border>
    <border>
      <left style="thin">
        <color indexed="64"/>
      </left>
      <right style="thin">
        <color indexed="64"/>
      </right>
      <top style="thin">
        <color indexed="64"/>
      </top>
      <bottom style="thin">
        <color indexed="8"/>
      </bottom>
      <diagonal/>
    </border>
    <border>
      <left style="thin">
        <color indexed="64"/>
      </left>
      <right style="thin">
        <color indexed="8"/>
      </right>
      <top style="thin">
        <color indexed="64"/>
      </top>
      <bottom style="thin">
        <color indexed="8"/>
      </bottom>
      <diagonal/>
    </border>
    <border>
      <left style="thin">
        <color indexed="64"/>
      </left>
      <right style="thin">
        <color indexed="64"/>
      </right>
      <top/>
      <bottom style="thin">
        <color indexed="8"/>
      </bottom>
      <diagonal/>
    </border>
    <border>
      <left style="thin">
        <color indexed="64"/>
      </left>
      <right style="thin">
        <color indexed="8"/>
      </right>
      <top/>
      <bottom style="thin">
        <color indexed="8"/>
      </bottom>
      <diagonal/>
    </border>
    <border>
      <left style="thin">
        <color indexed="64"/>
      </left>
      <right style="thin">
        <color indexed="8"/>
      </right>
      <top style="thin">
        <color indexed="64"/>
      </top>
      <bottom/>
      <diagonal/>
    </border>
    <border>
      <left style="thin">
        <color indexed="64"/>
      </left>
      <right style="thin">
        <color indexed="8"/>
      </right>
      <top/>
      <bottom style="thin">
        <color indexed="64"/>
      </bottom>
      <diagonal/>
    </border>
    <border>
      <left style="thin">
        <color indexed="64"/>
      </left>
      <right style="thin">
        <color indexed="8"/>
      </right>
      <top style="thin">
        <color indexed="64"/>
      </top>
      <bottom style="thin">
        <color indexed="64"/>
      </bottom>
      <diagonal/>
    </border>
    <border>
      <left style="thin">
        <color indexed="64"/>
      </left>
      <right/>
      <top/>
      <bottom style="thin">
        <color indexed="8"/>
      </bottom>
      <diagonal/>
    </border>
    <border>
      <left/>
      <right style="thin">
        <color indexed="64"/>
      </right>
      <top/>
      <bottom style="thin">
        <color indexed="8"/>
      </bottom>
      <diagonal/>
    </border>
    <border>
      <left style="thin">
        <color indexed="64"/>
      </left>
      <right style="thin">
        <color indexed="8"/>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35">
    <xf numFmtId="0" fontId="0" fillId="0" borderId="0"/>
    <xf numFmtId="0" fontId="1" fillId="0" borderId="0"/>
    <xf numFmtId="0" fontId="71" fillId="0" borderId="0"/>
    <xf numFmtId="0" fontId="19" fillId="0" borderId="0"/>
    <xf numFmtId="0" fontId="72" fillId="0" borderId="0"/>
    <xf numFmtId="0" fontId="19" fillId="0" borderId="0"/>
    <xf numFmtId="0" fontId="72" fillId="0" borderId="0"/>
    <xf numFmtId="0" fontId="57" fillId="0" borderId="0"/>
    <xf numFmtId="0" fontId="73" fillId="0" borderId="0"/>
    <xf numFmtId="43" fontId="1" fillId="0" borderId="0" applyFont="0" applyFill="0" applyBorder="0" applyAlignment="0" applyProtection="0"/>
    <xf numFmtId="44" fontId="1" fillId="0" borderId="0" applyFont="0" applyFill="0" applyBorder="0" applyAlignment="0" applyProtection="0"/>
    <xf numFmtId="44" fontId="75" fillId="0" borderId="0" applyFont="0" applyFill="0" applyBorder="0" applyAlignment="0" applyProtection="0"/>
    <xf numFmtId="44" fontId="82" fillId="0" borderId="0" applyFont="0" applyFill="0" applyBorder="0" applyAlignment="0" applyProtection="0"/>
    <xf numFmtId="0" fontId="10" fillId="0" borderId="0" applyNumberFormat="0" applyFill="0" applyBorder="0" applyProtection="0">
      <alignment horizontal="left" vertical="center"/>
    </xf>
    <xf numFmtId="0" fontId="1" fillId="0" borderId="0"/>
    <xf numFmtId="0" fontId="85" fillId="0" borderId="0"/>
    <xf numFmtId="0" fontId="21" fillId="0" borderId="0">
      <alignment vertical="center"/>
    </xf>
    <xf numFmtId="9" fontId="1" fillId="0" borderId="0" applyFont="0" applyFill="0" applyBorder="0" applyAlignment="0" applyProtection="0"/>
    <xf numFmtId="9" fontId="78" fillId="0" borderId="0" applyFont="0" applyFill="0" applyBorder="0" applyAlignment="0" applyProtection="0"/>
    <xf numFmtId="0" fontId="10" fillId="0" borderId="0" applyNumberFormat="0" applyFill="0" applyBorder="0" applyProtection="0">
      <alignment horizontal="right" vertical="center"/>
    </xf>
    <xf numFmtId="0" fontId="14" fillId="2" borderId="0" applyNumberFormat="0" applyFont="0" applyBorder="0" applyAlignment="0" applyProtection="0"/>
    <xf numFmtId="0" fontId="1" fillId="2" borderId="0" applyNumberFormat="0" applyFont="0" applyBorder="0" applyAlignment="0" applyProtection="0"/>
    <xf numFmtId="0" fontId="58" fillId="0" borderId="0"/>
    <xf numFmtId="0" fontId="74" fillId="0" borderId="0"/>
    <xf numFmtId="0" fontId="58" fillId="0" borderId="1">
      <alignment horizontal="centerContinuous"/>
    </xf>
    <xf numFmtId="0" fontId="74" fillId="0" borderId="1">
      <alignment horizontal="centerContinuous"/>
    </xf>
    <xf numFmtId="0" fontId="59" fillId="0" borderId="1"/>
    <xf numFmtId="0" fontId="4" fillId="3" borderId="0" applyNumberFormat="0" applyBorder="0" applyProtection="0">
      <alignment horizontal="left" vertical="center"/>
    </xf>
    <xf numFmtId="0" fontId="9" fillId="1" borderId="0" applyNumberFormat="0" applyBorder="0" applyProtection="0">
      <alignment horizontal="left" vertical="center"/>
    </xf>
    <xf numFmtId="44" fontId="88" fillId="0" borderId="0" applyFont="0" applyFill="0" applyBorder="0" applyAlignment="0" applyProtection="0"/>
    <xf numFmtId="44" fontId="89" fillId="0" borderId="0" applyFont="0" applyFill="0" applyBorder="0" applyAlignment="0" applyProtection="0"/>
    <xf numFmtId="44" fontId="90" fillId="0" borderId="0" applyFont="0" applyFill="0" applyBorder="0" applyAlignment="0" applyProtection="0"/>
    <xf numFmtId="44" fontId="97" fillId="0" borderId="0" applyFont="0" applyFill="0" applyBorder="0" applyAlignment="0" applyProtection="0"/>
    <xf numFmtId="44" fontId="99" fillId="0" borderId="0" applyFont="0" applyFill="0" applyBorder="0" applyAlignment="0" applyProtection="0"/>
    <xf numFmtId="0" fontId="100" fillId="0" borderId="0"/>
  </cellStyleXfs>
  <cellXfs count="1951">
    <xf numFmtId="0" fontId="0" fillId="0" borderId="0" xfId="0"/>
    <xf numFmtId="0" fontId="7" fillId="4" borderId="0" xfId="0" applyFont="1" applyFill="1" applyAlignment="1">
      <alignment horizontal="center"/>
    </xf>
    <xf numFmtId="2" fontId="3" fillId="0" borderId="2" xfId="27" applyNumberFormat="1" applyFont="1" applyFill="1" applyBorder="1">
      <alignment horizontal="left" vertical="center"/>
    </xf>
    <xf numFmtId="0" fontId="5" fillId="0" borderId="2" xfId="27" applyFont="1" applyFill="1" applyBorder="1">
      <alignment horizontal="left" vertical="center"/>
    </xf>
    <xf numFmtId="0" fontId="5" fillId="0" borderId="0" xfId="27" applyFont="1" applyFill="1" applyBorder="1">
      <alignment horizontal="left" vertical="center"/>
    </xf>
    <xf numFmtId="2" fontId="3" fillId="0" borderId="3" xfId="27" applyNumberFormat="1" applyFont="1" applyFill="1" applyBorder="1">
      <alignment horizontal="left" vertical="center"/>
    </xf>
    <xf numFmtId="0" fontId="6" fillId="0" borderId="3" xfId="27" applyFont="1" applyFill="1" applyBorder="1">
      <alignment horizontal="left" vertical="center"/>
    </xf>
    <xf numFmtId="0" fontId="5" fillId="0" borderId="3" xfId="27" applyFont="1" applyFill="1" applyBorder="1">
      <alignment horizontal="left" vertical="center"/>
    </xf>
    <xf numFmtId="0" fontId="7" fillId="0" borderId="3" xfId="27" applyFont="1" applyFill="1" applyBorder="1">
      <alignment horizontal="left" vertical="center"/>
    </xf>
    <xf numFmtId="0" fontId="6" fillId="0" borderId="0" xfId="27" applyFont="1" applyFill="1" applyBorder="1">
      <alignment horizontal="left" vertical="center"/>
    </xf>
    <xf numFmtId="0" fontId="8" fillId="5" borderId="0" xfId="28" quotePrefix="1" applyFont="1" applyFill="1">
      <alignment horizontal="left" vertical="center"/>
    </xf>
    <xf numFmtId="0" fontId="7" fillId="0" borderId="0" xfId="28" applyFont="1" applyFill="1" applyBorder="1">
      <alignment horizontal="left" vertical="center"/>
    </xf>
    <xf numFmtId="0" fontId="7" fillId="0" borderId="0" xfId="28" applyFont="1" applyFill="1">
      <alignment horizontal="left" vertical="center"/>
    </xf>
    <xf numFmtId="0" fontId="7" fillId="6" borderId="0" xfId="28" applyFont="1" applyFill="1" applyBorder="1">
      <alignment horizontal="left" vertical="center"/>
    </xf>
    <xf numFmtId="0" fontId="8" fillId="6" borderId="0" xfId="28" quotePrefix="1" applyFont="1" applyFill="1">
      <alignment horizontal="left" vertical="center"/>
    </xf>
    <xf numFmtId="0" fontId="7" fillId="6" borderId="0" xfId="28" applyFont="1" applyFill="1">
      <alignment horizontal="left" vertical="center"/>
    </xf>
    <xf numFmtId="0" fontId="14" fillId="0" borderId="0" xfId="0" applyFont="1"/>
    <xf numFmtId="0" fontId="0" fillId="4" borderId="0" xfId="0" applyFill="1"/>
    <xf numFmtId="0" fontId="15" fillId="0" borderId="0" xfId="0" applyFont="1"/>
    <xf numFmtId="0" fontId="11" fillId="0" borderId="0" xfId="0" applyFont="1" applyFill="1"/>
    <xf numFmtId="0" fontId="7" fillId="0" borderId="0" xfId="0" applyFont="1" applyBorder="1"/>
    <xf numFmtId="0" fontId="11" fillId="0" borderId="0" xfId="0" applyFont="1" applyBorder="1"/>
    <xf numFmtId="0" fontId="17" fillId="0" borderId="0" xfId="0" applyFont="1"/>
    <xf numFmtId="0" fontId="5" fillId="2" borderId="5" xfId="27" applyFont="1" applyFill="1" applyBorder="1">
      <alignment horizontal="left" vertical="center"/>
    </xf>
    <xf numFmtId="0" fontId="7" fillId="2" borderId="5" xfId="28" applyFont="1" applyFill="1" applyBorder="1">
      <alignment horizontal="left" vertical="center"/>
    </xf>
    <xf numFmtId="0" fontId="11" fillId="2" borderId="5" xfId="0" applyFont="1" applyFill="1" applyBorder="1"/>
    <xf numFmtId="164" fontId="6" fillId="0" borderId="3" xfId="27" applyNumberFormat="1" applyFont="1" applyFill="1" applyBorder="1">
      <alignment horizontal="left" vertical="center"/>
    </xf>
    <xf numFmtId="0" fontId="5" fillId="4" borderId="0" xfId="27" applyFont="1" applyFill="1" applyBorder="1">
      <alignment horizontal="left" vertical="center"/>
    </xf>
    <xf numFmtId="0" fontId="0" fillId="0" borderId="0" xfId="0" applyAlignment="1">
      <alignment horizontal="center"/>
    </xf>
    <xf numFmtId="0" fontId="16" fillId="0" borderId="0" xfId="0" applyFont="1"/>
    <xf numFmtId="2" fontId="3" fillId="0" borderId="0" xfId="27" applyNumberFormat="1" applyFont="1" applyFill="1" applyBorder="1">
      <alignment horizontal="left" vertical="center"/>
    </xf>
    <xf numFmtId="0" fontId="7" fillId="0" borderId="0" xfId="27" applyFont="1" applyFill="1" applyBorder="1">
      <alignment horizontal="left" vertical="center"/>
    </xf>
    <xf numFmtId="9" fontId="0" fillId="0" borderId="0" xfId="17" applyFont="1"/>
    <xf numFmtId="0" fontId="17" fillId="4" borderId="0" xfId="0" applyFont="1" applyFill="1"/>
    <xf numFmtId="0" fontId="7" fillId="4" borderId="0" xfId="0" applyFont="1" applyFill="1"/>
    <xf numFmtId="0" fontId="7" fillId="4" borderId="0" xfId="0" applyFont="1" applyFill="1" applyBorder="1"/>
    <xf numFmtId="14" fontId="7" fillId="4" borderId="0" xfId="0" applyNumberFormat="1" applyFont="1" applyFill="1"/>
    <xf numFmtId="0" fontId="7" fillId="4" borderId="0" xfId="0" applyFont="1" applyFill="1" applyBorder="1" applyAlignment="1">
      <alignment horizontal="center"/>
    </xf>
    <xf numFmtId="184" fontId="7" fillId="4" borderId="0" xfId="0" applyNumberFormat="1" applyFont="1" applyFill="1" applyAlignment="1">
      <alignment horizontal="center"/>
    </xf>
    <xf numFmtId="0" fontId="8" fillId="4" borderId="0" xfId="0" applyFont="1" applyFill="1" applyBorder="1" applyAlignment="1">
      <alignment horizontal="left" indent="1"/>
    </xf>
    <xf numFmtId="0" fontId="8" fillId="4" borderId="0" xfId="0" applyFont="1" applyFill="1" applyBorder="1" applyAlignment="1">
      <alignment horizontal="left" indent="3"/>
    </xf>
    <xf numFmtId="0" fontId="7" fillId="4" borderId="0" xfId="0" applyFont="1" applyFill="1" applyBorder="1" applyAlignment="1"/>
    <xf numFmtId="9" fontId="7" fillId="4" borderId="0" xfId="17" applyFont="1" applyFill="1"/>
    <xf numFmtId="183" fontId="7" fillId="4" borderId="0" xfId="0" applyNumberFormat="1" applyFont="1" applyFill="1"/>
    <xf numFmtId="0" fontId="23" fillId="4" borderId="0" xfId="0" applyFont="1" applyFill="1" applyBorder="1" applyAlignment="1"/>
    <xf numFmtId="164" fontId="7" fillId="4" borderId="0" xfId="0" applyNumberFormat="1" applyFont="1" applyFill="1" applyBorder="1"/>
    <xf numFmtId="0" fontId="17" fillId="4" borderId="0" xfId="0" applyFont="1" applyFill="1" applyBorder="1" applyAlignment="1"/>
    <xf numFmtId="0" fontId="1" fillId="0" borderId="0" xfId="0" applyFont="1"/>
    <xf numFmtId="0" fontId="0" fillId="0" borderId="0" xfId="0" applyBorder="1"/>
    <xf numFmtId="0" fontId="11" fillId="0" borderId="9" xfId="0" applyFont="1" applyBorder="1"/>
    <xf numFmtId="0" fontId="11" fillId="0" borderId="5" xfId="0" applyFont="1" applyBorder="1"/>
    <xf numFmtId="0" fontId="11" fillId="0" borderId="10" xfId="0" applyFont="1" applyBorder="1"/>
    <xf numFmtId="0" fontId="7" fillId="0" borderId="11" xfId="28" applyFont="1" applyFill="1" applyBorder="1">
      <alignment horizontal="left" vertical="center"/>
    </xf>
    <xf numFmtId="0" fontId="28" fillId="0" borderId="0" xfId="27" applyFont="1" applyFill="1" applyBorder="1">
      <alignment horizontal="left" vertical="center"/>
    </xf>
    <xf numFmtId="0" fontId="28" fillId="0" borderId="3" xfId="27" applyFont="1" applyFill="1" applyBorder="1">
      <alignment horizontal="left" vertical="center"/>
    </xf>
    <xf numFmtId="0" fontId="29" fillId="0" borderId="0" xfId="0" applyFont="1"/>
    <xf numFmtId="164" fontId="7" fillId="0" borderId="0" xfId="19" applyNumberFormat="1" applyFont="1" applyFill="1" applyBorder="1">
      <alignment horizontal="right" vertical="center"/>
    </xf>
    <xf numFmtId="164" fontId="7" fillId="0" borderId="5" xfId="19" applyNumberFormat="1" applyFont="1" applyFill="1" applyBorder="1">
      <alignment horizontal="right" vertical="center"/>
    </xf>
    <xf numFmtId="164" fontId="28" fillId="0" borderId="0" xfId="19" applyNumberFormat="1" applyFont="1" applyFill="1" applyBorder="1">
      <alignment horizontal="right" vertical="center"/>
    </xf>
    <xf numFmtId="164" fontId="7" fillId="2" borderId="5" xfId="19" applyNumberFormat="1" applyFont="1" applyFill="1" applyBorder="1">
      <alignment horizontal="right" vertical="center"/>
    </xf>
    <xf numFmtId="166" fontId="7" fillId="0" borderId="5" xfId="0" applyNumberFormat="1" applyFont="1" applyBorder="1"/>
    <xf numFmtId="0" fontId="5" fillId="0" borderId="12" xfId="27" applyFont="1" applyFill="1" applyBorder="1">
      <alignment horizontal="left" vertical="center"/>
    </xf>
    <xf numFmtId="0" fontId="5" fillId="0" borderId="13" xfId="27" applyFont="1" applyFill="1" applyBorder="1">
      <alignment horizontal="left" vertical="center"/>
    </xf>
    <xf numFmtId="165" fontId="17" fillId="0" borderId="0" xfId="13" applyNumberFormat="1" applyFont="1" applyBorder="1">
      <alignment horizontal="left" vertical="center"/>
    </xf>
    <xf numFmtId="164" fontId="17" fillId="0" borderId="0" xfId="19" quotePrefix="1" applyNumberFormat="1" applyFont="1" applyFill="1" applyBorder="1" applyAlignment="1">
      <alignment horizontal="right" vertical="center"/>
    </xf>
    <xf numFmtId="164" fontId="30" fillId="0" borderId="0" xfId="19" quotePrefix="1" applyNumberFormat="1" applyFont="1" applyFill="1" applyBorder="1" applyAlignment="1">
      <alignment horizontal="right" vertical="center"/>
    </xf>
    <xf numFmtId="165" fontId="17" fillId="0" borderId="0" xfId="19" applyNumberFormat="1" applyFont="1" applyFill="1" applyBorder="1">
      <alignment horizontal="right" vertical="center"/>
    </xf>
    <xf numFmtId="165" fontId="17" fillId="2" borderId="5" xfId="19" applyNumberFormat="1" applyFont="1" applyFill="1" applyBorder="1">
      <alignment horizontal="right" vertical="center"/>
    </xf>
    <xf numFmtId="0" fontId="11" fillId="0" borderId="5" xfId="0" applyFont="1" applyFill="1" applyBorder="1"/>
    <xf numFmtId="0" fontId="6" fillId="0" borderId="14" xfId="27" applyFont="1" applyFill="1" applyBorder="1">
      <alignment horizontal="left" vertical="center"/>
    </xf>
    <xf numFmtId="0" fontId="7" fillId="0" borderId="5" xfId="28" applyFont="1" applyFill="1" applyBorder="1">
      <alignment horizontal="left" vertical="center"/>
    </xf>
    <xf numFmtId="164" fontId="17" fillId="0" borderId="5" xfId="19" quotePrefix="1" applyNumberFormat="1" applyFont="1" applyFill="1" applyBorder="1" applyAlignment="1">
      <alignment horizontal="right" vertical="center"/>
    </xf>
    <xf numFmtId="166" fontId="7" fillId="0" borderId="0" xfId="0" applyNumberFormat="1" applyFont="1"/>
    <xf numFmtId="0" fontId="7" fillId="6" borderId="5" xfId="28" applyFont="1" applyFill="1" applyBorder="1">
      <alignment horizontal="left" vertical="center"/>
    </xf>
    <xf numFmtId="166" fontId="7" fillId="0" borderId="5" xfId="0" applyNumberFormat="1" applyFont="1" applyFill="1" applyBorder="1"/>
    <xf numFmtId="4" fontId="7" fillId="0" borderId="0" xfId="0" applyNumberFormat="1" applyFont="1"/>
    <xf numFmtId="0" fontId="28" fillId="0" borderId="0" xfId="28" applyFont="1" applyFill="1" applyBorder="1">
      <alignment horizontal="left" vertical="center"/>
    </xf>
    <xf numFmtId="0" fontId="28" fillId="0" borderId="5" xfId="28" applyFont="1" applyFill="1" applyBorder="1">
      <alignment horizontal="left" vertical="center"/>
    </xf>
    <xf numFmtId="0" fontId="28" fillId="6" borderId="0" xfId="28" applyFont="1" applyFill="1">
      <alignment horizontal="left" vertical="center"/>
    </xf>
    <xf numFmtId="0" fontId="28" fillId="6" borderId="5" xfId="28" applyFont="1" applyFill="1" applyBorder="1">
      <alignment horizontal="left" vertical="center"/>
    </xf>
    <xf numFmtId="164" fontId="31" fillId="0" borderId="0" xfId="13" applyNumberFormat="1" applyFont="1" applyFill="1">
      <alignment horizontal="left" vertical="center"/>
    </xf>
    <xf numFmtId="0" fontId="21" fillId="0" borderId="15" xfId="28" applyFont="1" applyFill="1" applyBorder="1">
      <alignment horizontal="left" vertical="center"/>
    </xf>
    <xf numFmtId="0" fontId="21" fillId="0" borderId="2" xfId="28" applyFont="1" applyFill="1" applyBorder="1">
      <alignment horizontal="left" vertical="center"/>
    </xf>
    <xf numFmtId="0" fontId="21" fillId="0" borderId="11" xfId="28" applyFont="1" applyFill="1" applyBorder="1">
      <alignment horizontal="left" vertical="center"/>
    </xf>
    <xf numFmtId="0" fontId="21" fillId="0" borderId="0" xfId="28" applyFont="1" applyFill="1" applyBorder="1">
      <alignment horizontal="left" vertical="center"/>
    </xf>
    <xf numFmtId="0" fontId="21" fillId="0" borderId="16" xfId="28" applyFont="1" applyFill="1" applyBorder="1">
      <alignment horizontal="left" vertical="center"/>
    </xf>
    <xf numFmtId="0" fontId="33" fillId="0" borderId="2" xfId="28" applyFont="1" applyFill="1" applyBorder="1">
      <alignment horizontal="left" vertical="center"/>
    </xf>
    <xf numFmtId="0" fontId="33" fillId="0" borderId="16" xfId="28" applyFont="1" applyFill="1" applyBorder="1">
      <alignment horizontal="left" vertical="center"/>
    </xf>
    <xf numFmtId="0" fontId="33" fillId="0" borderId="11" xfId="28" applyFont="1" applyFill="1" applyBorder="1">
      <alignment horizontal="left" vertical="center"/>
    </xf>
    <xf numFmtId="0" fontId="21" fillId="2" borderId="5" xfId="28" applyFont="1" applyFill="1" applyBorder="1">
      <alignment horizontal="left" vertical="center"/>
    </xf>
    <xf numFmtId="0" fontId="21" fillId="0" borderId="0" xfId="0" applyFont="1"/>
    <xf numFmtId="0" fontId="34" fillId="6" borderId="0" xfId="28" quotePrefix="1" applyFont="1" applyFill="1" applyAlignment="1">
      <alignment horizontal="right" vertical="center"/>
    </xf>
    <xf numFmtId="0" fontId="34" fillId="6" borderId="9" xfId="28" applyFont="1" applyFill="1" applyBorder="1" applyAlignment="1">
      <alignment horizontal="right" vertical="center"/>
    </xf>
    <xf numFmtId="0" fontId="34" fillId="6" borderId="0" xfId="28" applyFont="1" applyFill="1" applyBorder="1" applyAlignment="1">
      <alignment horizontal="right" vertical="center"/>
    </xf>
    <xf numFmtId="0" fontId="34" fillId="6" borderId="5" xfId="28" applyFont="1" applyFill="1" applyBorder="1" applyAlignment="1">
      <alignment horizontal="right" vertical="center"/>
    </xf>
    <xf numFmtId="0" fontId="34" fillId="6" borderId="10" xfId="28" applyFont="1" applyFill="1" applyBorder="1" applyAlignment="1">
      <alignment horizontal="right" vertical="center"/>
    </xf>
    <xf numFmtId="0" fontId="22" fillId="6" borderId="5" xfId="28" applyFont="1" applyFill="1" applyBorder="1" applyAlignment="1">
      <alignment horizontal="right" vertical="center"/>
    </xf>
    <xf numFmtId="0" fontId="22" fillId="6" borderId="0" xfId="28" applyFont="1" applyFill="1" applyBorder="1" applyAlignment="1">
      <alignment horizontal="right" vertical="center"/>
    </xf>
    <xf numFmtId="0" fontId="22" fillId="6" borderId="10" xfId="28" applyFont="1" applyFill="1" applyBorder="1" applyAlignment="1">
      <alignment horizontal="right" vertical="center"/>
    </xf>
    <xf numFmtId="0" fontId="35" fillId="6" borderId="0" xfId="28" applyFont="1" applyFill="1" applyBorder="1" applyAlignment="1">
      <alignment horizontal="right" vertical="center"/>
    </xf>
    <xf numFmtId="0" fontId="35" fillId="6" borderId="10" xfId="28" applyFont="1" applyFill="1" applyBorder="1" applyAlignment="1">
      <alignment horizontal="right" vertical="center"/>
    </xf>
    <xf numFmtId="0" fontId="34" fillId="0" borderId="0" xfId="28" applyFont="1" applyFill="1" applyBorder="1" applyAlignment="1">
      <alignment horizontal="right" vertical="center"/>
    </xf>
    <xf numFmtId="0" fontId="34" fillId="2" borderId="5" xfId="28" applyFont="1" applyFill="1" applyBorder="1" applyAlignment="1">
      <alignment horizontal="right" vertical="center"/>
    </xf>
    <xf numFmtId="165" fontId="22" fillId="0" borderId="3" xfId="13" applyNumberFormat="1" applyFont="1" applyBorder="1">
      <alignment horizontal="left" vertical="center"/>
    </xf>
    <xf numFmtId="164" fontId="22" fillId="0" borderId="12" xfId="19" quotePrefix="1" applyNumberFormat="1" applyFont="1" applyFill="1" applyBorder="1" applyAlignment="1">
      <alignment horizontal="right" vertical="center"/>
    </xf>
    <xf numFmtId="164" fontId="22" fillId="0" borderId="3" xfId="19" quotePrefix="1" applyNumberFormat="1" applyFont="1" applyFill="1" applyBorder="1" applyAlignment="1">
      <alignment horizontal="right" vertical="center"/>
    </xf>
    <xf numFmtId="164" fontId="22" fillId="0" borderId="13" xfId="19" quotePrefix="1" applyNumberFormat="1" applyFont="1" applyFill="1" applyBorder="1" applyAlignment="1">
      <alignment horizontal="right" vertical="center"/>
    </xf>
    <xf numFmtId="164" fontId="22" fillId="0" borderId="14" xfId="19" quotePrefix="1" applyNumberFormat="1" applyFont="1" applyFill="1" applyBorder="1" applyAlignment="1">
      <alignment horizontal="right" vertical="center"/>
    </xf>
    <xf numFmtId="164" fontId="35" fillId="0" borderId="3" xfId="19" quotePrefix="1" applyNumberFormat="1" applyFont="1" applyFill="1" applyBorder="1" applyAlignment="1">
      <alignment horizontal="right" vertical="center"/>
    </xf>
    <xf numFmtId="164" fontId="35" fillId="0" borderId="14" xfId="19" quotePrefix="1" applyNumberFormat="1" applyFont="1" applyFill="1" applyBorder="1" applyAlignment="1">
      <alignment horizontal="right" vertical="center"/>
    </xf>
    <xf numFmtId="164" fontId="35" fillId="0" borderId="13" xfId="19" quotePrefix="1" applyNumberFormat="1" applyFont="1" applyFill="1" applyBorder="1" applyAlignment="1">
      <alignment horizontal="right" vertical="center"/>
    </xf>
    <xf numFmtId="165" fontId="22" fillId="0" borderId="3" xfId="19" applyNumberFormat="1" applyFont="1" applyFill="1" applyBorder="1">
      <alignment horizontal="right" vertical="center"/>
    </xf>
    <xf numFmtId="165" fontId="22" fillId="2" borderId="13" xfId="19" applyNumberFormat="1" applyFont="1" applyFill="1" applyBorder="1">
      <alignment horizontal="right" vertical="center"/>
    </xf>
    <xf numFmtId="0" fontId="21" fillId="0" borderId="3" xfId="0" applyFont="1" applyBorder="1"/>
    <xf numFmtId="2" fontId="21" fillId="0" borderId="0" xfId="27" applyNumberFormat="1" applyFont="1" applyFill="1" applyBorder="1">
      <alignment horizontal="left" vertical="center"/>
    </xf>
    <xf numFmtId="1" fontId="34" fillId="6" borderId="0" xfId="13" applyNumberFormat="1" applyFont="1" applyFill="1">
      <alignment horizontal="left" vertical="center"/>
    </xf>
    <xf numFmtId="0" fontId="36" fillId="0" borderId="9" xfId="27" applyFont="1" applyFill="1" applyBorder="1">
      <alignment horizontal="left" vertical="center"/>
    </xf>
    <xf numFmtId="0" fontId="36" fillId="0" borderId="0" xfId="27" applyFont="1" applyFill="1" applyBorder="1">
      <alignment horizontal="left" vertical="center"/>
    </xf>
    <xf numFmtId="0" fontId="36" fillId="0" borderId="10" xfId="27" applyFont="1" applyFill="1" applyBorder="1">
      <alignment horizontal="left" vertical="center"/>
    </xf>
    <xf numFmtId="0" fontId="36" fillId="0" borderId="5" xfId="27" applyFont="1" applyFill="1" applyBorder="1">
      <alignment horizontal="left" vertical="center"/>
    </xf>
    <xf numFmtId="0" fontId="21" fillId="0" borderId="5" xfId="27" applyFont="1" applyFill="1" applyBorder="1">
      <alignment horizontal="left" vertical="center"/>
    </xf>
    <xf numFmtId="0" fontId="21" fillId="0" borderId="0" xfId="27" applyFont="1" applyFill="1" applyBorder="1">
      <alignment horizontal="left" vertical="center"/>
    </xf>
    <xf numFmtId="0" fontId="21" fillId="0" borderId="10" xfId="27" applyFont="1" applyFill="1" applyBorder="1">
      <alignment horizontal="left" vertical="center"/>
    </xf>
    <xf numFmtId="0" fontId="33" fillId="0" borderId="0" xfId="27" applyFont="1" applyFill="1" applyBorder="1">
      <alignment horizontal="left" vertical="center"/>
    </xf>
    <xf numFmtId="0" fontId="33" fillId="0" borderId="10" xfId="27" applyFont="1" applyFill="1" applyBorder="1">
      <alignment horizontal="left" vertical="center"/>
    </xf>
    <xf numFmtId="0" fontId="33" fillId="0" borderId="5" xfId="27" applyFont="1" applyFill="1" applyBorder="1">
      <alignment horizontal="left" vertical="center"/>
    </xf>
    <xf numFmtId="0" fontId="36" fillId="2" borderId="5" xfId="27" applyFont="1" applyFill="1" applyBorder="1">
      <alignment horizontal="left" vertical="center"/>
    </xf>
    <xf numFmtId="164" fontId="37" fillId="0" borderId="0" xfId="13" applyNumberFormat="1" applyFont="1" applyFill="1">
      <alignment horizontal="left" vertical="center"/>
    </xf>
    <xf numFmtId="164" fontId="21" fillId="0" borderId="9" xfId="19" applyNumberFormat="1" applyFont="1" applyFill="1" applyBorder="1">
      <alignment horizontal="right" vertical="center"/>
    </xf>
    <xf numFmtId="164" fontId="21" fillId="0" borderId="0" xfId="19" applyNumberFormat="1" applyFont="1" applyFill="1" applyBorder="1">
      <alignment horizontal="right" vertical="center"/>
    </xf>
    <xf numFmtId="164" fontId="21" fillId="0" borderId="10" xfId="19" applyNumberFormat="1" applyFont="1" applyFill="1" applyBorder="1">
      <alignment horizontal="right" vertical="center"/>
    </xf>
    <xf numFmtId="164" fontId="21" fillId="0" borderId="5" xfId="19" applyNumberFormat="1" applyFont="1" applyFill="1" applyBorder="1">
      <alignment horizontal="right" vertical="center"/>
    </xf>
    <xf numFmtId="164" fontId="33" fillId="0" borderId="0" xfId="19" applyNumberFormat="1" applyFont="1" applyFill="1" applyBorder="1">
      <alignment horizontal="right" vertical="center"/>
    </xf>
    <xf numFmtId="164" fontId="33" fillId="0" borderId="10" xfId="19" applyNumberFormat="1" applyFont="1" applyFill="1" applyBorder="1">
      <alignment horizontal="right" vertical="center"/>
    </xf>
    <xf numFmtId="164" fontId="21" fillId="2" borderId="5" xfId="19" applyNumberFormat="1" applyFont="1" applyFill="1" applyBorder="1">
      <alignment horizontal="right" vertical="center"/>
    </xf>
    <xf numFmtId="1" fontId="21" fillId="0" borderId="0" xfId="13" applyNumberFormat="1" applyFont="1" applyFill="1">
      <alignment horizontal="left" vertical="center"/>
    </xf>
    <xf numFmtId="1" fontId="21" fillId="0" borderId="9" xfId="0" applyNumberFormat="1" applyFont="1" applyBorder="1"/>
    <xf numFmtId="1" fontId="21" fillId="0" borderId="0" xfId="0" applyNumberFormat="1" applyFont="1" applyBorder="1"/>
    <xf numFmtId="1" fontId="21" fillId="0" borderId="10" xfId="0" applyNumberFormat="1" applyFont="1" applyBorder="1"/>
    <xf numFmtId="1" fontId="21" fillId="0" borderId="5" xfId="0" applyNumberFormat="1" applyFont="1" applyBorder="1"/>
    <xf numFmtId="1" fontId="33" fillId="0" borderId="0" xfId="0" applyNumberFormat="1" applyFont="1" applyBorder="1"/>
    <xf numFmtId="1" fontId="33" fillId="0" borderId="10" xfId="0" applyNumberFormat="1" applyFont="1" applyBorder="1"/>
    <xf numFmtId="1" fontId="21" fillId="0" borderId="0" xfId="19" applyNumberFormat="1" applyFont="1" applyFill="1" applyBorder="1">
      <alignment horizontal="right" vertical="center"/>
    </xf>
    <xf numFmtId="1" fontId="21" fillId="2" borderId="5" xfId="19" applyNumberFormat="1" applyFont="1" applyFill="1" applyBorder="1">
      <alignment horizontal="right" vertical="center"/>
    </xf>
    <xf numFmtId="3" fontId="21" fillId="0" borderId="0" xfId="13" applyNumberFormat="1" applyFont="1" applyFill="1">
      <alignment horizontal="left" vertical="center"/>
    </xf>
    <xf numFmtId="3" fontId="21" fillId="6" borderId="0" xfId="13" applyNumberFormat="1" applyFont="1" applyFill="1">
      <alignment horizontal="left" vertical="center"/>
    </xf>
    <xf numFmtId="3" fontId="21" fillId="0" borderId="9" xfId="0" applyNumberFormat="1" applyFont="1" applyBorder="1"/>
    <xf numFmtId="3" fontId="21" fillId="0" borderId="0" xfId="0" applyNumberFormat="1" applyFont="1" applyBorder="1"/>
    <xf numFmtId="3" fontId="21" fillId="0" borderId="10" xfId="0" applyNumberFormat="1" applyFont="1" applyBorder="1"/>
    <xf numFmtId="3" fontId="21" fillId="0" borderId="5" xfId="0" applyNumberFormat="1" applyFont="1" applyBorder="1"/>
    <xf numFmtId="3" fontId="33" fillId="0" borderId="0" xfId="0" applyNumberFormat="1" applyFont="1" applyBorder="1"/>
    <xf numFmtId="3" fontId="33" fillId="0" borderId="10" xfId="0" applyNumberFormat="1" applyFont="1" applyBorder="1"/>
    <xf numFmtId="3" fontId="21" fillId="0" borderId="0" xfId="19" applyNumberFormat="1" applyFont="1" applyFill="1" applyBorder="1">
      <alignment horizontal="right" vertical="center"/>
    </xf>
    <xf numFmtId="3" fontId="21" fillId="2" borderId="5" xfId="19" applyNumberFormat="1" applyFont="1" applyFill="1" applyBorder="1">
      <alignment horizontal="right" vertical="center"/>
    </xf>
    <xf numFmtId="3" fontId="21" fillId="0" borderId="0" xfId="0" applyNumberFormat="1" applyFont="1"/>
    <xf numFmtId="0" fontId="32" fillId="0" borderId="0" xfId="0" applyFont="1" applyFill="1" applyBorder="1" applyAlignment="1">
      <alignment horizontal="left" indent="1"/>
    </xf>
    <xf numFmtId="1" fontId="37" fillId="6" borderId="0" xfId="13" applyNumberFormat="1" applyFont="1" applyFill="1">
      <alignment horizontal="left" vertical="center"/>
    </xf>
    <xf numFmtId="0" fontId="32" fillId="0" borderId="9" xfId="0" applyFont="1" applyBorder="1" applyAlignment="1">
      <alignment horizontal="right"/>
    </xf>
    <xf numFmtId="0" fontId="32" fillId="0" borderId="0" xfId="0" applyFont="1" applyBorder="1" applyAlignment="1">
      <alignment horizontal="right"/>
    </xf>
    <xf numFmtId="0" fontId="32" fillId="0" borderId="10" xfId="0" applyFont="1" applyBorder="1" applyAlignment="1">
      <alignment horizontal="right"/>
    </xf>
    <xf numFmtId="0" fontId="32" fillId="0" borderId="5" xfId="0" applyFont="1" applyBorder="1" applyAlignment="1">
      <alignment horizontal="right"/>
    </xf>
    <xf numFmtId="9" fontId="32" fillId="0" borderId="10" xfId="17" applyFont="1" applyBorder="1"/>
    <xf numFmtId="9" fontId="32" fillId="0" borderId="0" xfId="17" applyFont="1" applyBorder="1"/>
    <xf numFmtId="9" fontId="32" fillId="0" borderId="5" xfId="17" applyFont="1" applyBorder="1"/>
    <xf numFmtId="168" fontId="32" fillId="0" borderId="0" xfId="17" applyNumberFormat="1" applyFont="1" applyBorder="1"/>
    <xf numFmtId="168" fontId="38" fillId="0" borderId="0" xfId="17" applyNumberFormat="1" applyFont="1" applyBorder="1"/>
    <xf numFmtId="168" fontId="38" fillId="0" borderId="10" xfId="17" applyNumberFormat="1" applyFont="1" applyBorder="1"/>
    <xf numFmtId="168" fontId="38" fillId="0" borderId="5" xfId="17" applyNumberFormat="1" applyFont="1" applyBorder="1"/>
    <xf numFmtId="9" fontId="38" fillId="0" borderId="0" xfId="17" applyFont="1" applyBorder="1"/>
    <xf numFmtId="9" fontId="38" fillId="0" borderId="10" xfId="17" applyFont="1" applyBorder="1"/>
    <xf numFmtId="0" fontId="32" fillId="0" borderId="0" xfId="0" applyFont="1" applyFill="1"/>
    <xf numFmtId="0" fontId="32" fillId="2" borderId="5" xfId="0" applyFont="1" applyFill="1" applyBorder="1"/>
    <xf numFmtId="0" fontId="32" fillId="0" borderId="0" xfId="0" applyFont="1"/>
    <xf numFmtId="3" fontId="21" fillId="0" borderId="0" xfId="0" applyNumberFormat="1" applyFont="1" applyFill="1"/>
    <xf numFmtId="3" fontId="21" fillId="2" borderId="5" xfId="0" applyNumberFormat="1" applyFont="1" applyFill="1" applyBorder="1"/>
    <xf numFmtId="3" fontId="22" fillId="0" borderId="0" xfId="13" applyNumberFormat="1" applyFont="1" applyFill="1">
      <alignment horizontal="left" vertical="center"/>
    </xf>
    <xf numFmtId="3" fontId="22" fillId="0" borderId="9" xfId="0" applyNumberFormat="1" applyFont="1" applyFill="1" applyBorder="1"/>
    <xf numFmtId="3" fontId="22" fillId="0" borderId="0" xfId="0" applyNumberFormat="1" applyFont="1" applyFill="1" applyBorder="1"/>
    <xf numFmtId="3" fontId="22" fillId="0" borderId="10" xfId="0" applyNumberFormat="1" applyFont="1" applyFill="1" applyBorder="1"/>
    <xf numFmtId="3" fontId="22" fillId="0" borderId="5" xfId="0" applyNumberFormat="1" applyFont="1" applyFill="1" applyBorder="1"/>
    <xf numFmtId="3" fontId="35" fillId="0" borderId="0" xfId="0" applyNumberFormat="1" applyFont="1" applyFill="1" applyBorder="1"/>
    <xf numFmtId="3" fontId="35" fillId="0" borderId="10" xfId="0" applyNumberFormat="1" applyFont="1" applyFill="1" applyBorder="1"/>
    <xf numFmtId="3" fontId="22" fillId="0" borderId="0" xfId="0" applyNumberFormat="1" applyFont="1" applyFill="1"/>
    <xf numFmtId="0" fontId="32" fillId="0" borderId="0" xfId="0" applyFont="1" applyFill="1" applyBorder="1"/>
    <xf numFmtId="1" fontId="39" fillId="6" borderId="0" xfId="13" applyNumberFormat="1" applyFont="1" applyFill="1">
      <alignment horizontal="left" vertical="center"/>
    </xf>
    <xf numFmtId="9" fontId="32" fillId="0" borderId="0" xfId="17" applyNumberFormat="1" applyFont="1" applyBorder="1"/>
    <xf numFmtId="9" fontId="32" fillId="0" borderId="10" xfId="17" applyNumberFormat="1" applyFont="1" applyBorder="1"/>
    <xf numFmtId="164" fontId="21" fillId="0" borderId="0" xfId="13" applyNumberFormat="1" applyFont="1" applyFill="1">
      <alignment horizontal="left" vertical="center"/>
    </xf>
    <xf numFmtId="0" fontId="21" fillId="0" borderId="9" xfId="0" applyFont="1" applyBorder="1" applyAlignment="1">
      <alignment horizontal="right"/>
    </xf>
    <xf numFmtId="9" fontId="21" fillId="0" borderId="0" xfId="17" applyFont="1" applyBorder="1"/>
    <xf numFmtId="9" fontId="21" fillId="0" borderId="10" xfId="17" applyFont="1" applyBorder="1"/>
    <xf numFmtId="0" fontId="21" fillId="0" borderId="5" xfId="0" applyFont="1" applyBorder="1" applyAlignment="1">
      <alignment horizontal="right"/>
    </xf>
    <xf numFmtId="0" fontId="21" fillId="0" borderId="0" xfId="0" applyFont="1" applyBorder="1" applyAlignment="1">
      <alignment horizontal="right"/>
    </xf>
    <xf numFmtId="0" fontId="21" fillId="0" borderId="10" xfId="0" applyFont="1" applyBorder="1" applyAlignment="1">
      <alignment horizontal="right"/>
    </xf>
    <xf numFmtId="9" fontId="21" fillId="0" borderId="0" xfId="17" applyNumberFormat="1" applyFont="1" applyBorder="1"/>
    <xf numFmtId="9" fontId="21" fillId="0" borderId="10" xfId="17" applyNumberFormat="1" applyFont="1" applyBorder="1"/>
    <xf numFmtId="177" fontId="22" fillId="0" borderId="0" xfId="9" applyNumberFormat="1" applyFont="1" applyBorder="1"/>
    <xf numFmtId="177" fontId="22" fillId="0" borderId="10" xfId="9" applyNumberFormat="1" applyFont="1" applyBorder="1"/>
    <xf numFmtId="9" fontId="33" fillId="0" borderId="0" xfId="17" applyFont="1" applyBorder="1"/>
    <xf numFmtId="9" fontId="33" fillId="0" borderId="10" xfId="17" applyFont="1" applyBorder="1"/>
    <xf numFmtId="0" fontId="21" fillId="0" borderId="0" xfId="0" applyFont="1" applyFill="1"/>
    <xf numFmtId="0" fontId="21" fillId="2" borderId="5" xfId="0" applyFont="1" applyFill="1" applyBorder="1"/>
    <xf numFmtId="0" fontId="21" fillId="0" borderId="0" xfId="27" applyFont="1" applyFill="1" applyBorder="1" applyAlignment="1">
      <alignment horizontal="right" vertical="center"/>
    </xf>
    <xf numFmtId="0" fontId="21" fillId="0" borderId="10" xfId="27" applyFont="1" applyFill="1" applyBorder="1" applyAlignment="1">
      <alignment horizontal="right" vertical="center"/>
    </xf>
    <xf numFmtId="0" fontId="21" fillId="0" borderId="5" xfId="27" applyFont="1" applyFill="1" applyBorder="1" applyAlignment="1">
      <alignment horizontal="right" vertical="center"/>
    </xf>
    <xf numFmtId="0" fontId="21" fillId="0" borderId="9" xfId="0" applyFont="1" applyBorder="1"/>
    <xf numFmtId="0" fontId="21" fillId="0" borderId="0" xfId="0" applyFont="1" applyBorder="1"/>
    <xf numFmtId="0" fontId="21" fillId="0" borderId="10" xfId="0" applyFont="1" applyBorder="1"/>
    <xf numFmtId="0" fontId="21" fillId="0" borderId="5" xfId="0" applyFont="1" applyBorder="1"/>
    <xf numFmtId="0" fontId="20" fillId="0" borderId="0" xfId="0" applyFont="1" applyBorder="1"/>
    <xf numFmtId="1" fontId="20" fillId="0" borderId="0" xfId="0" applyNumberFormat="1" applyFont="1" applyBorder="1"/>
    <xf numFmtId="1" fontId="20" fillId="0" borderId="10" xfId="0" applyNumberFormat="1" applyFont="1" applyBorder="1"/>
    <xf numFmtId="0" fontId="33" fillId="0" borderId="0" xfId="0" applyFont="1" applyBorder="1"/>
    <xf numFmtId="0" fontId="33" fillId="0" borderId="10" xfId="0" applyFont="1" applyBorder="1"/>
    <xf numFmtId="3" fontId="34" fillId="6" borderId="0" xfId="13" applyNumberFormat="1" applyFont="1" applyFill="1">
      <alignment horizontal="left" vertical="center"/>
    </xf>
    <xf numFmtId="1" fontId="32" fillId="0" borderId="0" xfId="13" applyNumberFormat="1" applyFont="1" applyFill="1">
      <alignment horizontal="left" vertical="center"/>
    </xf>
    <xf numFmtId="9" fontId="32" fillId="0" borderId="9" xfId="17" applyFont="1" applyBorder="1"/>
    <xf numFmtId="1" fontId="32" fillId="7" borderId="0" xfId="13" applyNumberFormat="1" applyFont="1" applyFill="1">
      <alignment horizontal="left" vertical="center"/>
    </xf>
    <xf numFmtId="1" fontId="21" fillId="7" borderId="9" xfId="0" applyNumberFormat="1" applyFont="1" applyFill="1" applyBorder="1"/>
    <xf numFmtId="1" fontId="21" fillId="7" borderId="0" xfId="0" applyNumberFormat="1" applyFont="1" applyFill="1" applyBorder="1"/>
    <xf numFmtId="1" fontId="21" fillId="7" borderId="10" xfId="0" applyNumberFormat="1" applyFont="1" applyFill="1" applyBorder="1"/>
    <xf numFmtId="1" fontId="21" fillId="7" borderId="5" xfId="0" applyNumberFormat="1" applyFont="1" applyFill="1" applyBorder="1"/>
    <xf numFmtId="1" fontId="33" fillId="7" borderId="0" xfId="0" applyNumberFormat="1" applyFont="1" applyFill="1" applyBorder="1"/>
    <xf numFmtId="1" fontId="33" fillId="7" borderId="10" xfId="0" applyNumberFormat="1" applyFont="1" applyFill="1" applyBorder="1"/>
    <xf numFmtId="9" fontId="32" fillId="7" borderId="9" xfId="17" applyFont="1" applyFill="1" applyBorder="1"/>
    <xf numFmtId="9" fontId="32" fillId="7" borderId="0" xfId="17" applyFont="1" applyFill="1" applyBorder="1"/>
    <xf numFmtId="9" fontId="32" fillId="7" borderId="10" xfId="17" applyFont="1" applyFill="1" applyBorder="1"/>
    <xf numFmtId="9" fontId="32" fillId="7" borderId="5" xfId="17" applyFont="1" applyFill="1" applyBorder="1"/>
    <xf numFmtId="9" fontId="38" fillId="7" borderId="0" xfId="17" applyFont="1" applyFill="1" applyBorder="1"/>
    <xf numFmtId="9" fontId="32" fillId="7" borderId="9" xfId="17" quotePrefix="1" applyFont="1" applyFill="1" applyBorder="1" applyAlignment="1">
      <alignment horizontal="right"/>
    </xf>
    <xf numFmtId="9" fontId="32" fillId="7" borderId="0" xfId="17" quotePrefix="1" applyFont="1" applyFill="1" applyBorder="1" applyAlignment="1">
      <alignment horizontal="right"/>
    </xf>
    <xf numFmtId="9" fontId="32" fillId="7" borderId="10" xfId="17" quotePrefix="1" applyFont="1" applyFill="1" applyBorder="1" applyAlignment="1">
      <alignment horizontal="right"/>
    </xf>
    <xf numFmtId="9" fontId="32" fillId="7" borderId="5" xfId="17" quotePrefix="1" applyFont="1" applyFill="1" applyBorder="1" applyAlignment="1">
      <alignment horizontal="right"/>
    </xf>
    <xf numFmtId="164" fontId="21" fillId="0" borderId="0" xfId="0" applyNumberFormat="1" applyFont="1" applyBorder="1"/>
    <xf numFmtId="164" fontId="32" fillId="0" borderId="0" xfId="13" applyNumberFormat="1" applyFont="1" applyFill="1">
      <alignment horizontal="left" vertical="center"/>
    </xf>
    <xf numFmtId="168" fontId="32" fillId="0" borderId="9" xfId="17" applyNumberFormat="1" applyFont="1" applyBorder="1"/>
    <xf numFmtId="168" fontId="32" fillId="0" borderId="10" xfId="17" applyNumberFormat="1" applyFont="1" applyBorder="1"/>
    <xf numFmtId="168" fontId="32" fillId="0" borderId="5" xfId="17" applyNumberFormat="1" applyFont="1" applyBorder="1"/>
    <xf numFmtId="168" fontId="21" fillId="0" borderId="0" xfId="0" applyNumberFormat="1" applyFont="1" applyBorder="1"/>
    <xf numFmtId="168" fontId="21" fillId="0" borderId="10" xfId="0" applyNumberFormat="1" applyFont="1" applyBorder="1"/>
    <xf numFmtId="3" fontId="21" fillId="0" borderId="0" xfId="13" applyNumberFormat="1" applyFont="1" applyFill="1" applyAlignment="1">
      <alignment horizontal="left" vertical="center" indent="1"/>
    </xf>
    <xf numFmtId="3" fontId="22" fillId="6" borderId="0" xfId="13" applyNumberFormat="1" applyFont="1" applyFill="1">
      <alignment horizontal="left" vertical="center"/>
    </xf>
    <xf numFmtId="1" fontId="22" fillId="6" borderId="0" xfId="13" applyNumberFormat="1" applyFont="1" applyFill="1">
      <alignment horizontal="left" vertical="center"/>
    </xf>
    <xf numFmtId="1" fontId="21" fillId="0" borderId="0" xfId="0" applyNumberFormat="1" applyFont="1" applyFill="1"/>
    <xf numFmtId="1" fontId="32" fillId="0" borderId="9" xfId="0" applyNumberFormat="1" applyFont="1" applyBorder="1" applyAlignment="1">
      <alignment horizontal="right"/>
    </xf>
    <xf numFmtId="1" fontId="32" fillId="0" borderId="0" xfId="0" applyNumberFormat="1" applyFont="1" applyBorder="1" applyAlignment="1">
      <alignment horizontal="right"/>
    </xf>
    <xf numFmtId="1" fontId="32" fillId="0" borderId="10" xfId="0" applyNumberFormat="1" applyFont="1" applyBorder="1" applyAlignment="1">
      <alignment horizontal="right"/>
    </xf>
    <xf numFmtId="41" fontId="32" fillId="0" borderId="0" xfId="0" applyNumberFormat="1" applyFont="1" applyBorder="1" applyAlignment="1">
      <alignment horizontal="right"/>
    </xf>
    <xf numFmtId="41" fontId="32" fillId="0" borderId="10" xfId="0" applyNumberFormat="1" applyFont="1" applyBorder="1" applyAlignment="1">
      <alignment horizontal="right"/>
    </xf>
    <xf numFmtId="1" fontId="38" fillId="0" borderId="0" xfId="0" applyNumberFormat="1" applyFont="1" applyBorder="1" applyAlignment="1">
      <alignment horizontal="right"/>
    </xf>
    <xf numFmtId="1" fontId="38" fillId="0" borderId="10" xfId="0" applyNumberFormat="1" applyFont="1" applyBorder="1" applyAlignment="1">
      <alignment horizontal="right"/>
    </xf>
    <xf numFmtId="41" fontId="32" fillId="0" borderId="9" xfId="0" applyNumberFormat="1" applyFont="1" applyBorder="1" applyAlignment="1">
      <alignment horizontal="right"/>
    </xf>
    <xf numFmtId="41" fontId="38" fillId="0" borderId="0" xfId="0" applyNumberFormat="1" applyFont="1" applyBorder="1" applyAlignment="1">
      <alignment horizontal="right"/>
    </xf>
    <xf numFmtId="41" fontId="38" fillId="0" borderId="10" xfId="0" applyNumberFormat="1" applyFont="1" applyBorder="1" applyAlignment="1">
      <alignment horizontal="right"/>
    </xf>
    <xf numFmtId="1" fontId="21" fillId="2" borderId="5" xfId="0" applyNumberFormat="1" applyFont="1" applyFill="1" applyBorder="1"/>
    <xf numFmtId="1" fontId="21" fillId="0" borderId="0" xfId="27" applyNumberFormat="1" applyFont="1" applyFill="1" applyBorder="1">
      <alignment horizontal="left" vertical="center"/>
    </xf>
    <xf numFmtId="1" fontId="34" fillId="6" borderId="0" xfId="27" applyNumberFormat="1" applyFont="1" applyFill="1" applyBorder="1">
      <alignment horizontal="left" vertical="center"/>
    </xf>
    <xf numFmtId="1" fontId="36" fillId="0" borderId="9" xfId="27" applyNumberFormat="1" applyFont="1" applyFill="1" applyBorder="1">
      <alignment horizontal="left" vertical="center"/>
    </xf>
    <xf numFmtId="1" fontId="36" fillId="0" borderId="0" xfId="27" applyNumberFormat="1" applyFont="1" applyFill="1" applyBorder="1">
      <alignment horizontal="left" vertical="center"/>
    </xf>
    <xf numFmtId="1" fontId="36" fillId="0" borderId="10" xfId="27" applyNumberFormat="1" applyFont="1" applyFill="1" applyBorder="1">
      <alignment horizontal="left" vertical="center"/>
    </xf>
    <xf numFmtId="1" fontId="36" fillId="0" borderId="5" xfId="27" applyNumberFormat="1" applyFont="1" applyFill="1" applyBorder="1">
      <alignment horizontal="left" vertical="center"/>
    </xf>
    <xf numFmtId="9" fontId="40" fillId="0" borderId="10" xfId="17" applyFont="1" applyFill="1" applyBorder="1" applyAlignment="1">
      <alignment horizontal="left" vertical="center"/>
    </xf>
    <xf numFmtId="1" fontId="21" fillId="0" borderId="5" xfId="27" applyNumberFormat="1" applyFont="1" applyFill="1" applyBorder="1">
      <alignment horizontal="left" vertical="center"/>
    </xf>
    <xf numFmtId="1" fontId="21" fillId="0" borderId="10" xfId="27" applyNumberFormat="1" applyFont="1" applyFill="1" applyBorder="1">
      <alignment horizontal="left" vertical="center"/>
    </xf>
    <xf numFmtId="1" fontId="36" fillId="2" borderId="5" xfId="27" applyNumberFormat="1" applyFont="1" applyFill="1" applyBorder="1">
      <alignment horizontal="left" vertical="center"/>
    </xf>
    <xf numFmtId="3" fontId="22" fillId="0" borderId="9" xfId="0" applyNumberFormat="1" applyFont="1" applyBorder="1"/>
    <xf numFmtId="3" fontId="22" fillId="0" borderId="0" xfId="0" applyNumberFormat="1" applyFont="1" applyBorder="1"/>
    <xf numFmtId="3" fontId="22" fillId="0" borderId="10" xfId="0" applyNumberFormat="1" applyFont="1" applyBorder="1"/>
    <xf numFmtId="3" fontId="22" fillId="0" borderId="5" xfId="0" applyNumberFormat="1" applyFont="1" applyBorder="1"/>
    <xf numFmtId="3" fontId="35" fillId="0" borderId="0" xfId="0" applyNumberFormat="1" applyFont="1" applyBorder="1"/>
    <xf numFmtId="3" fontId="35" fillId="0" borderId="10" xfId="0" applyNumberFormat="1" applyFont="1" applyBorder="1"/>
    <xf numFmtId="3" fontId="22" fillId="2" borderId="5" xfId="0" applyNumberFormat="1" applyFont="1" applyFill="1" applyBorder="1"/>
    <xf numFmtId="164" fontId="39" fillId="6" borderId="0" xfId="13" applyNumberFormat="1" applyFont="1" applyFill="1">
      <alignment horizontal="left" vertical="center"/>
    </xf>
    <xf numFmtId="168" fontId="37" fillId="0" borderId="9" xfId="17" applyNumberFormat="1" applyFont="1" applyBorder="1"/>
    <xf numFmtId="168" fontId="37" fillId="0" borderId="0" xfId="17" applyNumberFormat="1" applyFont="1" applyBorder="1"/>
    <xf numFmtId="168" fontId="37" fillId="0" borderId="10" xfId="17" applyNumberFormat="1" applyFont="1" applyBorder="1"/>
    <xf numFmtId="168" fontId="37" fillId="0" borderId="5" xfId="17" applyNumberFormat="1" applyFont="1" applyBorder="1"/>
    <xf numFmtId="168" fontId="41" fillId="0" borderId="0" xfId="17" applyNumberFormat="1" applyFont="1" applyBorder="1"/>
    <xf numFmtId="168" fontId="41" fillId="0" borderId="10" xfId="17" applyNumberFormat="1" applyFont="1" applyBorder="1"/>
    <xf numFmtId="0" fontId="37" fillId="0" borderId="0" xfId="0" applyFont="1" applyFill="1"/>
    <xf numFmtId="0" fontId="37" fillId="2" borderId="5" xfId="0" applyFont="1" applyFill="1" applyBorder="1"/>
    <xf numFmtId="0" fontId="22" fillId="0" borderId="0" xfId="0" applyFont="1"/>
    <xf numFmtId="9" fontId="32" fillId="0" borderId="0" xfId="17" applyFont="1" applyBorder="1" applyAlignment="1">
      <alignment horizontal="right"/>
    </xf>
    <xf numFmtId="168" fontId="32" fillId="0" borderId="0" xfId="17" applyNumberFormat="1" applyFont="1" applyBorder="1" applyAlignment="1">
      <alignment horizontal="right"/>
    </xf>
    <xf numFmtId="168" fontId="38" fillId="0" borderId="0" xfId="17" applyNumberFormat="1" applyFont="1" applyBorder="1" applyAlignment="1">
      <alignment horizontal="right"/>
    </xf>
    <xf numFmtId="1" fontId="21" fillId="7" borderId="0" xfId="13" applyNumberFormat="1" applyFont="1" applyFill="1">
      <alignment horizontal="left" vertical="center"/>
    </xf>
    <xf numFmtId="164" fontId="21" fillId="7" borderId="5" xfId="0" applyNumberFormat="1" applyFont="1" applyFill="1" applyBorder="1"/>
    <xf numFmtId="164" fontId="33" fillId="7" borderId="5" xfId="0" applyNumberFormat="1" applyFont="1" applyFill="1" applyBorder="1"/>
    <xf numFmtId="3" fontId="20" fillId="0" borderId="9" xfId="0" applyNumberFormat="1" applyFont="1" applyBorder="1"/>
    <xf numFmtId="3" fontId="20" fillId="0" borderId="0" xfId="0" applyNumberFormat="1" applyFont="1" applyBorder="1"/>
    <xf numFmtId="3" fontId="20" fillId="0" borderId="10" xfId="0" applyNumberFormat="1" applyFont="1" applyBorder="1"/>
    <xf numFmtId="9" fontId="32" fillId="0" borderId="5" xfId="17" applyNumberFormat="1" applyFont="1" applyBorder="1"/>
    <xf numFmtId="9" fontId="38" fillId="0" borderId="0" xfId="17" applyNumberFormat="1" applyFont="1" applyBorder="1"/>
    <xf numFmtId="2" fontId="34" fillId="6" borderId="0" xfId="27" applyNumberFormat="1" applyFont="1" applyFill="1" applyBorder="1">
      <alignment horizontal="left" vertical="center"/>
    </xf>
    <xf numFmtId="0" fontId="21" fillId="0" borderId="9" xfId="27" applyFont="1" applyFill="1" applyBorder="1" applyAlignment="1">
      <alignment horizontal="right" vertical="center"/>
    </xf>
    <xf numFmtId="0" fontId="33" fillId="0" borderId="0" xfId="27" applyFont="1" applyFill="1" applyBorder="1" applyAlignment="1">
      <alignment horizontal="right" vertical="center"/>
    </xf>
    <xf numFmtId="0" fontId="33" fillId="0" borderId="10" xfId="27" applyFont="1" applyFill="1" applyBorder="1" applyAlignment="1">
      <alignment horizontal="right" vertical="center"/>
    </xf>
    <xf numFmtId="2" fontId="22" fillId="0" borderId="6" xfId="13" applyNumberFormat="1" applyFont="1" applyFill="1" applyBorder="1">
      <alignment horizontal="left" vertical="center"/>
    </xf>
    <xf numFmtId="2" fontId="34" fillId="0" borderId="6" xfId="13" applyNumberFormat="1" applyFont="1" applyFill="1" applyBorder="1">
      <alignment horizontal="left" vertical="center"/>
    </xf>
    <xf numFmtId="2" fontId="22" fillId="0" borderId="17" xfId="0" applyNumberFormat="1" applyFont="1" applyFill="1" applyBorder="1"/>
    <xf numFmtId="2" fontId="22" fillId="0" borderId="6" xfId="0" applyNumberFormat="1" applyFont="1" applyFill="1" applyBorder="1"/>
    <xf numFmtId="2" fontId="22" fillId="0" borderId="18" xfId="0" applyNumberFormat="1" applyFont="1" applyFill="1" applyBorder="1"/>
    <xf numFmtId="2" fontId="22" fillId="0" borderId="19" xfId="0" applyNumberFormat="1" applyFont="1" applyFill="1" applyBorder="1"/>
    <xf numFmtId="2" fontId="35" fillId="0" borderId="6" xfId="0" applyNumberFormat="1" applyFont="1" applyFill="1" applyBorder="1"/>
    <xf numFmtId="2" fontId="35" fillId="0" borderId="18" xfId="0" applyNumberFormat="1" applyFont="1" applyFill="1" applyBorder="1"/>
    <xf numFmtId="164" fontId="34" fillId="6" borderId="0" xfId="13" applyNumberFormat="1" applyFont="1" applyFill="1">
      <alignment horizontal="left" vertical="center"/>
    </xf>
    <xf numFmtId="9" fontId="36" fillId="0" borderId="9" xfId="17" applyFont="1" applyBorder="1"/>
    <xf numFmtId="9" fontId="36" fillId="0" borderId="0" xfId="17" applyFont="1" applyBorder="1"/>
    <xf numFmtId="9" fontId="36" fillId="0" borderId="10" xfId="17" applyFont="1" applyBorder="1"/>
    <xf numFmtId="9" fontId="36" fillId="0" borderId="5" xfId="17" applyFont="1" applyBorder="1"/>
    <xf numFmtId="9" fontId="21" fillId="0" borderId="0" xfId="17" applyFont="1" applyBorder="1" applyAlignment="1">
      <alignment horizontal="right"/>
    </xf>
    <xf numFmtId="9" fontId="21" fillId="0" borderId="5" xfId="17" applyFont="1" applyBorder="1"/>
    <xf numFmtId="9" fontId="33" fillId="0" borderId="5" xfId="17" applyFont="1" applyBorder="1"/>
    <xf numFmtId="2" fontId="21" fillId="0" borderId="0" xfId="13" applyNumberFormat="1" applyFont="1" applyFill="1">
      <alignment horizontal="left" vertical="center"/>
    </xf>
    <xf numFmtId="2" fontId="34" fillId="6" borderId="0" xfId="13" applyNumberFormat="1" applyFont="1" applyFill="1">
      <alignment horizontal="left" vertical="center"/>
    </xf>
    <xf numFmtId="2" fontId="21" fillId="0" borderId="9" xfId="0" applyNumberFormat="1" applyFont="1" applyBorder="1"/>
    <xf numFmtId="2" fontId="21" fillId="0" borderId="0" xfId="0" applyNumberFormat="1" applyFont="1" applyBorder="1"/>
    <xf numFmtId="2" fontId="21" fillId="0" borderId="10" xfId="0" applyNumberFormat="1" applyFont="1" applyBorder="1"/>
    <xf numFmtId="4" fontId="21" fillId="0" borderId="5" xfId="0" applyNumberFormat="1" applyFont="1" applyBorder="1"/>
    <xf numFmtId="4" fontId="21" fillId="0" borderId="10" xfId="0" applyNumberFormat="1" applyFont="1" applyBorder="1"/>
    <xf numFmtId="2" fontId="33" fillId="0" borderId="0" xfId="0" applyNumberFormat="1" applyFont="1" applyBorder="1"/>
    <xf numFmtId="2" fontId="33" fillId="0" borderId="10" xfId="0" applyNumberFormat="1" applyFont="1" applyBorder="1"/>
    <xf numFmtId="2" fontId="21" fillId="0" borderId="0" xfId="0" applyNumberFormat="1" applyFont="1" applyFill="1"/>
    <xf numFmtId="2" fontId="21" fillId="2" borderId="5" xfId="0" applyNumberFormat="1" applyFont="1" applyFill="1" applyBorder="1"/>
    <xf numFmtId="4" fontId="21" fillId="0" borderId="0" xfId="0" applyNumberFormat="1" applyFont="1" applyBorder="1"/>
    <xf numFmtId="4" fontId="33" fillId="0" borderId="0" xfId="0" applyNumberFormat="1" applyFont="1" applyBorder="1"/>
    <xf numFmtId="4" fontId="33" fillId="0" borderId="10" xfId="0" applyNumberFormat="1" applyFont="1" applyBorder="1"/>
    <xf numFmtId="2" fontId="22" fillId="4" borderId="0" xfId="27" applyNumberFormat="1" applyFont="1" applyFill="1" applyBorder="1">
      <alignment horizontal="left" vertical="center"/>
    </xf>
    <xf numFmtId="2" fontId="21" fillId="4" borderId="0" xfId="27" applyNumberFormat="1" applyFont="1" applyFill="1" applyBorder="1">
      <alignment horizontal="left" vertical="center"/>
    </xf>
    <xf numFmtId="1" fontId="21" fillId="0" borderId="0" xfId="0" applyNumberFormat="1" applyFont="1"/>
    <xf numFmtId="9" fontId="43" fillId="0" borderId="9" xfId="17" applyFont="1" applyBorder="1"/>
    <xf numFmtId="9" fontId="43" fillId="0" borderId="0" xfId="17" applyFont="1" applyBorder="1"/>
    <xf numFmtId="9" fontId="43" fillId="0" borderId="10" xfId="17" applyFont="1" applyBorder="1"/>
    <xf numFmtId="9" fontId="43" fillId="0" borderId="5" xfId="17" applyFont="1" applyBorder="1"/>
    <xf numFmtId="9" fontId="43" fillId="0" borderId="0" xfId="17" applyFont="1"/>
    <xf numFmtId="9" fontId="32" fillId="0" borderId="0" xfId="17" applyFont="1"/>
    <xf numFmtId="2" fontId="45" fillId="0" borderId="9" xfId="0" applyNumberFormat="1" applyFont="1" applyBorder="1"/>
    <xf numFmtId="2" fontId="45" fillId="0" borderId="0" xfId="0" applyNumberFormat="1" applyFont="1" applyBorder="1"/>
    <xf numFmtId="2" fontId="45" fillId="0" borderId="10" xfId="0" applyNumberFormat="1" applyFont="1" applyBorder="1"/>
    <xf numFmtId="2" fontId="45" fillId="0" borderId="5" xfId="0" applyNumberFormat="1" applyFont="1" applyBorder="1"/>
    <xf numFmtId="2" fontId="22" fillId="0" borderId="5" xfId="0" applyNumberFormat="1" applyFont="1" applyBorder="1"/>
    <xf numFmtId="2" fontId="22" fillId="0" borderId="0" xfId="0" applyNumberFormat="1" applyFont="1" applyBorder="1"/>
    <xf numFmtId="2" fontId="22" fillId="0" borderId="10" xfId="0" applyNumberFormat="1" applyFont="1" applyBorder="1"/>
    <xf numFmtId="2" fontId="35" fillId="0" borderId="0" xfId="0" applyNumberFormat="1" applyFont="1" applyBorder="1"/>
    <xf numFmtId="2" fontId="35" fillId="0" borderId="10" xfId="0" applyNumberFormat="1" applyFont="1" applyBorder="1"/>
    <xf numFmtId="2" fontId="45" fillId="0" borderId="0" xfId="0" applyNumberFormat="1" applyFont="1"/>
    <xf numFmtId="2" fontId="42" fillId="0" borderId="9" xfId="0" applyNumberFormat="1" applyFont="1" applyBorder="1"/>
    <xf numFmtId="2" fontId="42" fillId="0" borderId="0" xfId="0" applyNumberFormat="1" applyFont="1" applyBorder="1"/>
    <xf numFmtId="2" fontId="42" fillId="0" borderId="10" xfId="0" applyNumberFormat="1" applyFont="1" applyBorder="1"/>
    <xf numFmtId="4" fontId="42" fillId="0" borderId="5" xfId="0" applyNumberFormat="1" applyFont="1" applyBorder="1"/>
    <xf numFmtId="4" fontId="42" fillId="0" borderId="10" xfId="0" applyNumberFormat="1" applyFont="1" applyBorder="1"/>
    <xf numFmtId="164" fontId="42" fillId="0" borderId="9" xfId="0" applyNumberFormat="1" applyFont="1" applyBorder="1"/>
    <xf numFmtId="164" fontId="42" fillId="0" borderId="0" xfId="0" applyNumberFormat="1" applyFont="1" applyBorder="1"/>
    <xf numFmtId="164" fontId="42" fillId="0" borderId="10" xfId="0" applyNumberFormat="1" applyFont="1" applyBorder="1"/>
    <xf numFmtId="164" fontId="21" fillId="0" borderId="10" xfId="0" applyNumberFormat="1" applyFont="1" applyBorder="1"/>
    <xf numFmtId="164" fontId="33" fillId="0" borderId="0" xfId="0" applyNumberFormat="1" applyFont="1" applyBorder="1"/>
    <xf numFmtId="164" fontId="33" fillId="0" borderId="10" xfId="0" applyNumberFormat="1" applyFont="1" applyBorder="1"/>
    <xf numFmtId="164" fontId="42" fillId="0" borderId="0" xfId="0" applyNumberFormat="1" applyFont="1"/>
    <xf numFmtId="164" fontId="21" fillId="0" borderId="0" xfId="0" applyNumberFormat="1" applyFont="1"/>
    <xf numFmtId="1" fontId="20" fillId="0" borderId="9" xfId="0" applyNumberFormat="1" applyFont="1" applyBorder="1"/>
    <xf numFmtId="2" fontId="21" fillId="0" borderId="5" xfId="0" applyNumberFormat="1" applyFont="1" applyBorder="1"/>
    <xf numFmtId="164" fontId="21" fillId="0" borderId="0" xfId="13" applyNumberFormat="1" applyFont="1" applyFill="1" applyBorder="1">
      <alignment horizontal="left" vertical="center"/>
    </xf>
    <xf numFmtId="164" fontId="40" fillId="6" borderId="0" xfId="13" applyNumberFormat="1" applyFont="1" applyFill="1" applyBorder="1">
      <alignment horizontal="left" vertical="center"/>
    </xf>
    <xf numFmtId="0" fontId="21" fillId="0" borderId="0" xfId="0" applyFont="1" applyFill="1" applyBorder="1"/>
    <xf numFmtId="3" fontId="21" fillId="0" borderId="3" xfId="0" applyNumberFormat="1" applyFont="1" applyBorder="1"/>
    <xf numFmtId="3" fontId="21" fillId="0" borderId="3" xfId="0" applyNumberFormat="1" applyFont="1" applyFill="1" applyBorder="1"/>
    <xf numFmtId="3" fontId="21" fillId="2" borderId="13" xfId="0" applyNumberFormat="1" applyFont="1" applyFill="1" applyBorder="1"/>
    <xf numFmtId="1" fontId="32" fillId="0" borderId="0" xfId="0" applyNumberFormat="1" applyFont="1" applyFill="1"/>
    <xf numFmtId="1" fontId="32" fillId="2" borderId="5" xfId="0" applyNumberFormat="1" applyFont="1" applyFill="1" applyBorder="1"/>
    <xf numFmtId="3" fontId="20" fillId="0" borderId="9" xfId="17" applyNumberFormat="1" applyFont="1" applyBorder="1"/>
    <xf numFmtId="3" fontId="20" fillId="0" borderId="0" xfId="17" applyNumberFormat="1" applyFont="1" applyBorder="1"/>
    <xf numFmtId="3" fontId="20" fillId="0" borderId="10" xfId="17" applyNumberFormat="1" applyFont="1" applyBorder="1"/>
    <xf numFmtId="3" fontId="21" fillId="0" borderId="5" xfId="17" applyNumberFormat="1" applyFont="1" applyBorder="1"/>
    <xf numFmtId="3" fontId="21" fillId="0" borderId="10" xfId="17" applyNumberFormat="1" applyFont="1" applyBorder="1"/>
    <xf numFmtId="3" fontId="21" fillId="0" borderId="0" xfId="17" applyNumberFormat="1" applyFont="1" applyBorder="1"/>
    <xf numFmtId="3" fontId="33" fillId="0" borderId="0" xfId="17" applyNumberFormat="1" applyFont="1" applyBorder="1"/>
    <xf numFmtId="3" fontId="33" fillId="0" borderId="10" xfId="17" applyNumberFormat="1" applyFont="1" applyBorder="1"/>
    <xf numFmtId="3" fontId="32" fillId="0" borderId="0" xfId="13" applyNumberFormat="1" applyFont="1" applyFill="1">
      <alignment horizontal="left" vertical="center"/>
    </xf>
    <xf numFmtId="3" fontId="39" fillId="6" borderId="0" xfId="13" applyNumberFormat="1" applyFont="1" applyFill="1">
      <alignment horizontal="left" vertical="center"/>
    </xf>
    <xf numFmtId="3" fontId="21" fillId="0" borderId="9" xfId="17" applyNumberFormat="1" applyFont="1" applyBorder="1"/>
    <xf numFmtId="167" fontId="21" fillId="0" borderId="0" xfId="0" applyNumberFormat="1" applyFont="1" applyBorder="1"/>
    <xf numFmtId="3" fontId="21" fillId="0" borderId="10" xfId="0" applyNumberFormat="1" applyFont="1" applyFill="1" applyBorder="1"/>
    <xf numFmtId="3" fontId="21" fillId="0" borderId="0" xfId="17" applyNumberFormat="1" applyFont="1" applyFill="1" applyBorder="1"/>
    <xf numFmtId="9" fontId="21" fillId="0" borderId="0" xfId="17" applyFont="1" applyFill="1" applyBorder="1"/>
    <xf numFmtId="168" fontId="21" fillId="0" borderId="5" xfId="17" applyNumberFormat="1" applyFont="1" applyFill="1" applyBorder="1"/>
    <xf numFmtId="168" fontId="33" fillId="0" borderId="5" xfId="17" applyNumberFormat="1" applyFont="1" applyFill="1" applyBorder="1"/>
    <xf numFmtId="9" fontId="21" fillId="0" borderId="5" xfId="17" applyFont="1" applyFill="1" applyBorder="1"/>
    <xf numFmtId="9" fontId="33" fillId="0" borderId="5" xfId="17" applyFont="1" applyFill="1" applyBorder="1"/>
    <xf numFmtId="180" fontId="21" fillId="0" borderId="5" xfId="0" applyNumberFormat="1" applyFont="1" applyBorder="1"/>
    <xf numFmtId="0" fontId="39" fillId="6" borderId="0" xfId="0" applyFont="1" applyFill="1"/>
    <xf numFmtId="0" fontId="36" fillId="0" borderId="3" xfId="27" applyFont="1" applyFill="1" applyBorder="1">
      <alignment horizontal="left" vertical="center"/>
    </xf>
    <xf numFmtId="0" fontId="36" fillId="2" borderId="13" xfId="27" applyFont="1" applyFill="1" applyBorder="1">
      <alignment horizontal="left" vertical="center"/>
    </xf>
    <xf numFmtId="2" fontId="22" fillId="0" borderId="0" xfId="27" applyNumberFormat="1" applyFont="1" applyFill="1" applyBorder="1">
      <alignment horizontal="left" vertical="center"/>
    </xf>
    <xf numFmtId="2" fontId="22" fillId="0" borderId="2" xfId="27" applyNumberFormat="1" applyFont="1" applyFill="1" applyBorder="1">
      <alignment horizontal="left" vertical="center"/>
    </xf>
    <xf numFmtId="0" fontId="36" fillId="0" borderId="2" xfId="27" applyFont="1" applyFill="1" applyBorder="1">
      <alignment horizontal="left" vertical="center"/>
    </xf>
    <xf numFmtId="2" fontId="35" fillId="0" borderId="0" xfId="27" applyNumberFormat="1" applyFont="1" applyFill="1" applyBorder="1">
      <alignment horizontal="left" vertical="center"/>
    </xf>
    <xf numFmtId="0" fontId="22" fillId="0" borderId="7" xfId="13" applyFont="1" applyBorder="1">
      <alignment horizontal="left" vertical="center"/>
    </xf>
    <xf numFmtId="0" fontId="34" fillId="6" borderId="7" xfId="13" applyFont="1" applyFill="1" applyBorder="1">
      <alignment horizontal="left" vertical="center"/>
    </xf>
    <xf numFmtId="0" fontId="22" fillId="0" borderId="8" xfId="19" applyNumberFormat="1" applyFont="1" applyFill="1" applyBorder="1" applyAlignment="1">
      <alignment horizontal="centerContinuous" vertical="center"/>
    </xf>
    <xf numFmtId="164" fontId="22" fillId="0" borderId="8" xfId="19" applyNumberFormat="1" applyFont="1" applyFill="1" applyBorder="1" applyAlignment="1">
      <alignment horizontal="centerContinuous" vertical="center"/>
    </xf>
    <xf numFmtId="164" fontId="22" fillId="0" borderId="8" xfId="19" quotePrefix="1" applyNumberFormat="1" applyFont="1" applyFill="1" applyBorder="1" applyAlignment="1">
      <alignment horizontal="centerContinuous" vertical="center"/>
    </xf>
    <xf numFmtId="164" fontId="35" fillId="0" borderId="8" xfId="19" applyNumberFormat="1" applyFont="1" applyFill="1" applyBorder="1" applyAlignment="1">
      <alignment horizontal="centerContinuous" vertical="center"/>
    </xf>
    <xf numFmtId="164" fontId="35" fillId="0" borderId="8" xfId="19" quotePrefix="1" applyNumberFormat="1" applyFont="1" applyFill="1" applyBorder="1" applyAlignment="1">
      <alignment horizontal="centerContinuous" vertical="center"/>
    </xf>
    <xf numFmtId="0" fontId="22" fillId="0" borderId="0" xfId="19" applyFont="1" applyFill="1" applyBorder="1">
      <alignment horizontal="right" vertical="center"/>
    </xf>
    <xf numFmtId="0" fontId="22" fillId="2" borderId="5" xfId="19" applyFont="1" applyFill="1" applyBorder="1">
      <alignment horizontal="right" vertical="center"/>
    </xf>
    <xf numFmtId="165" fontId="22" fillId="0" borderId="0" xfId="13" applyNumberFormat="1" applyFont="1" applyBorder="1">
      <alignment horizontal="left" vertical="center"/>
    </xf>
    <xf numFmtId="165" fontId="34" fillId="6" borderId="0" xfId="13" applyNumberFormat="1" applyFont="1" applyFill="1" applyBorder="1">
      <alignment horizontal="left" vertical="center"/>
    </xf>
    <xf numFmtId="164" fontId="22" fillId="0" borderId="0" xfId="19" quotePrefix="1" applyNumberFormat="1" applyFont="1" applyFill="1" applyBorder="1" applyAlignment="1">
      <alignment horizontal="right" vertical="center"/>
    </xf>
    <xf numFmtId="164" fontId="35" fillId="0" borderId="0" xfId="19" quotePrefix="1" applyNumberFormat="1" applyFont="1" applyFill="1" applyBorder="1" applyAlignment="1">
      <alignment horizontal="right" vertical="center"/>
    </xf>
    <xf numFmtId="165" fontId="22" fillId="0" borderId="0" xfId="19" applyNumberFormat="1" applyFont="1" applyFill="1" applyBorder="1">
      <alignment horizontal="right" vertical="center"/>
    </xf>
    <xf numFmtId="165" fontId="22" fillId="2" borderId="5" xfId="19" applyNumberFormat="1" applyFont="1" applyFill="1" applyBorder="1">
      <alignment horizontal="right" vertical="center"/>
    </xf>
    <xf numFmtId="0" fontId="22" fillId="6" borderId="0" xfId="0" applyFont="1" applyFill="1"/>
    <xf numFmtId="0" fontId="34" fillId="6" borderId="0" xfId="0" applyFont="1" applyFill="1"/>
    <xf numFmtId="0" fontId="35" fillId="6" borderId="0" xfId="0" applyFont="1" applyFill="1"/>
    <xf numFmtId="0" fontId="22" fillId="0" borderId="0" xfId="0" applyFont="1" applyFill="1"/>
    <xf numFmtId="0" fontId="22" fillId="2" borderId="5" xfId="0" applyFont="1" applyFill="1" applyBorder="1"/>
    <xf numFmtId="9" fontId="22" fillId="0" borderId="0" xfId="17" applyFont="1"/>
    <xf numFmtId="9" fontId="21" fillId="0" borderId="0" xfId="17" applyFont="1"/>
    <xf numFmtId="9" fontId="33" fillId="0" borderId="0" xfId="17" applyFont="1"/>
    <xf numFmtId="9" fontId="21" fillId="0" borderId="0" xfId="17" applyFont="1" applyAlignment="1">
      <alignment horizontal="right"/>
    </xf>
    <xf numFmtId="9" fontId="33" fillId="0" borderId="0" xfId="17" applyFont="1" applyAlignment="1">
      <alignment horizontal="right"/>
    </xf>
    <xf numFmtId="9" fontId="22" fillId="0" borderId="0" xfId="17" applyFont="1" applyAlignment="1">
      <alignment horizontal="right"/>
    </xf>
    <xf numFmtId="9" fontId="35" fillId="0" borderId="0" xfId="17" applyFont="1" applyAlignment="1">
      <alignment horizontal="right"/>
    </xf>
    <xf numFmtId="9" fontId="35" fillId="0" borderId="0" xfId="17" applyFont="1"/>
    <xf numFmtId="0" fontId="21" fillId="0" borderId="0" xfId="0" applyFont="1" applyAlignment="1">
      <alignment horizontal="right"/>
    </xf>
    <xf numFmtId="0" fontId="33" fillId="0" borderId="0" xfId="0" applyFont="1" applyAlignment="1">
      <alignment horizontal="right"/>
    </xf>
    <xf numFmtId="0" fontId="22" fillId="0" borderId="6" xfId="0" applyFont="1" applyFill="1" applyBorder="1"/>
    <xf numFmtId="0" fontId="34" fillId="0" borderId="6" xfId="0" applyFont="1" applyFill="1" applyBorder="1"/>
    <xf numFmtId="0" fontId="35" fillId="0" borderId="6" xfId="0" applyFont="1" applyFill="1" applyBorder="1"/>
    <xf numFmtId="0" fontId="22" fillId="0" borderId="19" xfId="0" applyFont="1" applyFill="1" applyBorder="1"/>
    <xf numFmtId="1" fontId="22" fillId="0" borderId="0" xfId="0" applyNumberFormat="1" applyFont="1"/>
    <xf numFmtId="168" fontId="22" fillId="0" borderId="0" xfId="17" applyNumberFormat="1" applyFont="1"/>
    <xf numFmtId="168" fontId="35" fillId="0" borderId="0" xfId="17" applyNumberFormat="1" applyFont="1"/>
    <xf numFmtId="168" fontId="21" fillId="0" borderId="0" xfId="17" applyNumberFormat="1" applyFont="1"/>
    <xf numFmtId="168" fontId="33" fillId="0" borderId="0" xfId="17" applyNumberFormat="1" applyFont="1"/>
    <xf numFmtId="0" fontId="40" fillId="0" borderId="0" xfId="27" applyFont="1" applyFill="1" applyBorder="1">
      <alignment horizontal="left" vertical="center"/>
    </xf>
    <xf numFmtId="168" fontId="40" fillId="0" borderId="0" xfId="27" applyNumberFormat="1" applyFont="1" applyFill="1" applyBorder="1">
      <alignment horizontal="left" vertical="center"/>
    </xf>
    <xf numFmtId="168" fontId="21" fillId="0" borderId="0" xfId="27" applyNumberFormat="1" applyFont="1" applyFill="1" applyBorder="1">
      <alignment horizontal="left" vertical="center"/>
    </xf>
    <xf numFmtId="168" fontId="33" fillId="0" borderId="0" xfId="27" applyNumberFormat="1" applyFont="1" applyFill="1" applyBorder="1">
      <alignment horizontal="left" vertical="center"/>
    </xf>
    <xf numFmtId="1" fontId="21" fillId="0" borderId="0" xfId="0" applyNumberFormat="1" applyFont="1" applyAlignment="1">
      <alignment horizontal="right"/>
    </xf>
    <xf numFmtId="1" fontId="33" fillId="0" borderId="0" xfId="0" applyNumberFormat="1" applyFont="1" applyAlignment="1">
      <alignment horizontal="right"/>
    </xf>
    <xf numFmtId="0" fontId="33" fillId="0" borderId="0" xfId="0" applyFont="1" applyFill="1"/>
    <xf numFmtId="1" fontId="43" fillId="0" borderId="0" xfId="0" applyNumberFormat="1" applyFont="1" applyAlignment="1">
      <alignment horizontal="right"/>
    </xf>
    <xf numFmtId="9" fontId="38" fillId="0" borderId="0" xfId="17" applyFont="1"/>
    <xf numFmtId="2" fontId="21" fillId="0" borderId="0" xfId="0" applyNumberFormat="1" applyFont="1" applyAlignment="1">
      <alignment horizontal="right"/>
    </xf>
    <xf numFmtId="2" fontId="21" fillId="0" borderId="0" xfId="0" applyNumberFormat="1" applyFont="1"/>
    <xf numFmtId="2" fontId="33" fillId="0" borderId="0" xfId="0" applyNumberFormat="1" applyFont="1"/>
    <xf numFmtId="2" fontId="33" fillId="0" borderId="0" xfId="0" applyNumberFormat="1" applyFont="1" applyAlignment="1">
      <alignment horizontal="right"/>
    </xf>
    <xf numFmtId="1" fontId="33" fillId="0" borderId="0" xfId="0" applyNumberFormat="1" applyFont="1"/>
    <xf numFmtId="1" fontId="34" fillId="6" borderId="0" xfId="0" applyNumberFormat="1" applyFont="1" applyFill="1"/>
    <xf numFmtId="0" fontId="33" fillId="0" borderId="0" xfId="0" applyFont="1"/>
    <xf numFmtId="0" fontId="33" fillId="0" borderId="3" xfId="0" applyFont="1" applyBorder="1"/>
    <xf numFmtId="166" fontId="21" fillId="0" borderId="0" xfId="0" applyNumberFormat="1" applyFont="1" applyBorder="1"/>
    <xf numFmtId="0" fontId="46" fillId="0" borderId="5" xfId="0" applyFont="1" applyFill="1" applyBorder="1"/>
    <xf numFmtId="164" fontId="22" fillId="0" borderId="9" xfId="19" quotePrefix="1" applyNumberFormat="1" applyFont="1" applyFill="1" applyBorder="1" applyAlignment="1">
      <alignment horizontal="right" vertical="center"/>
    </xf>
    <xf numFmtId="164" fontId="22" fillId="0" borderId="10" xfId="19" quotePrefix="1" applyNumberFormat="1" applyFont="1" applyFill="1" applyBorder="1" applyAlignment="1">
      <alignment horizontal="right" vertical="center"/>
    </xf>
    <xf numFmtId="164" fontId="22" fillId="0" borderId="5" xfId="19" quotePrefix="1" applyNumberFormat="1" applyFont="1" applyFill="1" applyBorder="1" applyAlignment="1">
      <alignment horizontal="right" vertical="center"/>
    </xf>
    <xf numFmtId="181" fontId="22" fillId="0" borderId="0" xfId="27" applyNumberFormat="1" applyFont="1" applyFill="1" applyBorder="1" applyAlignment="1">
      <alignment horizontal="left" vertical="center"/>
    </xf>
    <xf numFmtId="181" fontId="22" fillId="0" borderId="0" xfId="27" applyNumberFormat="1" applyFont="1" applyFill="1" applyBorder="1" applyAlignment="1">
      <alignment horizontal="right" vertical="center"/>
    </xf>
    <xf numFmtId="181" fontId="47" fillId="0" borderId="9" xfId="27" applyNumberFormat="1" applyFont="1" applyFill="1" applyBorder="1" applyAlignment="1">
      <alignment horizontal="right" vertical="center"/>
    </xf>
    <xf numFmtId="181" fontId="47" fillId="0" borderId="0" xfId="27" applyNumberFormat="1" applyFont="1" applyFill="1" applyBorder="1" applyAlignment="1">
      <alignment horizontal="right" vertical="center"/>
    </xf>
    <xf numFmtId="181" fontId="47" fillId="0" borderId="10" xfId="27" applyNumberFormat="1" applyFont="1" applyFill="1" applyBorder="1" applyAlignment="1">
      <alignment horizontal="right" vertical="center"/>
    </xf>
    <xf numFmtId="181" fontId="47" fillId="0" borderId="5" xfId="27" applyNumberFormat="1" applyFont="1" applyFill="1" applyBorder="1" applyAlignment="1">
      <alignment horizontal="right" vertical="center"/>
    </xf>
    <xf numFmtId="181" fontId="48" fillId="0" borderId="5" xfId="27" applyNumberFormat="1" applyFont="1" applyFill="1" applyBorder="1" applyAlignment="1">
      <alignment horizontal="right" vertical="center"/>
    </xf>
    <xf numFmtId="181" fontId="48" fillId="0" borderId="0" xfId="27" applyNumberFormat="1" applyFont="1" applyFill="1" applyBorder="1" applyAlignment="1">
      <alignment horizontal="right" vertical="center"/>
    </xf>
    <xf numFmtId="181" fontId="22" fillId="0" borderId="5" xfId="27" applyNumberFormat="1" applyFont="1" applyFill="1" applyBorder="1" applyAlignment="1">
      <alignment horizontal="right" vertical="center"/>
    </xf>
    <xf numFmtId="181" fontId="35" fillId="0" borderId="0" xfId="27" applyNumberFormat="1" applyFont="1" applyFill="1" applyBorder="1" applyAlignment="1">
      <alignment horizontal="right" vertical="center"/>
    </xf>
    <xf numFmtId="181" fontId="35" fillId="0" borderId="5" xfId="27" applyNumberFormat="1" applyFont="1" applyFill="1" applyBorder="1" applyAlignment="1">
      <alignment horizontal="right" vertical="center"/>
    </xf>
    <xf numFmtId="168" fontId="32" fillId="0" borderId="0" xfId="27" applyNumberFormat="1" applyFont="1" applyFill="1" applyBorder="1" applyAlignment="1">
      <alignment horizontal="left" vertical="center" indent="1"/>
    </xf>
    <xf numFmtId="168" fontId="32" fillId="0" borderId="0" xfId="27" applyNumberFormat="1" applyFont="1" applyFill="1" applyBorder="1" applyAlignment="1">
      <alignment horizontal="right" vertical="center"/>
    </xf>
    <xf numFmtId="168" fontId="32" fillId="0" borderId="9" xfId="27" applyNumberFormat="1" applyFont="1" applyFill="1" applyBorder="1" applyAlignment="1">
      <alignment horizontal="right" vertical="center"/>
    </xf>
    <xf numFmtId="168" fontId="32" fillId="0" borderId="10" xfId="27" applyNumberFormat="1" applyFont="1" applyFill="1" applyBorder="1" applyAlignment="1">
      <alignment horizontal="right" vertical="center"/>
    </xf>
    <xf numFmtId="168" fontId="32" fillId="0" borderId="5" xfId="27" applyNumberFormat="1" applyFont="1" applyFill="1" applyBorder="1" applyAlignment="1">
      <alignment horizontal="right" vertical="center"/>
    </xf>
    <xf numFmtId="168" fontId="49" fillId="0" borderId="5" xfId="27" applyNumberFormat="1" applyFont="1" applyFill="1" applyBorder="1" applyAlignment="1">
      <alignment horizontal="right" vertical="center"/>
    </xf>
    <xf numFmtId="168" fontId="50" fillId="0" borderId="5" xfId="27" applyNumberFormat="1" applyFont="1" applyFill="1" applyBorder="1" applyAlignment="1">
      <alignment horizontal="right" vertical="center"/>
    </xf>
    <xf numFmtId="168" fontId="38" fillId="0" borderId="0" xfId="27" applyNumberFormat="1" applyFont="1" applyFill="1" applyBorder="1" applyAlignment="1">
      <alignment horizontal="right" vertical="center"/>
    </xf>
    <xf numFmtId="168" fontId="38" fillId="0" borderId="5" xfId="27" applyNumberFormat="1" applyFont="1" applyFill="1" applyBorder="1" applyAlignment="1">
      <alignment horizontal="right" vertical="center"/>
    </xf>
    <xf numFmtId="168" fontId="32" fillId="2" borderId="5" xfId="27" applyNumberFormat="1" applyFont="1" applyFill="1" applyBorder="1" applyAlignment="1">
      <alignment horizontal="right" vertical="center"/>
    </xf>
    <xf numFmtId="181" fontId="21" fillId="0" borderId="0" xfId="27" applyNumberFormat="1" applyFont="1" applyFill="1" applyBorder="1" applyAlignment="1">
      <alignment horizontal="left" vertical="center" indent="1"/>
    </xf>
    <xf numFmtId="181" fontId="21" fillId="0" borderId="0" xfId="27" applyNumberFormat="1" applyFont="1" applyFill="1" applyBorder="1" applyAlignment="1">
      <alignment horizontal="right" vertical="center"/>
    </xf>
    <xf numFmtId="181" fontId="36" fillId="0" borderId="9" xfId="27" applyNumberFormat="1" applyFont="1" applyFill="1" applyBorder="1" applyAlignment="1">
      <alignment horizontal="right" vertical="center"/>
    </xf>
    <xf numFmtId="181" fontId="36" fillId="0" borderId="0" xfId="27" applyNumberFormat="1" applyFont="1" applyFill="1" applyBorder="1" applyAlignment="1">
      <alignment horizontal="right" vertical="center"/>
    </xf>
    <xf numFmtId="181" fontId="36" fillId="0" borderId="10" xfId="27" applyNumberFormat="1" applyFont="1" applyFill="1" applyBorder="1" applyAlignment="1">
      <alignment horizontal="right" vertical="center"/>
    </xf>
    <xf numFmtId="181" fontId="36" fillId="0" borderId="5" xfId="27" applyNumberFormat="1" applyFont="1" applyFill="1" applyBorder="1" applyAlignment="1">
      <alignment horizontal="right" vertical="center"/>
    </xf>
    <xf numFmtId="181" fontId="20" fillId="0" borderId="5" xfId="27" applyNumberFormat="1" applyFont="1" applyFill="1" applyBorder="1" applyAlignment="1">
      <alignment horizontal="right" vertical="center"/>
    </xf>
    <xf numFmtId="181" fontId="20" fillId="0" borderId="0" xfId="27" applyNumberFormat="1" applyFont="1" applyFill="1" applyBorder="1" applyAlignment="1">
      <alignment horizontal="right" vertical="center"/>
    </xf>
    <xf numFmtId="181" fontId="21" fillId="0" borderId="5" xfId="27" applyNumberFormat="1" applyFont="1" applyFill="1" applyBorder="1" applyAlignment="1">
      <alignment horizontal="right" vertical="center"/>
    </xf>
    <xf numFmtId="181" fontId="33" fillId="0" borderId="0" xfId="27" applyNumberFormat="1" applyFont="1" applyFill="1" applyBorder="1" applyAlignment="1">
      <alignment horizontal="right" vertical="center"/>
    </xf>
    <xf numFmtId="181" fontId="33" fillId="0" borderId="5" xfId="27" applyNumberFormat="1" applyFont="1" applyFill="1" applyBorder="1" applyAlignment="1">
      <alignment horizontal="right" vertical="center"/>
    </xf>
    <xf numFmtId="168" fontId="32" fillId="0" borderId="0" xfId="27" applyNumberFormat="1" applyFont="1" applyFill="1" applyBorder="1" applyAlignment="1">
      <alignment horizontal="left" vertical="center" indent="2"/>
    </xf>
    <xf numFmtId="0" fontId="47" fillId="0" borderId="9" xfId="27" applyFont="1" applyFill="1" applyBorder="1">
      <alignment horizontal="left" vertical="center"/>
    </xf>
    <xf numFmtId="0" fontId="47" fillId="0" borderId="0" xfId="27" applyFont="1" applyFill="1" applyBorder="1">
      <alignment horizontal="left" vertical="center"/>
    </xf>
    <xf numFmtId="0" fontId="47" fillId="0" borderId="10" xfId="27" applyFont="1" applyFill="1" applyBorder="1">
      <alignment horizontal="left" vertical="center"/>
    </xf>
    <xf numFmtId="0" fontId="47" fillId="0" borderId="5" xfId="27" applyFont="1" applyFill="1" applyBorder="1">
      <alignment horizontal="left" vertical="center"/>
    </xf>
    <xf numFmtId="0" fontId="48" fillId="0" borderId="5" xfId="27" applyFont="1" applyFill="1" applyBorder="1">
      <alignment horizontal="left" vertical="center"/>
    </xf>
    <xf numFmtId="181" fontId="22" fillId="0" borderId="6" xfId="27" applyNumberFormat="1" applyFont="1" applyFill="1" applyBorder="1" applyAlignment="1">
      <alignment horizontal="left" vertical="center"/>
    </xf>
    <xf numFmtId="181" fontId="47" fillId="0" borderId="6" xfId="27" applyNumberFormat="1" applyFont="1" applyFill="1" applyBorder="1" applyAlignment="1">
      <alignment horizontal="right" vertical="center"/>
    </xf>
    <xf numFmtId="181" fontId="47" fillId="0" borderId="19" xfId="27" applyNumberFormat="1" applyFont="1" applyFill="1" applyBorder="1" applyAlignment="1">
      <alignment horizontal="right" vertical="center"/>
    </xf>
    <xf numFmtId="181" fontId="22" fillId="0" borderId="19" xfId="27" applyNumberFormat="1" applyFont="1" applyFill="1" applyBorder="1" applyAlignment="1">
      <alignment horizontal="right" vertical="center"/>
    </xf>
    <xf numFmtId="181" fontId="35" fillId="0" borderId="19" xfId="27" applyNumberFormat="1" applyFont="1" applyFill="1" applyBorder="1" applyAlignment="1">
      <alignment horizontal="right" vertical="center"/>
    </xf>
    <xf numFmtId="2" fontId="50" fillId="0" borderId="0" xfId="27" applyNumberFormat="1" applyFont="1" applyFill="1" applyBorder="1">
      <alignment horizontal="left" vertical="center"/>
    </xf>
    <xf numFmtId="0" fontId="50" fillId="0" borderId="9" xfId="27" applyFont="1" applyFill="1" applyBorder="1">
      <alignment horizontal="left" vertical="center"/>
    </xf>
    <xf numFmtId="0" fontId="50" fillId="0" borderId="0" xfId="27" applyFont="1" applyFill="1" applyBorder="1">
      <alignment horizontal="left" vertical="center"/>
    </xf>
    <xf numFmtId="0" fontId="50" fillId="0" borderId="10" xfId="27" applyFont="1" applyFill="1" applyBorder="1">
      <alignment horizontal="left" vertical="center"/>
    </xf>
    <xf numFmtId="0" fontId="50" fillId="0" borderId="5" xfId="27" applyFont="1" applyFill="1" applyBorder="1">
      <alignment horizontal="left" vertical="center"/>
    </xf>
    <xf numFmtId="0" fontId="50" fillId="2" borderId="5" xfId="27" applyFont="1" applyFill="1" applyBorder="1">
      <alignment horizontal="left" vertical="center"/>
    </xf>
    <xf numFmtId="168" fontId="37" fillId="0" borderId="5" xfId="27" applyNumberFormat="1" applyFont="1" applyFill="1" applyBorder="1" applyAlignment="1">
      <alignment horizontal="right" vertical="center"/>
    </xf>
    <xf numFmtId="168" fontId="32" fillId="0" borderId="0" xfId="17" applyNumberFormat="1" applyFont="1" applyFill="1" applyBorder="1" applyAlignment="1">
      <alignment horizontal="right" vertical="center"/>
    </xf>
    <xf numFmtId="168" fontId="32" fillId="0" borderId="5" xfId="17" applyNumberFormat="1" applyFont="1" applyFill="1" applyBorder="1" applyAlignment="1">
      <alignment horizontal="right" vertical="center"/>
    </xf>
    <xf numFmtId="181" fontId="21" fillId="0" borderId="6" xfId="27" applyNumberFormat="1" applyFont="1" applyFill="1" applyBorder="1" applyAlignment="1">
      <alignment horizontal="right" vertical="center"/>
    </xf>
    <xf numFmtId="181" fontId="36" fillId="0" borderId="17" xfId="27" applyNumberFormat="1" applyFont="1" applyFill="1" applyBorder="1" applyAlignment="1">
      <alignment horizontal="right" vertical="center"/>
    </xf>
    <xf numFmtId="181" fontId="36" fillId="0" borderId="6" xfId="27" applyNumberFormat="1" applyFont="1" applyFill="1" applyBorder="1" applyAlignment="1">
      <alignment horizontal="right" vertical="center"/>
    </xf>
    <xf numFmtId="181" fontId="36" fillId="0" borderId="18" xfId="27" applyNumberFormat="1" applyFont="1" applyFill="1" applyBorder="1" applyAlignment="1">
      <alignment horizontal="right" vertical="center"/>
    </xf>
    <xf numFmtId="181" fontId="36" fillId="0" borderId="19" xfId="27" applyNumberFormat="1" applyFont="1" applyFill="1" applyBorder="1" applyAlignment="1">
      <alignment horizontal="right" vertical="center"/>
    </xf>
    <xf numFmtId="181" fontId="48" fillId="0" borderId="19" xfId="27" applyNumberFormat="1" applyFont="1" applyFill="1" applyBorder="1" applyAlignment="1">
      <alignment horizontal="right" vertical="center"/>
    </xf>
    <xf numFmtId="181" fontId="33" fillId="0" borderId="6" xfId="27" applyNumberFormat="1" applyFont="1" applyFill="1" applyBorder="1" applyAlignment="1">
      <alignment horizontal="right" vertical="center"/>
    </xf>
    <xf numFmtId="164" fontId="21" fillId="0" borderId="0" xfId="27" applyNumberFormat="1" applyFont="1" applyFill="1" applyBorder="1" applyAlignment="1">
      <alignment horizontal="center" vertical="center"/>
    </xf>
    <xf numFmtId="164" fontId="21" fillId="0" borderId="5" xfId="27" applyNumberFormat="1" applyFont="1" applyFill="1" applyBorder="1" applyAlignment="1">
      <alignment horizontal="center" vertical="center"/>
    </xf>
    <xf numFmtId="164" fontId="33" fillId="0" borderId="0" xfId="27" applyNumberFormat="1" applyFont="1" applyFill="1" applyBorder="1" applyAlignment="1">
      <alignment horizontal="center" vertical="center"/>
    </xf>
    <xf numFmtId="164" fontId="33" fillId="0" borderId="5" xfId="27" applyNumberFormat="1" applyFont="1" applyFill="1" applyBorder="1" applyAlignment="1">
      <alignment horizontal="center" vertical="center"/>
    </xf>
    <xf numFmtId="179" fontId="33" fillId="0" borderId="0" xfId="27" applyNumberFormat="1" applyFont="1" applyFill="1" applyBorder="1">
      <alignment horizontal="left" vertical="center"/>
    </xf>
    <xf numFmtId="179" fontId="33" fillId="0" borderId="5" xfId="27" applyNumberFormat="1" applyFont="1" applyFill="1" applyBorder="1">
      <alignment horizontal="left" vertical="center"/>
    </xf>
    <xf numFmtId="0" fontId="21" fillId="0" borderId="5" xfId="0" applyFont="1" applyFill="1" applyBorder="1"/>
    <xf numFmtId="0" fontId="33" fillId="0" borderId="5" xfId="0" applyFont="1" applyFill="1" applyBorder="1"/>
    <xf numFmtId="164" fontId="22" fillId="0" borderId="9" xfId="0" applyNumberFormat="1" applyFont="1" applyFill="1" applyBorder="1"/>
    <xf numFmtId="164" fontId="22" fillId="0" borderId="0" xfId="0" applyNumberFormat="1" applyFont="1" applyFill="1" applyBorder="1"/>
    <xf numFmtId="164" fontId="22" fillId="0" borderId="10" xfId="0" applyNumberFormat="1" applyFont="1" applyFill="1" applyBorder="1"/>
    <xf numFmtId="164" fontId="22" fillId="0" borderId="5" xfId="0" applyNumberFormat="1" applyFont="1" applyFill="1" applyBorder="1"/>
    <xf numFmtId="164" fontId="35" fillId="0" borderId="5" xfId="0" applyNumberFormat="1" applyFont="1" applyFill="1" applyBorder="1"/>
    <xf numFmtId="164" fontId="21" fillId="0" borderId="0" xfId="0" applyNumberFormat="1" applyFont="1" applyFill="1"/>
    <xf numFmtId="168" fontId="21" fillId="0" borderId="10" xfId="17" applyNumberFormat="1" applyFont="1" applyBorder="1" applyAlignment="1">
      <alignment horizontal="right"/>
    </xf>
    <xf numFmtId="168" fontId="21" fillId="0" borderId="9" xfId="17" applyNumberFormat="1" applyFont="1" applyBorder="1" applyAlignment="1">
      <alignment horizontal="right"/>
    </xf>
    <xf numFmtId="168" fontId="21" fillId="0" borderId="0" xfId="17" applyNumberFormat="1" applyFont="1" applyBorder="1" applyAlignment="1">
      <alignment horizontal="right"/>
    </xf>
    <xf numFmtId="168" fontId="21" fillId="0" borderId="5" xfId="17" applyNumberFormat="1" applyFont="1" applyBorder="1" applyAlignment="1">
      <alignment horizontal="right"/>
    </xf>
    <xf numFmtId="168" fontId="33" fillId="0" borderId="5" xfId="17" applyNumberFormat="1" applyFont="1" applyBorder="1" applyAlignment="1">
      <alignment horizontal="right"/>
    </xf>
    <xf numFmtId="0" fontId="45" fillId="0" borderId="0" xfId="0" applyFont="1" applyFill="1"/>
    <xf numFmtId="168" fontId="43" fillId="0" borderId="9" xfId="17" applyNumberFormat="1" applyFont="1" applyBorder="1"/>
    <xf numFmtId="168" fontId="43" fillId="0" borderId="0" xfId="17" applyNumberFormat="1" applyFont="1" applyBorder="1"/>
    <xf numFmtId="168" fontId="43" fillId="0" borderId="10" xfId="17" applyNumberFormat="1" applyFont="1" applyBorder="1"/>
    <xf numFmtId="168" fontId="43" fillId="0" borderId="5" xfId="17" applyNumberFormat="1" applyFont="1" applyBorder="1"/>
    <xf numFmtId="168" fontId="21" fillId="0" borderId="0" xfId="17" applyNumberFormat="1" applyFont="1" applyAlignment="1">
      <alignment horizontal="right"/>
    </xf>
    <xf numFmtId="0" fontId="42" fillId="0" borderId="3" xfId="0" applyFont="1" applyBorder="1"/>
    <xf numFmtId="168" fontId="43" fillId="0" borderId="12" xfId="17" applyNumberFormat="1" applyFont="1" applyBorder="1"/>
    <xf numFmtId="168" fontId="43" fillId="0" borderId="3" xfId="17" applyNumberFormat="1" applyFont="1" applyBorder="1"/>
    <xf numFmtId="168" fontId="43" fillId="0" borderId="14" xfId="17" applyNumberFormat="1" applyFont="1" applyBorder="1"/>
    <xf numFmtId="168" fontId="43" fillId="0" borderId="13" xfId="17" applyNumberFormat="1" applyFont="1" applyBorder="1"/>
    <xf numFmtId="168" fontId="32" fillId="0" borderId="3" xfId="17" applyNumberFormat="1" applyFont="1" applyBorder="1"/>
    <xf numFmtId="168" fontId="38" fillId="0" borderId="3" xfId="17" applyNumberFormat="1" applyFont="1" applyBorder="1"/>
    <xf numFmtId="168" fontId="38" fillId="0" borderId="13" xfId="17" applyNumberFormat="1" applyFont="1" applyBorder="1"/>
    <xf numFmtId="0" fontId="21" fillId="0" borderId="3" xfId="0" applyFont="1" applyFill="1" applyBorder="1"/>
    <xf numFmtId="0" fontId="21" fillId="2" borderId="13" xfId="0" applyFont="1" applyFill="1" applyBorder="1"/>
    <xf numFmtId="0" fontId="21" fillId="0" borderId="9" xfId="0" applyFont="1" applyFill="1" applyBorder="1"/>
    <xf numFmtId="0" fontId="21" fillId="0" borderId="10" xfId="0" applyFont="1" applyFill="1" applyBorder="1"/>
    <xf numFmtId="0" fontId="22" fillId="7" borderId="0" xfId="0" applyFont="1" applyFill="1"/>
    <xf numFmtId="0" fontId="22" fillId="7" borderId="9" xfId="0" applyFont="1" applyFill="1" applyBorder="1"/>
    <xf numFmtId="0" fontId="22" fillId="7" borderId="0" xfId="0" applyFont="1" applyFill="1" applyBorder="1"/>
    <xf numFmtId="0" fontId="22" fillId="7" borderId="10" xfId="0" applyFont="1" applyFill="1" applyBorder="1"/>
    <xf numFmtId="0" fontId="22" fillId="7" borderId="5" xfId="0" applyFont="1" applyFill="1" applyBorder="1"/>
    <xf numFmtId="0" fontId="35" fillId="7" borderId="0" xfId="0" applyFont="1" applyFill="1"/>
    <xf numFmtId="0" fontId="35" fillId="7" borderId="5" xfId="0" applyFont="1" applyFill="1" applyBorder="1"/>
    <xf numFmtId="0" fontId="21" fillId="7" borderId="0" xfId="0" applyFont="1" applyFill="1"/>
    <xf numFmtId="0" fontId="21" fillId="7" borderId="9" xfId="0" applyFont="1" applyFill="1" applyBorder="1"/>
    <xf numFmtId="0" fontId="21" fillId="7" borderId="0" xfId="0" applyFont="1" applyFill="1" applyBorder="1"/>
    <xf numFmtId="0" fontId="21" fillId="7" borderId="10" xfId="0" applyFont="1" applyFill="1" applyBorder="1"/>
    <xf numFmtId="0" fontId="21" fillId="7" borderId="5" xfId="0" applyFont="1" applyFill="1" applyBorder="1"/>
    <xf numFmtId="0" fontId="34" fillId="7" borderId="9" xfId="0" applyFont="1" applyFill="1" applyBorder="1"/>
    <xf numFmtId="0" fontId="34" fillId="7" borderId="0" xfId="0" applyFont="1" applyFill="1"/>
    <xf numFmtId="0" fontId="33" fillId="7" borderId="0" xfId="0" applyFont="1" applyFill="1"/>
    <xf numFmtId="0" fontId="33" fillId="7" borderId="5" xfId="0" applyFont="1" applyFill="1" applyBorder="1"/>
    <xf numFmtId="164" fontId="20" fillId="7" borderId="10" xfId="0" applyNumberFormat="1" applyFont="1" applyFill="1" applyBorder="1"/>
    <xf numFmtId="164" fontId="22" fillId="7" borderId="5" xfId="0" applyNumberFormat="1" applyFont="1" applyFill="1" applyBorder="1"/>
    <xf numFmtId="164" fontId="20" fillId="7" borderId="9" xfId="0" applyNumberFormat="1" applyFont="1" applyFill="1" applyBorder="1"/>
    <xf numFmtId="164" fontId="20" fillId="7" borderId="0" xfId="0" applyNumberFormat="1" applyFont="1" applyFill="1" applyBorder="1"/>
    <xf numFmtId="164" fontId="22" fillId="7" borderId="9" xfId="0" applyNumberFormat="1" applyFont="1" applyFill="1" applyBorder="1"/>
    <xf numFmtId="164" fontId="20" fillId="7" borderId="0" xfId="0" applyNumberFormat="1" applyFont="1" applyFill="1"/>
    <xf numFmtId="164" fontId="42" fillId="7" borderId="0" xfId="0" applyNumberFormat="1" applyFont="1" applyFill="1"/>
    <xf numFmtId="164" fontId="21" fillId="7" borderId="0" xfId="0" applyNumberFormat="1" applyFont="1" applyFill="1"/>
    <xf numFmtId="164" fontId="33" fillId="7" borderId="0" xfId="0" applyNumberFormat="1" applyFont="1" applyFill="1"/>
    <xf numFmtId="164" fontId="35" fillId="7" borderId="5" xfId="0" applyNumberFormat="1" applyFont="1" applyFill="1" applyBorder="1"/>
    <xf numFmtId="164" fontId="32" fillId="7" borderId="0" xfId="13" applyNumberFormat="1" applyFont="1" applyFill="1">
      <alignment horizontal="left" vertical="center"/>
    </xf>
    <xf numFmtId="168" fontId="21" fillId="7" borderId="10" xfId="17" applyNumberFormat="1" applyFont="1" applyFill="1" applyBorder="1" applyAlignment="1">
      <alignment horizontal="right"/>
    </xf>
    <xf numFmtId="168" fontId="21" fillId="7" borderId="5" xfId="17" applyNumberFormat="1" applyFont="1" applyFill="1" applyBorder="1" applyAlignment="1">
      <alignment horizontal="right"/>
    </xf>
    <xf numFmtId="168" fontId="21" fillId="7" borderId="9" xfId="17" applyNumberFormat="1" applyFont="1" applyFill="1" applyBorder="1" applyAlignment="1">
      <alignment horizontal="right"/>
    </xf>
    <xf numFmtId="168" fontId="21" fillId="7" borderId="0" xfId="17" applyNumberFormat="1" applyFont="1" applyFill="1" applyBorder="1" applyAlignment="1">
      <alignment horizontal="right"/>
    </xf>
    <xf numFmtId="168" fontId="32" fillId="7" borderId="9" xfId="17" applyNumberFormat="1" applyFont="1" applyFill="1" applyBorder="1"/>
    <xf numFmtId="168" fontId="32" fillId="7" borderId="0" xfId="17" applyNumberFormat="1" applyFont="1" applyFill="1" applyBorder="1"/>
    <xf numFmtId="168" fontId="32" fillId="7" borderId="10" xfId="17" applyNumberFormat="1" applyFont="1" applyFill="1" applyBorder="1"/>
    <xf numFmtId="168" fontId="32" fillId="7" borderId="5" xfId="17" applyNumberFormat="1" applyFont="1" applyFill="1" applyBorder="1"/>
    <xf numFmtId="168" fontId="32" fillId="7" borderId="0" xfId="17" applyNumberFormat="1" applyFont="1" applyFill="1"/>
    <xf numFmtId="168" fontId="38" fillId="7" borderId="0" xfId="17" applyNumberFormat="1" applyFont="1" applyFill="1"/>
    <xf numFmtId="168" fontId="38" fillId="7" borderId="5" xfId="17" applyNumberFormat="1" applyFont="1" applyFill="1" applyBorder="1"/>
    <xf numFmtId="168" fontId="50" fillId="7" borderId="0" xfId="17" applyNumberFormat="1" applyFont="1" applyFill="1"/>
    <xf numFmtId="168" fontId="33" fillId="7" borderId="5" xfId="17" applyNumberFormat="1" applyFont="1" applyFill="1" applyBorder="1" applyAlignment="1">
      <alignment horizontal="right"/>
    </xf>
    <xf numFmtId="164" fontId="21" fillId="7" borderId="10" xfId="0" applyNumberFormat="1" applyFont="1" applyFill="1" applyBorder="1"/>
    <xf numFmtId="164" fontId="21" fillId="7" borderId="9" xfId="0" applyNumberFormat="1" applyFont="1" applyFill="1" applyBorder="1"/>
    <xf numFmtId="164" fontId="21" fillId="7" borderId="0" xfId="0" applyNumberFormat="1" applyFont="1" applyFill="1" applyBorder="1"/>
    <xf numFmtId="164" fontId="32" fillId="7" borderId="10" xfId="17" applyNumberFormat="1" applyFont="1" applyFill="1" applyBorder="1"/>
    <xf numFmtId="164" fontId="21" fillId="7" borderId="5" xfId="0" applyNumberFormat="1" applyFont="1" applyFill="1" applyBorder="1" applyAlignment="1">
      <alignment horizontal="right"/>
    </xf>
    <xf numFmtId="164" fontId="21" fillId="7" borderId="9" xfId="0" applyNumberFormat="1" applyFont="1" applyFill="1" applyBorder="1" applyAlignment="1">
      <alignment horizontal="right"/>
    </xf>
    <xf numFmtId="164" fontId="32" fillId="7" borderId="0" xfId="17" applyNumberFormat="1" applyFont="1" applyFill="1" applyBorder="1"/>
    <xf numFmtId="164" fontId="32" fillId="7" borderId="9" xfId="17" applyNumberFormat="1" applyFont="1" applyFill="1" applyBorder="1"/>
    <xf numFmtId="164" fontId="32" fillId="7" borderId="0" xfId="17" applyNumberFormat="1" applyFont="1" applyFill="1"/>
    <xf numFmtId="164" fontId="38" fillId="7" borderId="0" xfId="17" applyNumberFormat="1" applyFont="1" applyFill="1"/>
    <xf numFmtId="164" fontId="33" fillId="7" borderId="5" xfId="0" applyNumberFormat="1" applyFont="1" applyFill="1" applyBorder="1" applyAlignment="1">
      <alignment horizontal="right"/>
    </xf>
    <xf numFmtId="167" fontId="34" fillId="7" borderId="0" xfId="0" applyNumberFormat="1" applyFont="1" applyFill="1"/>
    <xf numFmtId="167" fontId="34" fillId="7" borderId="5" xfId="0" applyNumberFormat="1" applyFont="1" applyFill="1" applyBorder="1"/>
    <xf numFmtId="0" fontId="50" fillId="7" borderId="0" xfId="0" applyFont="1" applyFill="1"/>
    <xf numFmtId="0" fontId="50" fillId="7" borderId="9" xfId="0" applyFont="1" applyFill="1" applyBorder="1"/>
    <xf numFmtId="0" fontId="50" fillId="7" borderId="0" xfId="0" applyFont="1" applyFill="1" applyBorder="1"/>
    <xf numFmtId="0" fontId="50" fillId="7" borderId="10" xfId="0" applyFont="1" applyFill="1" applyBorder="1"/>
    <xf numFmtId="164" fontId="50" fillId="7" borderId="5" xfId="0" applyNumberFormat="1" applyFont="1" applyFill="1" applyBorder="1"/>
    <xf numFmtId="164" fontId="50" fillId="7" borderId="9" xfId="0" applyNumberFormat="1" applyFont="1" applyFill="1" applyBorder="1"/>
    <xf numFmtId="164" fontId="50" fillId="7" borderId="0" xfId="0" applyNumberFormat="1" applyFont="1" applyFill="1" applyBorder="1"/>
    <xf numFmtId="164" fontId="50" fillId="7" borderId="10" xfId="0" applyNumberFormat="1" applyFont="1" applyFill="1" applyBorder="1"/>
    <xf numFmtId="164" fontId="50" fillId="7" borderId="0" xfId="0" applyNumberFormat="1" applyFont="1" applyFill="1"/>
    <xf numFmtId="167" fontId="50" fillId="7" borderId="0" xfId="0" applyNumberFormat="1" applyFont="1" applyFill="1"/>
    <xf numFmtId="164" fontId="50" fillId="7" borderId="0" xfId="0" quotePrefix="1" applyNumberFormat="1" applyFont="1" applyFill="1"/>
    <xf numFmtId="167" fontId="50" fillId="7" borderId="5" xfId="0" applyNumberFormat="1" applyFont="1" applyFill="1" applyBorder="1"/>
    <xf numFmtId="164" fontId="32" fillId="7" borderId="0" xfId="0" applyNumberFormat="1" applyFont="1" applyFill="1"/>
    <xf numFmtId="164" fontId="38" fillId="7" borderId="0" xfId="0" applyNumberFormat="1" applyFont="1" applyFill="1"/>
    <xf numFmtId="164" fontId="38" fillId="7" borderId="5" xfId="0" applyNumberFormat="1" applyFont="1" applyFill="1" applyBorder="1"/>
    <xf numFmtId="0" fontId="50" fillId="7" borderId="5" xfId="0" applyFont="1" applyFill="1" applyBorder="1"/>
    <xf numFmtId="164" fontId="22" fillId="7" borderId="0" xfId="0" applyNumberFormat="1" applyFont="1" applyFill="1" applyBorder="1"/>
    <xf numFmtId="164" fontId="22" fillId="7" borderId="10" xfId="0" applyNumberFormat="1" applyFont="1" applyFill="1" applyBorder="1"/>
    <xf numFmtId="164" fontId="22" fillId="7" borderId="0" xfId="0" applyNumberFormat="1" applyFont="1" applyFill="1"/>
    <xf numFmtId="164" fontId="35" fillId="7" borderId="0" xfId="0" applyNumberFormat="1" applyFont="1" applyFill="1"/>
    <xf numFmtId="164" fontId="32" fillId="7" borderId="5" xfId="17" applyNumberFormat="1" applyFont="1" applyFill="1" applyBorder="1"/>
    <xf numFmtId="164" fontId="38" fillId="7" borderId="5" xfId="17" applyNumberFormat="1" applyFont="1" applyFill="1" applyBorder="1"/>
    <xf numFmtId="164" fontId="42" fillId="7" borderId="9" xfId="0" applyNumberFormat="1" applyFont="1" applyFill="1" applyBorder="1"/>
    <xf numFmtId="164" fontId="42" fillId="7" borderId="0" xfId="0" applyNumberFormat="1" applyFont="1" applyFill="1" applyBorder="1"/>
    <xf numFmtId="164" fontId="42" fillId="7" borderId="10" xfId="0" applyNumberFormat="1" applyFont="1" applyFill="1" applyBorder="1"/>
    <xf numFmtId="164" fontId="43" fillId="7" borderId="9" xfId="17" applyNumberFormat="1" applyFont="1" applyFill="1" applyBorder="1"/>
    <xf numFmtId="164" fontId="43" fillId="7" borderId="0" xfId="17" applyNumberFormat="1" applyFont="1" applyFill="1" applyBorder="1"/>
    <xf numFmtId="164" fontId="43" fillId="7" borderId="10" xfId="17" applyNumberFormat="1" applyFont="1" applyFill="1" applyBorder="1"/>
    <xf numFmtId="164" fontId="43" fillId="7" borderId="0" xfId="17" applyNumberFormat="1" applyFont="1" applyFill="1"/>
    <xf numFmtId="164" fontId="32" fillId="7" borderId="3" xfId="13" applyNumberFormat="1" applyFont="1" applyFill="1" applyBorder="1">
      <alignment horizontal="left" vertical="center"/>
    </xf>
    <xf numFmtId="168" fontId="32" fillId="7" borderId="12" xfId="17" applyNumberFormat="1" applyFont="1" applyFill="1" applyBorder="1"/>
    <xf numFmtId="168" fontId="32" fillId="7" borderId="3" xfId="17" applyNumberFormat="1" applyFont="1" applyFill="1" applyBorder="1"/>
    <xf numFmtId="168" fontId="32" fillId="7" borderId="14" xfId="17" applyNumberFormat="1" applyFont="1" applyFill="1" applyBorder="1"/>
    <xf numFmtId="168" fontId="32" fillId="7" borderId="13" xfId="17" applyNumberFormat="1" applyFont="1" applyFill="1" applyBorder="1"/>
    <xf numFmtId="168" fontId="38" fillId="7" borderId="3" xfId="17" applyNumberFormat="1" applyFont="1" applyFill="1" applyBorder="1"/>
    <xf numFmtId="168" fontId="38" fillId="7" borderId="13" xfId="17" applyNumberFormat="1" applyFont="1" applyFill="1" applyBorder="1"/>
    <xf numFmtId="0" fontId="21" fillId="7" borderId="3" xfId="0" applyFont="1" applyFill="1" applyBorder="1"/>
    <xf numFmtId="0" fontId="21" fillId="7" borderId="13" xfId="0" applyFont="1" applyFill="1" applyBorder="1"/>
    <xf numFmtId="0" fontId="33" fillId="0" borderId="0" xfId="28" applyFont="1" applyFill="1" applyBorder="1">
      <alignment horizontal="left" vertical="center"/>
    </xf>
    <xf numFmtId="3" fontId="28" fillId="0" borderId="0" xfId="27" applyNumberFormat="1" applyFont="1" applyFill="1" applyBorder="1">
      <alignment horizontal="left" vertical="center"/>
    </xf>
    <xf numFmtId="3" fontId="28" fillId="0" borderId="3" xfId="27" applyNumberFormat="1" applyFont="1" applyFill="1" applyBorder="1">
      <alignment horizontal="left" vertical="center"/>
    </xf>
    <xf numFmtId="1" fontId="21" fillId="0" borderId="5" xfId="0" applyNumberFormat="1" applyFont="1" applyBorder="1" applyAlignment="1">
      <alignment horizontal="right"/>
    </xf>
    <xf numFmtId="1" fontId="22" fillId="0" borderId="5" xfId="0" applyNumberFormat="1" applyFont="1" applyFill="1" applyBorder="1"/>
    <xf numFmtId="1" fontId="21" fillId="7" borderId="5" xfId="0" applyNumberFormat="1" applyFont="1" applyFill="1" applyBorder="1" applyAlignment="1">
      <alignment horizontal="right"/>
    </xf>
    <xf numFmtId="1" fontId="21" fillId="7" borderId="0" xfId="0" applyNumberFormat="1" applyFont="1" applyFill="1" applyAlignment="1">
      <alignment horizontal="right"/>
    </xf>
    <xf numFmtId="1" fontId="22" fillId="0" borderId="5" xfId="0" applyNumberFormat="1" applyFont="1" applyBorder="1"/>
    <xf numFmtId="2" fontId="32" fillId="0" borderId="0" xfId="27" applyNumberFormat="1" applyFont="1" applyFill="1" applyBorder="1">
      <alignment horizontal="left" vertical="center"/>
    </xf>
    <xf numFmtId="0" fontId="51" fillId="0" borderId="0" xfId="27" applyFont="1" applyFill="1" applyBorder="1">
      <alignment horizontal="left" vertical="center"/>
    </xf>
    <xf numFmtId="2" fontId="21" fillId="7" borderId="0" xfId="27" applyNumberFormat="1" applyFont="1" applyFill="1" applyBorder="1">
      <alignment horizontal="left" vertical="center"/>
    </xf>
    <xf numFmtId="1" fontId="21" fillId="7" borderId="0" xfId="0" applyNumberFormat="1" applyFont="1" applyFill="1"/>
    <xf numFmtId="1" fontId="20" fillId="7" borderId="0" xfId="0" applyNumberFormat="1" applyFont="1" applyFill="1"/>
    <xf numFmtId="9" fontId="21" fillId="7" borderId="0" xfId="17" applyFont="1" applyFill="1" applyAlignment="1">
      <alignment horizontal="right"/>
    </xf>
    <xf numFmtId="167" fontId="21" fillId="0" borderId="0" xfId="0" applyNumberFormat="1" applyFont="1"/>
    <xf numFmtId="0" fontId="21" fillId="0" borderId="0" xfId="0" applyFont="1" applyFill="1" applyAlignment="1">
      <alignment horizontal="right"/>
    </xf>
    <xf numFmtId="168" fontId="21" fillId="0" borderId="0" xfId="0" applyNumberFormat="1" applyFont="1"/>
    <xf numFmtId="167" fontId="21" fillId="0" borderId="0" xfId="0" applyNumberFormat="1" applyFont="1" applyFill="1"/>
    <xf numFmtId="3" fontId="7" fillId="0" borderId="0" xfId="27" applyNumberFormat="1" applyFont="1" applyFill="1" applyBorder="1">
      <alignment horizontal="left" vertical="center"/>
    </xf>
    <xf numFmtId="3" fontId="7" fillId="0" borderId="3" xfId="27" applyNumberFormat="1" applyFont="1" applyFill="1" applyBorder="1">
      <alignment horizontal="left" vertical="center"/>
    </xf>
    <xf numFmtId="3" fontId="21" fillId="0" borderId="0" xfId="27" applyNumberFormat="1" applyFont="1" applyFill="1" applyBorder="1">
      <alignment horizontal="left" vertical="center"/>
    </xf>
    <xf numFmtId="164" fontId="32" fillId="0" borderId="0" xfId="13" applyNumberFormat="1" applyFont="1" applyFill="1" applyAlignment="1">
      <alignment horizontal="left" vertical="center" indent="1"/>
    </xf>
    <xf numFmtId="164" fontId="37" fillId="0" borderId="0" xfId="13" applyNumberFormat="1" applyFont="1" applyFill="1" applyAlignment="1">
      <alignment horizontal="left" vertical="center" indent="1"/>
    </xf>
    <xf numFmtId="2" fontId="18" fillId="0" borderId="0" xfId="27" applyNumberFormat="1" applyFont="1" applyFill="1" applyBorder="1">
      <alignment horizontal="left" vertical="center"/>
    </xf>
    <xf numFmtId="172" fontId="6" fillId="0" borderId="0" xfId="27" applyNumberFormat="1" applyFont="1" applyFill="1" applyBorder="1">
      <alignment horizontal="left" vertical="center"/>
    </xf>
    <xf numFmtId="9" fontId="6" fillId="0" borderId="0" xfId="17" applyFont="1" applyFill="1" applyBorder="1" applyAlignment="1">
      <alignment horizontal="left" vertical="center"/>
    </xf>
    <xf numFmtId="172" fontId="7" fillId="0" borderId="0" xfId="27" applyNumberFormat="1" applyFont="1" applyFill="1" applyBorder="1">
      <alignment horizontal="left" vertical="center"/>
    </xf>
    <xf numFmtId="166" fontId="22" fillId="0" borderId="0" xfId="0" applyNumberFormat="1" applyFont="1" applyFill="1"/>
    <xf numFmtId="166" fontId="42" fillId="0" borderId="9" xfId="0" applyNumberFormat="1" applyFont="1" applyFill="1" applyBorder="1"/>
    <xf numFmtId="166" fontId="42" fillId="0" borderId="0" xfId="0" applyNumberFormat="1" applyFont="1" applyFill="1" applyBorder="1"/>
    <xf numFmtId="166" fontId="42" fillId="0" borderId="10" xfId="0" applyNumberFormat="1" applyFont="1" applyFill="1" applyBorder="1"/>
    <xf numFmtId="166" fontId="22" fillId="0" borderId="5" xfId="0" applyNumberFormat="1" applyFont="1" applyFill="1" applyBorder="1"/>
    <xf numFmtId="166" fontId="22" fillId="0" borderId="9" xfId="0" applyNumberFormat="1" applyFont="1" applyFill="1" applyBorder="1"/>
    <xf numFmtId="166" fontId="21" fillId="0" borderId="0" xfId="0" applyNumberFormat="1" applyFont="1" applyFill="1"/>
    <xf numFmtId="166" fontId="35" fillId="0" borderId="5" xfId="0" applyNumberFormat="1" applyFont="1" applyFill="1" applyBorder="1"/>
    <xf numFmtId="166" fontId="45" fillId="0" borderId="5" xfId="0" applyNumberFormat="1" applyFont="1" applyFill="1" applyBorder="1"/>
    <xf numFmtId="166" fontId="45" fillId="0" borderId="9" xfId="0" applyNumberFormat="1" applyFont="1" applyFill="1" applyBorder="1"/>
    <xf numFmtId="182" fontId="22" fillId="0" borderId="0" xfId="13" applyNumberFormat="1" applyFont="1" applyBorder="1">
      <alignment horizontal="left" vertical="center"/>
    </xf>
    <xf numFmtId="182" fontId="22" fillId="0" borderId="0" xfId="19" quotePrefix="1" applyNumberFormat="1" applyFont="1" applyFill="1" applyBorder="1" applyAlignment="1">
      <alignment horizontal="right" vertical="center"/>
    </xf>
    <xf numFmtId="182" fontId="22" fillId="0" borderId="5" xfId="19" quotePrefix="1" applyNumberFormat="1" applyFont="1" applyFill="1" applyBorder="1" applyAlignment="1">
      <alignment horizontal="right" vertical="center"/>
    </xf>
    <xf numFmtId="182" fontId="35" fillId="0" borderId="0" xfId="19" quotePrefix="1" applyNumberFormat="1" applyFont="1" applyFill="1" applyBorder="1" applyAlignment="1">
      <alignment horizontal="right" vertical="center"/>
    </xf>
    <xf numFmtId="182" fontId="36" fillId="2" borderId="5" xfId="27" applyNumberFormat="1" applyFont="1" applyFill="1" applyBorder="1">
      <alignment horizontal="left" vertical="center"/>
    </xf>
    <xf numFmtId="182" fontId="22" fillId="0" borderId="0" xfId="19" applyNumberFormat="1" applyFont="1" applyFill="1" applyBorder="1">
      <alignment horizontal="right" vertical="center"/>
    </xf>
    <xf numFmtId="182" fontId="21" fillId="0" borderId="0" xfId="0" applyNumberFormat="1" applyFont="1"/>
    <xf numFmtId="182" fontId="21" fillId="0" borderId="0" xfId="27" applyNumberFormat="1" applyFont="1" applyFill="1" applyBorder="1">
      <alignment horizontal="left" vertical="center"/>
    </xf>
    <xf numFmtId="182" fontId="36" fillId="0" borderId="0" xfId="27" applyNumberFormat="1" applyFont="1" applyFill="1" applyBorder="1">
      <alignment horizontal="left" vertical="center"/>
    </xf>
    <xf numFmtId="182" fontId="36" fillId="0" borderId="5" xfId="27" applyNumberFormat="1" applyFont="1" applyFill="1" applyBorder="1">
      <alignment horizontal="left" vertical="center"/>
    </xf>
    <xf numFmtId="182" fontId="21" fillId="0" borderId="5" xfId="27" applyNumberFormat="1" applyFont="1" applyFill="1" applyBorder="1">
      <alignment horizontal="left" vertical="center"/>
    </xf>
    <xf numFmtId="182" fontId="33" fillId="0" borderId="0" xfId="27" applyNumberFormat="1" applyFont="1" applyFill="1" applyBorder="1">
      <alignment horizontal="left" vertical="center"/>
    </xf>
    <xf numFmtId="182" fontId="37" fillId="0" borderId="0" xfId="13" applyNumberFormat="1" applyFont="1" applyFill="1">
      <alignment horizontal="left" vertical="center"/>
    </xf>
    <xf numFmtId="182" fontId="37" fillId="0" borderId="5" xfId="0" applyNumberFormat="1" applyFont="1" applyBorder="1"/>
    <xf numFmtId="182" fontId="37" fillId="0" borderId="0" xfId="19" applyNumberFormat="1" applyFont="1" applyFill="1" applyBorder="1">
      <alignment horizontal="right" vertical="center"/>
    </xf>
    <xf numFmtId="182" fontId="37" fillId="0" borderId="5" xfId="19" applyNumberFormat="1" applyFont="1" applyFill="1" applyBorder="1">
      <alignment horizontal="right" vertical="center"/>
    </xf>
    <xf numFmtId="182" fontId="21" fillId="0" borderId="0" xfId="19" applyNumberFormat="1" applyFont="1" applyFill="1" applyBorder="1">
      <alignment horizontal="right" vertical="center"/>
    </xf>
    <xf numFmtId="182" fontId="41" fillId="0" borderId="0" xfId="19" applyNumberFormat="1" applyFont="1" applyFill="1" applyBorder="1">
      <alignment horizontal="right" vertical="center"/>
    </xf>
    <xf numFmtId="182" fontId="21" fillId="0" borderId="0" xfId="13" applyNumberFormat="1" applyFont="1" applyFill="1">
      <alignment horizontal="left" vertical="center"/>
    </xf>
    <xf numFmtId="182" fontId="20" fillId="0" borderId="0" xfId="0" applyNumberFormat="1" applyFont="1" applyAlignment="1">
      <alignment horizontal="right"/>
    </xf>
    <xf numFmtId="182" fontId="21" fillId="0" borderId="5" xfId="0" applyNumberFormat="1" applyFont="1" applyBorder="1"/>
    <xf numFmtId="182" fontId="21" fillId="0" borderId="9" xfId="0" applyNumberFormat="1" applyFont="1" applyBorder="1"/>
    <xf numFmtId="182" fontId="21" fillId="0" borderId="0" xfId="0" applyNumberFormat="1" applyFont="1" applyBorder="1"/>
    <xf numFmtId="182" fontId="21" fillId="0" borderId="10" xfId="0" applyNumberFormat="1" applyFont="1" applyBorder="1"/>
    <xf numFmtId="182" fontId="21" fillId="0" borderId="5" xfId="0" applyNumberFormat="1" applyFont="1" applyBorder="1" applyAlignment="1">
      <alignment horizontal="right"/>
    </xf>
    <xf numFmtId="182" fontId="22" fillId="0" borderId="0" xfId="13" applyNumberFormat="1" applyFont="1" applyFill="1">
      <alignment horizontal="left" vertical="center"/>
    </xf>
    <xf numFmtId="182" fontId="22" fillId="0" borderId="0" xfId="0" applyNumberFormat="1" applyFont="1" applyFill="1"/>
    <xf numFmtId="182" fontId="22" fillId="0" borderId="5" xfId="0" applyNumberFormat="1" applyFont="1" applyFill="1" applyBorder="1"/>
    <xf numFmtId="182" fontId="35" fillId="0" borderId="0" xfId="0" applyNumberFormat="1" applyFont="1" applyFill="1"/>
    <xf numFmtId="182" fontId="21" fillId="0" borderId="0" xfId="0" applyNumberFormat="1" applyFont="1" applyFill="1"/>
    <xf numFmtId="182" fontId="22" fillId="0" borderId="4" xfId="13" applyNumberFormat="1" applyFont="1" applyFill="1" applyBorder="1">
      <alignment horizontal="left" vertical="center"/>
    </xf>
    <xf numFmtId="182" fontId="22" fillId="0" borderId="4" xfId="0" applyNumberFormat="1" applyFont="1" applyBorder="1"/>
    <xf numFmtId="182" fontId="22" fillId="0" borderId="21" xfId="0" applyNumberFormat="1" applyFont="1" applyBorder="1"/>
    <xf numFmtId="182" fontId="22" fillId="0" borderId="0" xfId="0" applyNumberFormat="1" applyFont="1"/>
    <xf numFmtId="182" fontId="21" fillId="0" borderId="0" xfId="0" applyNumberFormat="1" applyFont="1" applyAlignment="1">
      <alignment horizontal="right"/>
    </xf>
    <xf numFmtId="182" fontId="21" fillId="7" borderId="5" xfId="0" applyNumberFormat="1" applyFont="1" applyFill="1" applyBorder="1" applyAlignment="1">
      <alignment horizontal="right"/>
    </xf>
    <xf numFmtId="182" fontId="21" fillId="7" borderId="5" xfId="0" applyNumberFormat="1" applyFont="1" applyFill="1" applyBorder="1"/>
    <xf numFmtId="182" fontId="22" fillId="0" borderId="9" xfId="0" applyNumberFormat="1" applyFont="1" applyBorder="1"/>
    <xf numFmtId="182" fontId="22" fillId="0" borderId="0" xfId="0" applyNumberFormat="1" applyFont="1" applyBorder="1"/>
    <xf numFmtId="182" fontId="22" fillId="0" borderId="10" xfId="0" applyNumberFormat="1" applyFont="1" applyBorder="1"/>
    <xf numFmtId="182" fontId="33" fillId="0" borderId="0" xfId="0" applyNumberFormat="1" applyFont="1" applyAlignment="1">
      <alignment horizontal="right"/>
    </xf>
    <xf numFmtId="182" fontId="22" fillId="0" borderId="6" xfId="13" applyNumberFormat="1" applyFont="1" applyFill="1" applyBorder="1">
      <alignment horizontal="left" vertical="center"/>
    </xf>
    <xf numFmtId="182" fontId="22" fillId="0" borderId="6" xfId="0" applyNumberFormat="1" applyFont="1" applyBorder="1"/>
    <xf numFmtId="182" fontId="22" fillId="0" borderId="19" xfId="0" applyNumberFormat="1" applyFont="1" applyBorder="1"/>
    <xf numFmtId="182" fontId="22" fillId="0" borderId="0" xfId="0" applyNumberFormat="1" applyFont="1" applyAlignment="1">
      <alignment horizontal="right"/>
    </xf>
    <xf numFmtId="182" fontId="22" fillId="0" borderId="5" xfId="0" applyNumberFormat="1" applyFont="1" applyBorder="1"/>
    <xf numFmtId="182" fontId="35" fillId="0" borderId="0" xfId="0" applyNumberFormat="1" applyFont="1"/>
    <xf numFmtId="182" fontId="20" fillId="0" borderId="0" xfId="27" applyNumberFormat="1" applyFont="1" applyFill="1" applyBorder="1">
      <alignment horizontal="left" vertical="center"/>
    </xf>
    <xf numFmtId="182" fontId="40" fillId="0" borderId="0" xfId="27" applyNumberFormat="1" applyFont="1" applyFill="1" applyBorder="1">
      <alignment horizontal="left" vertical="center"/>
    </xf>
    <xf numFmtId="182" fontId="32" fillId="0" borderId="0" xfId="27" applyNumberFormat="1" applyFont="1" applyFill="1" applyBorder="1">
      <alignment horizontal="left" vertical="center"/>
    </xf>
    <xf numFmtId="182" fontId="51" fillId="0" borderId="0" xfId="27" applyNumberFormat="1" applyFont="1" applyFill="1" applyBorder="1">
      <alignment horizontal="left" vertical="center"/>
    </xf>
    <xf numFmtId="182" fontId="38" fillId="0" borderId="0" xfId="27" applyNumberFormat="1" applyFont="1" applyFill="1" applyBorder="1">
      <alignment horizontal="left" vertical="center"/>
    </xf>
    <xf numFmtId="182" fontId="21" fillId="7" borderId="6" xfId="27" applyNumberFormat="1" applyFont="1" applyFill="1" applyBorder="1">
      <alignment horizontal="left" vertical="center"/>
    </xf>
    <xf numFmtId="182" fontId="21" fillId="7" borderId="6" xfId="27" applyNumberFormat="1" applyFont="1" applyFill="1" applyBorder="1" applyAlignment="1">
      <alignment horizontal="right" vertical="center"/>
    </xf>
    <xf numFmtId="182" fontId="32" fillId="7" borderId="6" xfId="27" applyNumberFormat="1" applyFont="1" applyFill="1" applyBorder="1" applyAlignment="1">
      <alignment horizontal="right" vertical="center"/>
    </xf>
    <xf numFmtId="182" fontId="38" fillId="7" borderId="6" xfId="27" applyNumberFormat="1" applyFont="1" applyFill="1" applyBorder="1" applyAlignment="1">
      <alignment horizontal="right" vertical="center"/>
    </xf>
    <xf numFmtId="182" fontId="33" fillId="7" borderId="6" xfId="27" applyNumberFormat="1" applyFont="1" applyFill="1" applyBorder="1" applyAlignment="1">
      <alignment horizontal="right" vertical="center"/>
    </xf>
    <xf numFmtId="182" fontId="21" fillId="0" borderId="0" xfId="27" applyNumberFormat="1" applyFont="1" applyFill="1" applyBorder="1" applyAlignment="1">
      <alignment horizontal="right" vertical="center"/>
    </xf>
    <xf numFmtId="182" fontId="32" fillId="0" borderId="0" xfId="27" applyNumberFormat="1" applyFont="1" applyFill="1" applyBorder="1" applyAlignment="1">
      <alignment horizontal="right" vertical="center"/>
    </xf>
    <xf numFmtId="182" fontId="32" fillId="0" borderId="0" xfId="10" applyNumberFormat="1" applyFont="1" applyFill="1" applyBorder="1" applyAlignment="1">
      <alignment horizontal="right" vertical="center"/>
    </xf>
    <xf numFmtId="182" fontId="38" fillId="0" borderId="0" xfId="27" applyNumberFormat="1" applyFont="1" applyFill="1" applyBorder="1" applyAlignment="1">
      <alignment horizontal="right" vertical="center"/>
    </xf>
    <xf numFmtId="182" fontId="21" fillId="7" borderId="0" xfId="0" applyNumberFormat="1" applyFont="1" applyFill="1" applyBorder="1"/>
    <xf numFmtId="182" fontId="32" fillId="0" borderId="0" xfId="13" applyNumberFormat="1" applyFont="1" applyFill="1">
      <alignment horizontal="left" vertical="center"/>
    </xf>
    <xf numFmtId="182" fontId="33" fillId="0" borderId="0" xfId="0" applyNumberFormat="1" applyFont="1" applyFill="1"/>
    <xf numFmtId="182" fontId="33" fillId="0" borderId="0" xfId="0" applyNumberFormat="1" applyFont="1"/>
    <xf numFmtId="182" fontId="22" fillId="6" borderId="4" xfId="0" applyNumberFormat="1" applyFont="1" applyFill="1" applyBorder="1"/>
    <xf numFmtId="182" fontId="21" fillId="6" borderId="4" xfId="0" applyNumberFormat="1" applyFont="1" applyFill="1" applyBorder="1"/>
    <xf numFmtId="182" fontId="33" fillId="6" borderId="4" xfId="0" applyNumberFormat="1" applyFont="1" applyFill="1" applyBorder="1"/>
    <xf numFmtId="182" fontId="21" fillId="2" borderId="21" xfId="0" applyNumberFormat="1" applyFont="1" applyFill="1" applyBorder="1"/>
    <xf numFmtId="182" fontId="21" fillId="2" borderId="5" xfId="0" applyNumberFormat="1" applyFont="1" applyFill="1" applyBorder="1"/>
    <xf numFmtId="182" fontId="20" fillId="0" borderId="0" xfId="0" applyNumberFormat="1" applyFont="1" applyFill="1"/>
    <xf numFmtId="182" fontId="20" fillId="0" borderId="0" xfId="0" applyNumberFormat="1" applyFont="1"/>
    <xf numFmtId="182" fontId="21" fillId="0" borderId="0" xfId="0" applyNumberFormat="1" applyFont="1" applyFill="1" applyAlignment="1">
      <alignment horizontal="right"/>
    </xf>
    <xf numFmtId="182" fontId="21" fillId="4" borderId="0" xfId="13" applyNumberFormat="1" applyFont="1" applyFill="1" applyAlignment="1">
      <alignment horizontal="left" vertical="center"/>
    </xf>
    <xf numFmtId="182" fontId="21" fillId="4" borderId="0" xfId="9" applyNumberFormat="1" applyFont="1" applyFill="1"/>
    <xf numFmtId="182" fontId="22" fillId="4" borderId="0" xfId="13" applyNumberFormat="1" applyFont="1" applyFill="1" applyAlignment="1">
      <alignment horizontal="left" vertical="center"/>
    </xf>
    <xf numFmtId="182" fontId="22" fillId="4" borderId="0" xfId="9" applyNumberFormat="1" applyFont="1" applyFill="1"/>
    <xf numFmtId="182" fontId="35" fillId="4" borderId="0" xfId="9" applyNumberFormat="1" applyFont="1" applyFill="1"/>
    <xf numFmtId="182" fontId="35" fillId="0" borderId="0" xfId="0" applyNumberFormat="1" applyFont="1" applyAlignment="1">
      <alignment horizontal="right"/>
    </xf>
    <xf numFmtId="182" fontId="32" fillId="4" borderId="0" xfId="27" applyNumberFormat="1" applyFont="1" applyFill="1" applyBorder="1">
      <alignment horizontal="left" vertical="center"/>
    </xf>
    <xf numFmtId="182" fontId="21" fillId="4" borderId="0" xfId="17" applyNumberFormat="1" applyFont="1" applyFill="1"/>
    <xf numFmtId="182" fontId="39" fillId="0" borderId="0" xfId="0" applyNumberFormat="1" applyFont="1" applyAlignment="1">
      <alignment horizontal="right"/>
    </xf>
    <xf numFmtId="182" fontId="14" fillId="0" borderId="0" xfId="0" applyNumberFormat="1" applyFont="1"/>
    <xf numFmtId="182" fontId="22" fillId="0" borderId="5" xfId="0" applyNumberFormat="1" applyFont="1" applyBorder="1" applyAlignment="1">
      <alignment horizontal="right"/>
    </xf>
    <xf numFmtId="182" fontId="22" fillId="0" borderId="5" xfId="0" applyNumberFormat="1" applyFont="1" applyFill="1" applyBorder="1" applyAlignment="1">
      <alignment horizontal="right"/>
    </xf>
    <xf numFmtId="182" fontId="35" fillId="0" borderId="5" xfId="0" applyNumberFormat="1" applyFont="1" applyBorder="1" applyAlignment="1">
      <alignment horizontal="right"/>
    </xf>
    <xf numFmtId="182" fontId="22" fillId="2" borderId="5" xfId="19" applyNumberFormat="1" applyFont="1" applyFill="1" applyBorder="1">
      <alignment horizontal="right" vertical="center"/>
    </xf>
    <xf numFmtId="182" fontId="21" fillId="0" borderId="5" xfId="0" applyNumberFormat="1" applyFont="1" applyFill="1" applyBorder="1" applyAlignment="1">
      <alignment horizontal="right"/>
    </xf>
    <xf numFmtId="182" fontId="21" fillId="2" borderId="5" xfId="19" applyNumberFormat="1" applyFont="1" applyFill="1" applyBorder="1">
      <alignment horizontal="right" vertical="center"/>
    </xf>
    <xf numFmtId="182" fontId="22" fillId="0" borderId="0" xfId="0" applyNumberFormat="1" applyFont="1" applyFill="1" applyAlignment="1">
      <alignment horizontal="right"/>
    </xf>
    <xf numFmtId="182" fontId="21" fillId="0" borderId="5" xfId="0" applyNumberFormat="1" applyFont="1" applyFill="1" applyBorder="1"/>
    <xf numFmtId="182" fontId="21" fillId="0" borderId="0" xfId="28" applyNumberFormat="1" applyFont="1" applyFill="1" applyBorder="1">
      <alignment horizontal="left" vertical="center"/>
    </xf>
    <xf numFmtId="182" fontId="21" fillId="2" borderId="5" xfId="28" applyNumberFormat="1" applyFont="1" applyFill="1" applyBorder="1">
      <alignment horizontal="left" vertical="center"/>
    </xf>
    <xf numFmtId="182" fontId="22" fillId="0" borderId="3" xfId="13" applyNumberFormat="1" applyFont="1" applyBorder="1">
      <alignment horizontal="left" vertical="center"/>
    </xf>
    <xf numFmtId="182" fontId="22" fillId="0" borderId="3" xfId="19" quotePrefix="1" applyNumberFormat="1" applyFont="1" applyFill="1" applyBorder="1" applyAlignment="1">
      <alignment horizontal="right" vertical="center"/>
    </xf>
    <xf numFmtId="182" fontId="22" fillId="0" borderId="13" xfId="19" quotePrefix="1" applyNumberFormat="1" applyFont="1" applyFill="1" applyBorder="1" applyAlignment="1">
      <alignment horizontal="right" vertical="center"/>
    </xf>
    <xf numFmtId="182" fontId="35" fillId="0" borderId="3" xfId="19" quotePrefix="1" applyNumberFormat="1" applyFont="1" applyFill="1" applyBorder="1" applyAlignment="1">
      <alignment horizontal="right" vertical="center"/>
    </xf>
    <xf numFmtId="182" fontId="22" fillId="0" borderId="3" xfId="19" applyNumberFormat="1" applyFont="1" applyFill="1" applyBorder="1">
      <alignment horizontal="right" vertical="center"/>
    </xf>
    <xf numFmtId="182" fontId="22" fillId="2" borderId="13" xfId="19" applyNumberFormat="1" applyFont="1" applyFill="1" applyBorder="1">
      <alignment horizontal="right" vertical="center"/>
    </xf>
    <xf numFmtId="182" fontId="21" fillId="2" borderId="5" xfId="0" applyNumberFormat="1" applyFont="1" applyFill="1" applyBorder="1" applyAlignment="1">
      <alignment horizontal="right"/>
    </xf>
    <xf numFmtId="0" fontId="22" fillId="0" borderId="5" xfId="0" applyFont="1" applyFill="1" applyBorder="1"/>
    <xf numFmtId="9" fontId="21" fillId="0" borderId="5" xfId="17" applyFont="1" applyBorder="1" applyAlignment="1">
      <alignment horizontal="right"/>
    </xf>
    <xf numFmtId="1" fontId="22" fillId="7" borderId="0" xfId="0" applyNumberFormat="1" applyFont="1" applyFill="1"/>
    <xf numFmtId="1" fontId="22" fillId="7" borderId="5" xfId="0" applyNumberFormat="1" applyFont="1" applyFill="1" applyBorder="1"/>
    <xf numFmtId="0" fontId="21" fillId="7" borderId="0" xfId="0" applyFont="1" applyFill="1" applyAlignment="1">
      <alignment horizontal="left"/>
    </xf>
    <xf numFmtId="1" fontId="21" fillId="0" borderId="5" xfId="0" applyNumberFormat="1" applyFont="1" applyFill="1" applyBorder="1" applyAlignment="1">
      <alignment horizontal="right"/>
    </xf>
    <xf numFmtId="0" fontId="21" fillId="2" borderId="5" xfId="0" applyFont="1" applyFill="1" applyBorder="1" applyAlignment="1">
      <alignment horizontal="right"/>
    </xf>
    <xf numFmtId="1" fontId="21" fillId="0" borderId="5" xfId="0" applyNumberFormat="1" applyFont="1" applyFill="1" applyBorder="1"/>
    <xf numFmtId="9" fontId="22" fillId="7" borderId="0" xfId="17" applyFont="1" applyFill="1"/>
    <xf numFmtId="9" fontId="22" fillId="7" borderId="5" xfId="17" applyFont="1" applyFill="1" applyBorder="1"/>
    <xf numFmtId="9" fontId="22" fillId="7" borderId="0" xfId="17" applyFont="1" applyFill="1" applyAlignment="1">
      <alignment horizontal="right"/>
    </xf>
    <xf numFmtId="9" fontId="22" fillId="7" borderId="5" xfId="17" applyFont="1" applyFill="1" applyBorder="1" applyAlignment="1">
      <alignment horizontal="right"/>
    </xf>
    <xf numFmtId="0" fontId="37" fillId="0" borderId="0" xfId="0" applyFont="1"/>
    <xf numFmtId="0" fontId="21" fillId="0" borderId="5" xfId="0" applyFont="1" applyFill="1" applyBorder="1" applyAlignment="1">
      <alignment horizontal="right"/>
    </xf>
    <xf numFmtId="0" fontId="22" fillId="0" borderId="2" xfId="0" applyFont="1" applyBorder="1"/>
    <xf numFmtId="0" fontId="22" fillId="0" borderId="2" xfId="0" applyFont="1" applyBorder="1" applyAlignment="1">
      <alignment horizontal="right"/>
    </xf>
    <xf numFmtId="175" fontId="21" fillId="0" borderId="2" xfId="9" applyNumberFormat="1" applyFont="1" applyBorder="1" applyAlignment="1">
      <alignment horizontal="right"/>
    </xf>
    <xf numFmtId="175" fontId="21" fillId="0" borderId="11" xfId="9" applyNumberFormat="1" applyFont="1" applyBorder="1" applyAlignment="1">
      <alignment horizontal="right"/>
    </xf>
    <xf numFmtId="1" fontId="21" fillId="0" borderId="2" xfId="0" applyNumberFormat="1" applyFont="1" applyBorder="1"/>
    <xf numFmtId="1" fontId="21" fillId="0" borderId="11" xfId="0" applyNumberFormat="1" applyFont="1" applyBorder="1"/>
    <xf numFmtId="2" fontId="22" fillId="0" borderId="2" xfId="0" applyNumberFormat="1" applyFont="1" applyBorder="1" applyAlignment="1">
      <alignment horizontal="right"/>
    </xf>
    <xf numFmtId="2" fontId="22" fillId="0" borderId="11" xfId="0" applyNumberFormat="1" applyFont="1" applyBorder="1" applyAlignment="1">
      <alignment horizontal="right"/>
    </xf>
    <xf numFmtId="2" fontId="22" fillId="0" borderId="11" xfId="0" applyNumberFormat="1" applyFont="1" applyFill="1" applyBorder="1" applyAlignment="1">
      <alignment horizontal="right"/>
    </xf>
    <xf numFmtId="0" fontId="22" fillId="0" borderId="0" xfId="0" applyFont="1" applyBorder="1" applyAlignment="1">
      <alignment horizontal="right"/>
    </xf>
    <xf numFmtId="2" fontId="22" fillId="0" borderId="0" xfId="0" applyNumberFormat="1" applyFont="1" applyBorder="1" applyAlignment="1">
      <alignment horizontal="right"/>
    </xf>
    <xf numFmtId="0" fontId="22" fillId="0" borderId="5" xfId="0" applyFont="1" applyBorder="1" applyAlignment="1">
      <alignment horizontal="right"/>
    </xf>
    <xf numFmtId="2" fontId="22" fillId="0" borderId="5" xfId="0" applyNumberFormat="1" applyFont="1" applyBorder="1" applyAlignment="1">
      <alignment horizontal="right"/>
    </xf>
    <xf numFmtId="2" fontId="22" fillId="0" borderId="0" xfId="0" applyNumberFormat="1" applyFont="1" applyBorder="1" applyAlignment="1"/>
    <xf numFmtId="2" fontId="22" fillId="0" borderId="5" xfId="0" applyNumberFormat="1" applyFont="1" applyFill="1" applyBorder="1" applyAlignment="1">
      <alignment horizontal="right"/>
    </xf>
    <xf numFmtId="0" fontId="21" fillId="0" borderId="3" xfId="0" applyFont="1" applyBorder="1" applyAlignment="1">
      <alignment horizontal="right"/>
    </xf>
    <xf numFmtId="0" fontId="21" fillId="0" borderId="13" xfId="0" applyFont="1" applyBorder="1" applyAlignment="1">
      <alignment horizontal="right"/>
    </xf>
    <xf numFmtId="1" fontId="21" fillId="0" borderId="3" xfId="0" applyNumberFormat="1" applyFont="1" applyBorder="1" applyAlignment="1">
      <alignment horizontal="right"/>
    </xf>
    <xf numFmtId="9" fontId="21" fillId="0" borderId="3" xfId="17" applyFont="1" applyBorder="1" applyAlignment="1">
      <alignment horizontal="right"/>
    </xf>
    <xf numFmtId="1" fontId="21" fillId="0" borderId="13" xfId="0" applyNumberFormat="1" applyFont="1" applyBorder="1" applyAlignment="1">
      <alignment horizontal="right"/>
    </xf>
    <xf numFmtId="9" fontId="21" fillId="0" borderId="13" xfId="17" applyFont="1" applyBorder="1" applyAlignment="1">
      <alignment horizontal="right"/>
    </xf>
    <xf numFmtId="1" fontId="21" fillId="0" borderId="13" xfId="0" applyNumberFormat="1" applyFont="1" applyFill="1" applyBorder="1" applyAlignment="1">
      <alignment horizontal="right"/>
    </xf>
    <xf numFmtId="1" fontId="21" fillId="0" borderId="0" xfId="0" applyNumberFormat="1" applyFont="1" applyBorder="1" applyAlignment="1">
      <alignment horizontal="right"/>
    </xf>
    <xf numFmtId="1" fontId="21" fillId="0" borderId="3" xfId="0" applyNumberFormat="1" applyFont="1" applyBorder="1"/>
    <xf numFmtId="1" fontId="20" fillId="0" borderId="3" xfId="0" applyNumberFormat="1" applyFont="1" applyBorder="1"/>
    <xf numFmtId="1" fontId="21" fillId="0" borderId="13" xfId="0" applyNumberFormat="1" applyFont="1" applyBorder="1"/>
    <xf numFmtId="0" fontId="20" fillId="0" borderId="0" xfId="0" applyFont="1" applyBorder="1" applyAlignment="1">
      <alignment horizontal="right"/>
    </xf>
    <xf numFmtId="9" fontId="20" fillId="0" borderId="0" xfId="17" applyFont="1" applyBorder="1"/>
    <xf numFmtId="9" fontId="20" fillId="0" borderId="5" xfId="17" applyFont="1" applyBorder="1"/>
    <xf numFmtId="9" fontId="20" fillId="0" borderId="3" xfId="17" applyFont="1" applyBorder="1"/>
    <xf numFmtId="9" fontId="21" fillId="0" borderId="13" xfId="17" applyFont="1" applyBorder="1"/>
    <xf numFmtId="9" fontId="21" fillId="0" borderId="3" xfId="17" applyFont="1" applyBorder="1"/>
    <xf numFmtId="9" fontId="20" fillId="0" borderId="13" xfId="17" applyFont="1" applyBorder="1"/>
    <xf numFmtId="0" fontId="21" fillId="0" borderId="2" xfId="0" applyFont="1" applyBorder="1"/>
    <xf numFmtId="1" fontId="21" fillId="0" borderId="2" xfId="0" applyNumberFormat="1" applyFont="1" applyBorder="1" applyAlignment="1">
      <alignment horizontal="right"/>
    </xf>
    <xf numFmtId="1" fontId="20" fillId="0" borderId="2" xfId="0" applyNumberFormat="1" applyFont="1" applyBorder="1" applyAlignment="1">
      <alignment horizontal="right"/>
    </xf>
    <xf numFmtId="1" fontId="21" fillId="0" borderId="11" xfId="0" applyNumberFormat="1" applyFont="1" applyBorder="1" applyAlignment="1">
      <alignment horizontal="right"/>
    </xf>
    <xf numFmtId="1" fontId="21" fillId="0" borderId="11" xfId="0" applyNumberFormat="1" applyFont="1" applyFill="1" applyBorder="1" applyAlignment="1">
      <alignment horizontal="right"/>
    </xf>
    <xf numFmtId="1" fontId="20" fillId="0" borderId="0" xfId="0" applyNumberFormat="1" applyFont="1" applyBorder="1" applyAlignment="1">
      <alignment horizontal="right"/>
    </xf>
    <xf numFmtId="1" fontId="20" fillId="0" borderId="5" xfId="0" applyNumberFormat="1" applyFont="1" applyBorder="1" applyAlignment="1">
      <alignment horizontal="right"/>
    </xf>
    <xf numFmtId="1" fontId="20" fillId="0" borderId="5" xfId="0" applyNumberFormat="1" applyFont="1" applyFill="1" applyBorder="1" applyAlignment="1">
      <alignment horizontal="right"/>
    </xf>
    <xf numFmtId="0" fontId="21" fillId="0" borderId="22" xfId="0" applyFont="1" applyBorder="1"/>
    <xf numFmtId="1" fontId="21" fillId="0" borderId="22" xfId="0" applyNumberFormat="1" applyFont="1" applyBorder="1" applyAlignment="1">
      <alignment horizontal="right"/>
    </xf>
    <xf numFmtId="1" fontId="20" fillId="0" borderId="22" xfId="0" applyNumberFormat="1" applyFont="1" applyBorder="1" applyAlignment="1">
      <alignment horizontal="right"/>
    </xf>
    <xf numFmtId="1" fontId="21" fillId="0" borderId="23" xfId="0" applyNumberFormat="1" applyFont="1" applyBorder="1" applyAlignment="1">
      <alignment horizontal="right"/>
    </xf>
    <xf numFmtId="1" fontId="21" fillId="0" borderId="23" xfId="0" applyNumberFormat="1" applyFont="1" applyFill="1" applyBorder="1" applyAlignment="1">
      <alignment horizontal="right"/>
    </xf>
    <xf numFmtId="1" fontId="21" fillId="0" borderId="11" xfId="0" applyNumberFormat="1" applyFont="1" applyFill="1" applyBorder="1"/>
    <xf numFmtId="0" fontId="21" fillId="0" borderId="13" xfId="0" applyFont="1" applyFill="1" applyBorder="1" applyAlignment="1">
      <alignment horizontal="right"/>
    </xf>
    <xf numFmtId="2" fontId="21" fillId="0" borderId="0" xfId="0" applyNumberFormat="1" applyFont="1" applyBorder="1" applyAlignment="1">
      <alignment horizontal="right"/>
    </xf>
    <xf numFmtId="164" fontId="22" fillId="0" borderId="19" xfId="19" quotePrefix="1" applyNumberFormat="1" applyFont="1" applyFill="1" applyBorder="1" applyAlignment="1">
      <alignment horizontal="right" vertical="center"/>
    </xf>
    <xf numFmtId="0" fontId="22" fillId="6" borderId="5" xfId="0" applyFont="1" applyFill="1" applyBorder="1"/>
    <xf numFmtId="2" fontId="22" fillId="0" borderId="3" xfId="27" applyNumberFormat="1" applyFont="1" applyFill="1" applyBorder="1">
      <alignment horizontal="left" vertical="center"/>
    </xf>
    <xf numFmtId="0" fontId="40" fillId="0" borderId="3" xfId="27" applyFont="1" applyFill="1" applyBorder="1">
      <alignment horizontal="left" vertical="center"/>
    </xf>
    <xf numFmtId="166" fontId="21" fillId="0" borderId="0" xfId="0" applyNumberFormat="1" applyFont="1"/>
    <xf numFmtId="166" fontId="21" fillId="0" borderId="5" xfId="0" applyNumberFormat="1" applyFont="1" applyBorder="1"/>
    <xf numFmtId="166" fontId="21" fillId="2" borderId="5" xfId="0" applyNumberFormat="1" applyFont="1" applyFill="1" applyBorder="1"/>
    <xf numFmtId="166" fontId="21" fillId="0" borderId="0" xfId="27" applyNumberFormat="1" applyFont="1" applyFill="1" applyBorder="1">
      <alignment horizontal="left" vertical="center"/>
    </xf>
    <xf numFmtId="166" fontId="36" fillId="0" borderId="0" xfId="27" applyNumberFormat="1" applyFont="1" applyFill="1" applyBorder="1">
      <alignment horizontal="left" vertical="center"/>
    </xf>
    <xf numFmtId="166" fontId="36" fillId="0" borderId="5" xfId="27" applyNumberFormat="1" applyFont="1" applyFill="1" applyBorder="1">
      <alignment horizontal="left" vertical="center"/>
    </xf>
    <xf numFmtId="166" fontId="36" fillId="2" borderId="5" xfId="27" applyNumberFormat="1" applyFont="1" applyFill="1" applyBorder="1">
      <alignment horizontal="left" vertical="center"/>
    </xf>
    <xf numFmtId="166" fontId="22" fillId="6" borderId="0" xfId="0" applyNumberFormat="1" applyFont="1" applyFill="1"/>
    <xf numFmtId="166" fontId="22" fillId="6" borderId="5" xfId="0" applyNumberFormat="1" applyFont="1" applyFill="1" applyBorder="1"/>
    <xf numFmtId="166" fontId="22" fillId="2" borderId="5" xfId="0" applyNumberFormat="1" applyFont="1" applyFill="1" applyBorder="1"/>
    <xf numFmtId="166" fontId="21" fillId="0" borderId="0" xfId="0" applyNumberFormat="1" applyFont="1" applyAlignment="1">
      <alignment horizontal="right"/>
    </xf>
    <xf numFmtId="166" fontId="21" fillId="0" borderId="5" xfId="0" applyNumberFormat="1" applyFont="1" applyBorder="1" applyAlignment="1">
      <alignment horizontal="right"/>
    </xf>
    <xf numFmtId="168" fontId="21" fillId="0" borderId="0" xfId="0" applyNumberFormat="1" applyFont="1" applyAlignment="1">
      <alignment horizontal="right"/>
    </xf>
    <xf numFmtId="168" fontId="21" fillId="0" borderId="5" xfId="0" applyNumberFormat="1" applyFont="1" applyBorder="1" applyAlignment="1">
      <alignment horizontal="right"/>
    </xf>
    <xf numFmtId="168" fontId="21" fillId="0" borderId="0" xfId="0" applyNumberFormat="1" applyFont="1" applyFill="1"/>
    <xf numFmtId="168" fontId="21" fillId="2" borderId="5" xfId="0" applyNumberFormat="1" applyFont="1" applyFill="1" applyBorder="1"/>
    <xf numFmtId="0" fontId="37" fillId="0" borderId="5" xfId="0" applyFont="1" applyFill="1" applyBorder="1"/>
    <xf numFmtId="0" fontId="37" fillId="7" borderId="0" xfId="0" applyFont="1" applyFill="1"/>
    <xf numFmtId="0" fontId="36" fillId="7" borderId="0" xfId="27" applyFont="1" applyFill="1" applyBorder="1">
      <alignment horizontal="left" vertical="center"/>
    </xf>
    <xf numFmtId="0" fontId="36" fillId="7" borderId="5" xfId="27" applyFont="1" applyFill="1" applyBorder="1">
      <alignment horizontal="left" vertical="center"/>
    </xf>
    <xf numFmtId="9" fontId="21" fillId="7" borderId="5" xfId="17" applyFont="1" applyFill="1" applyBorder="1" applyAlignment="1">
      <alignment horizontal="right"/>
    </xf>
    <xf numFmtId="9" fontId="22" fillId="0" borderId="5" xfId="17" applyFont="1" applyBorder="1" applyAlignment="1">
      <alignment horizontal="right"/>
    </xf>
    <xf numFmtId="0" fontId="51" fillId="0" borderId="5" xfId="27" applyFont="1" applyFill="1" applyBorder="1">
      <alignment horizontal="left" vertical="center"/>
    </xf>
    <xf numFmtId="0" fontId="51" fillId="2" borderId="5" xfId="27" applyFont="1" applyFill="1" applyBorder="1">
      <alignment horizontal="left" vertical="center"/>
    </xf>
    <xf numFmtId="167" fontId="22" fillId="6" borderId="0" xfId="0" applyNumberFormat="1" applyFont="1" applyFill="1"/>
    <xf numFmtId="9" fontId="20" fillId="7" borderId="0" xfId="17" applyFont="1" applyFill="1" applyAlignment="1">
      <alignment horizontal="right"/>
    </xf>
    <xf numFmtId="0" fontId="21" fillId="7" borderId="0" xfId="0" applyFont="1" applyFill="1" applyAlignment="1">
      <alignment horizontal="right"/>
    </xf>
    <xf numFmtId="0" fontId="21" fillId="7" borderId="5" xfId="0" applyFont="1" applyFill="1" applyBorder="1" applyAlignment="1">
      <alignment horizontal="right"/>
    </xf>
    <xf numFmtId="182" fontId="22" fillId="2" borderId="5" xfId="0" applyNumberFormat="1" applyFont="1" applyFill="1" applyBorder="1"/>
    <xf numFmtId="168" fontId="21" fillId="0" borderId="0" xfId="17" applyNumberFormat="1" applyFont="1" applyFill="1" applyAlignment="1">
      <alignment horizontal="right"/>
    </xf>
    <xf numFmtId="168" fontId="21" fillId="0" borderId="5" xfId="17" applyNumberFormat="1" applyFont="1" applyFill="1" applyBorder="1" applyAlignment="1">
      <alignment horizontal="right"/>
    </xf>
    <xf numFmtId="168" fontId="22" fillId="0" borderId="0" xfId="0" applyNumberFormat="1" applyFont="1"/>
    <xf numFmtId="168" fontId="22" fillId="0" borderId="0" xfId="0" applyNumberFormat="1" applyFont="1" applyAlignment="1">
      <alignment horizontal="right"/>
    </xf>
    <xf numFmtId="168" fontId="22" fillId="0" borderId="5" xfId="0" applyNumberFormat="1" applyFont="1" applyBorder="1" applyAlignment="1">
      <alignment horizontal="right"/>
    </xf>
    <xf numFmtId="168" fontId="22" fillId="0" borderId="0" xfId="17" applyNumberFormat="1" applyFont="1" applyFill="1" applyAlignment="1">
      <alignment horizontal="right"/>
    </xf>
    <xf numFmtId="168" fontId="22" fillId="0" borderId="5" xfId="17" applyNumberFormat="1" applyFont="1" applyFill="1" applyBorder="1" applyAlignment="1">
      <alignment horizontal="right"/>
    </xf>
    <xf numFmtId="168" fontId="22" fillId="0" borderId="0" xfId="0" applyNumberFormat="1" applyFont="1" applyFill="1"/>
    <xf numFmtId="168" fontId="22" fillId="2" borderId="5" xfId="0" applyNumberFormat="1" applyFont="1" applyFill="1" applyBorder="1"/>
    <xf numFmtId="168" fontId="37" fillId="0" borderId="0" xfId="0" applyNumberFormat="1" applyFont="1" applyFill="1"/>
    <xf numFmtId="168" fontId="22" fillId="0" borderId="5" xfId="0" applyNumberFormat="1" applyFont="1" applyFill="1" applyBorder="1"/>
    <xf numFmtId="168" fontId="22" fillId="0" borderId="0" xfId="17" applyNumberFormat="1" applyFont="1" applyAlignment="1">
      <alignment horizontal="right"/>
    </xf>
    <xf numFmtId="168" fontId="22" fillId="0" borderId="5" xfId="17" applyNumberFormat="1" applyFont="1" applyBorder="1" applyAlignment="1">
      <alignment horizontal="right"/>
    </xf>
    <xf numFmtId="168" fontId="37" fillId="0" borderId="5" xfId="0" applyNumberFormat="1" applyFont="1" applyFill="1" applyBorder="1"/>
    <xf numFmtId="168" fontId="37" fillId="2" borderId="5" xfId="0" applyNumberFormat="1" applyFont="1" applyFill="1" applyBorder="1"/>
    <xf numFmtId="168" fontId="20" fillId="0" borderId="5" xfId="17" applyNumberFormat="1" applyFont="1" applyFill="1" applyBorder="1" applyAlignment="1">
      <alignment horizontal="right"/>
    </xf>
    <xf numFmtId="168" fontId="21" fillId="0" borderId="3" xfId="0" applyNumberFormat="1" applyFont="1" applyBorder="1"/>
    <xf numFmtId="168" fontId="21" fillId="0" borderId="3" xfId="0" applyNumberFormat="1" applyFont="1" applyBorder="1" applyAlignment="1">
      <alignment horizontal="right"/>
    </xf>
    <xf numFmtId="168" fontId="21" fillId="0" borderId="13" xfId="0" applyNumberFormat="1" applyFont="1" applyBorder="1" applyAlignment="1">
      <alignment horizontal="right"/>
    </xf>
    <xf numFmtId="168" fontId="21" fillId="0" borderId="3" xfId="17" applyNumberFormat="1" applyFont="1" applyFill="1" applyBorder="1" applyAlignment="1">
      <alignment horizontal="right"/>
    </xf>
    <xf numFmtId="168" fontId="21" fillId="0" borderId="13" xfId="17" applyNumberFormat="1" applyFont="1" applyFill="1" applyBorder="1" applyAlignment="1">
      <alignment horizontal="right"/>
    </xf>
    <xf numFmtId="168" fontId="21" fillId="0" borderId="3" xfId="0" applyNumberFormat="1" applyFont="1" applyFill="1" applyBorder="1"/>
    <xf numFmtId="168" fontId="21" fillId="2" borderId="13" xfId="0" applyNumberFormat="1" applyFont="1" applyFill="1" applyBorder="1"/>
    <xf numFmtId="0" fontId="5" fillId="0" borderId="9" xfId="27" applyFont="1" applyFill="1" applyBorder="1">
      <alignment horizontal="left" vertical="center"/>
    </xf>
    <xf numFmtId="0" fontId="5" fillId="0" borderId="10" xfId="27" applyFont="1" applyFill="1" applyBorder="1">
      <alignment horizontal="left" vertical="center"/>
    </xf>
    <xf numFmtId="0" fontId="5" fillId="0" borderId="5" xfId="27" applyFont="1" applyFill="1" applyBorder="1">
      <alignment horizontal="left" vertical="center"/>
    </xf>
    <xf numFmtId="0" fontId="17" fillId="4" borderId="0" xfId="0" applyFont="1" applyFill="1" applyBorder="1"/>
    <xf numFmtId="0" fontId="25" fillId="4" borderId="0" xfId="0" applyFont="1" applyFill="1" applyBorder="1" applyAlignment="1">
      <alignment horizontal="left" indent="3"/>
    </xf>
    <xf numFmtId="168" fontId="25" fillId="4" borderId="0" xfId="17" applyNumberFormat="1" applyFont="1" applyFill="1" applyBorder="1"/>
    <xf numFmtId="9" fontId="25" fillId="4" borderId="0" xfId="17" applyFont="1" applyFill="1" applyBorder="1"/>
    <xf numFmtId="0" fontId="7" fillId="5" borderId="0" xfId="0" applyFont="1" applyFill="1"/>
    <xf numFmtId="167" fontId="8" fillId="5" borderId="0" xfId="13" applyNumberFormat="1" applyFont="1" applyFill="1">
      <alignment horizontal="left" vertical="center"/>
    </xf>
    <xf numFmtId="1" fontId="8" fillId="5" borderId="0" xfId="13" applyNumberFormat="1" applyFont="1" applyFill="1">
      <alignment horizontal="left" vertical="center"/>
    </xf>
    <xf numFmtId="0" fontId="28" fillId="4" borderId="0" xfId="0" applyFont="1" applyFill="1"/>
    <xf numFmtId="164" fontId="17" fillId="4" borderId="0" xfId="0" applyNumberFormat="1" applyFont="1" applyFill="1" applyBorder="1"/>
    <xf numFmtId="0" fontId="17" fillId="4" borderId="6" xfId="0" applyFont="1" applyFill="1" applyBorder="1" applyAlignment="1"/>
    <xf numFmtId="0" fontId="7" fillId="4" borderId="24" xfId="0" applyFont="1" applyFill="1" applyBorder="1" applyAlignment="1">
      <alignment horizontal="center"/>
    </xf>
    <xf numFmtId="184" fontId="7" fillId="4" borderId="0" xfId="0" applyNumberFormat="1" applyFont="1" applyFill="1" applyBorder="1" applyAlignment="1">
      <alignment horizontal="center"/>
    </xf>
    <xf numFmtId="173" fontId="17" fillId="4" borderId="0" xfId="0" applyNumberFormat="1" applyFont="1" applyFill="1" applyBorder="1" applyAlignment="1">
      <alignment horizontal="center"/>
    </xf>
    <xf numFmtId="168" fontId="25" fillId="4" borderId="0" xfId="17" applyNumberFormat="1" applyFont="1" applyFill="1" applyBorder="1" applyAlignment="1">
      <alignment horizontal="center"/>
    </xf>
    <xf numFmtId="168" fontId="56" fillId="4" borderId="0" xfId="17" applyNumberFormat="1" applyFont="1" applyFill="1" applyBorder="1" applyAlignment="1">
      <alignment horizontal="center"/>
    </xf>
    <xf numFmtId="164" fontId="7" fillId="4" borderId="0" xfId="0" applyNumberFormat="1" applyFont="1" applyFill="1" applyBorder="1" applyAlignment="1">
      <alignment horizontal="center"/>
    </xf>
    <xf numFmtId="164" fontId="7" fillId="4" borderId="24" xfId="0" applyNumberFormat="1" applyFont="1" applyFill="1" applyBorder="1" applyAlignment="1">
      <alignment horizontal="center"/>
    </xf>
    <xf numFmtId="164" fontId="7" fillId="4" borderId="0" xfId="0" applyNumberFormat="1" applyFont="1" applyFill="1" applyAlignment="1">
      <alignment horizontal="center"/>
    </xf>
    <xf numFmtId="168" fontId="8" fillId="4" borderId="0" xfId="17" applyNumberFormat="1" applyFont="1" applyFill="1" applyBorder="1" applyAlignment="1">
      <alignment horizontal="center"/>
    </xf>
    <xf numFmtId="173" fontId="7" fillId="4" borderId="0" xfId="0" applyNumberFormat="1" applyFont="1" applyFill="1" applyAlignment="1">
      <alignment horizontal="center"/>
    </xf>
    <xf numFmtId="164" fontId="7" fillId="5" borderId="0" xfId="0" applyNumberFormat="1" applyFont="1" applyFill="1" applyBorder="1" applyAlignment="1">
      <alignment horizontal="center"/>
    </xf>
    <xf numFmtId="164" fontId="7" fillId="5" borderId="0" xfId="0" applyNumberFormat="1" applyFont="1" applyFill="1" applyAlignment="1">
      <alignment horizontal="center"/>
    </xf>
    <xf numFmtId="168" fontId="26" fillId="5" borderId="0" xfId="17" applyNumberFormat="1" applyFont="1" applyFill="1" applyBorder="1" applyAlignment="1">
      <alignment horizontal="center"/>
    </xf>
    <xf numFmtId="168" fontId="24" fillId="5" borderId="0" xfId="17" applyNumberFormat="1" applyFont="1" applyFill="1" applyAlignment="1">
      <alignment horizontal="center"/>
    </xf>
    <xf numFmtId="173" fontId="7" fillId="4" borderId="0" xfId="0" applyNumberFormat="1" applyFont="1" applyFill="1" applyBorder="1" applyAlignment="1">
      <alignment horizontal="center"/>
    </xf>
    <xf numFmtId="173" fontId="7" fillId="4" borderId="24" xfId="0" applyNumberFormat="1" applyFont="1" applyFill="1" applyBorder="1" applyAlignment="1">
      <alignment horizontal="center"/>
    </xf>
    <xf numFmtId="168" fontId="7" fillId="4" borderId="0" xfId="17" applyNumberFormat="1" applyFont="1" applyFill="1" applyBorder="1" applyAlignment="1">
      <alignment horizontal="center"/>
    </xf>
    <xf numFmtId="168" fontId="7" fillId="4" borderId="0" xfId="17" applyNumberFormat="1" applyFont="1" applyFill="1" applyAlignment="1">
      <alignment horizontal="center"/>
    </xf>
    <xf numFmtId="9" fontId="23" fillId="4" borderId="0" xfId="0" applyNumberFormat="1" applyFont="1" applyFill="1" applyBorder="1" applyAlignment="1">
      <alignment horizontal="center"/>
    </xf>
    <xf numFmtId="9" fontId="23" fillId="4" borderId="0" xfId="0" applyNumberFormat="1" applyFont="1" applyFill="1" applyAlignment="1">
      <alignment horizontal="center"/>
    </xf>
    <xf numFmtId="164" fontId="17" fillId="4" borderId="0" xfId="0" applyNumberFormat="1" applyFont="1" applyFill="1" applyBorder="1" applyAlignment="1">
      <alignment horizontal="center"/>
    </xf>
    <xf numFmtId="164" fontId="17" fillId="4" borderId="24" xfId="0" applyNumberFormat="1" applyFont="1" applyFill="1" applyBorder="1" applyAlignment="1">
      <alignment horizontal="center"/>
    </xf>
    <xf numFmtId="170" fontId="17" fillId="4" borderId="6" xfId="0" applyNumberFormat="1" applyFont="1" applyFill="1" applyBorder="1" applyAlignment="1">
      <alignment horizontal="center"/>
    </xf>
    <xf numFmtId="170" fontId="17" fillId="4" borderId="25" xfId="0" applyNumberFormat="1" applyFont="1" applyFill="1" applyBorder="1" applyAlignment="1">
      <alignment horizontal="center"/>
    </xf>
    <xf numFmtId="170" fontId="17" fillId="4" borderId="0" xfId="0" applyNumberFormat="1" applyFont="1" applyFill="1" applyBorder="1" applyAlignment="1">
      <alignment horizontal="center"/>
    </xf>
    <xf numFmtId="170" fontId="17" fillId="4" borderId="24" xfId="0" applyNumberFormat="1" applyFont="1" applyFill="1" applyBorder="1" applyAlignment="1">
      <alignment horizontal="center"/>
    </xf>
    <xf numFmtId="0" fontId="17" fillId="4" borderId="6" xfId="0" applyFont="1" applyFill="1" applyBorder="1"/>
    <xf numFmtId="0" fontId="17" fillId="4" borderId="6" xfId="0" applyFont="1" applyFill="1" applyBorder="1" applyAlignment="1">
      <alignment horizontal="center"/>
    </xf>
    <xf numFmtId="49" fontId="0" fillId="0" borderId="0" xfId="0" applyNumberFormat="1"/>
    <xf numFmtId="9" fontId="8" fillId="4" borderId="0" xfId="17" applyFont="1" applyFill="1" applyBorder="1"/>
    <xf numFmtId="9" fontId="17" fillId="4" borderId="0" xfId="17" applyFont="1" applyFill="1"/>
    <xf numFmtId="9" fontId="17" fillId="4" borderId="0" xfId="17" applyFont="1" applyFill="1" applyBorder="1" applyAlignment="1">
      <alignment horizontal="center"/>
    </xf>
    <xf numFmtId="9" fontId="17" fillId="4" borderId="24" xfId="17" applyFont="1" applyFill="1" applyBorder="1" applyAlignment="1">
      <alignment horizontal="center"/>
    </xf>
    <xf numFmtId="166" fontId="21" fillId="0" borderId="0" xfId="13" applyNumberFormat="1" applyFont="1" applyFill="1">
      <alignment horizontal="left" vertical="center"/>
    </xf>
    <xf numFmtId="166" fontId="34" fillId="6" borderId="0" xfId="13" applyNumberFormat="1" applyFont="1" applyFill="1">
      <alignment horizontal="left" vertical="center"/>
    </xf>
    <xf numFmtId="166" fontId="21" fillId="0" borderId="10" xfId="0" applyNumberFormat="1" applyFont="1" applyBorder="1"/>
    <xf numFmtId="0" fontId="33" fillId="0" borderId="26" xfId="27" applyFont="1" applyFill="1" applyBorder="1">
      <alignment horizontal="left" vertical="center"/>
    </xf>
    <xf numFmtId="168" fontId="38" fillId="0" borderId="26" xfId="27" applyNumberFormat="1" applyFont="1" applyFill="1" applyBorder="1" applyAlignment="1">
      <alignment horizontal="right" vertical="center"/>
    </xf>
    <xf numFmtId="181" fontId="35" fillId="0" borderId="26" xfId="27" applyNumberFormat="1" applyFont="1" applyFill="1" applyBorder="1" applyAlignment="1">
      <alignment horizontal="right" vertical="center"/>
    </xf>
    <xf numFmtId="181" fontId="33" fillId="0" borderId="26" xfId="27" applyNumberFormat="1" applyFont="1" applyFill="1" applyBorder="1" applyAlignment="1">
      <alignment horizontal="right" vertical="center"/>
    </xf>
    <xf numFmtId="181" fontId="22" fillId="0" borderId="27" xfId="27" applyNumberFormat="1" applyFont="1" applyFill="1" applyBorder="1" applyAlignment="1">
      <alignment horizontal="left" vertical="center"/>
    </xf>
    <xf numFmtId="181" fontId="22" fillId="0" borderId="27" xfId="27" applyNumberFormat="1" applyFont="1" applyFill="1" applyBorder="1" applyAlignment="1">
      <alignment horizontal="right" vertical="center"/>
    </xf>
    <xf numFmtId="181" fontId="47" fillId="0" borderId="28" xfId="27" applyNumberFormat="1" applyFont="1" applyFill="1" applyBorder="1" applyAlignment="1">
      <alignment horizontal="right" vertical="center"/>
    </xf>
    <xf numFmtId="181" fontId="47" fillId="0" borderId="27" xfId="27" applyNumberFormat="1" applyFont="1" applyFill="1" applyBorder="1" applyAlignment="1">
      <alignment horizontal="right" vertical="center"/>
    </xf>
    <xf numFmtId="181" fontId="47" fillId="0" borderId="29" xfId="27" applyNumberFormat="1" applyFont="1" applyFill="1" applyBorder="1" applyAlignment="1">
      <alignment horizontal="right" vertical="center"/>
    </xf>
    <xf numFmtId="181" fontId="47" fillId="0" borderId="30" xfId="27" applyNumberFormat="1" applyFont="1" applyFill="1" applyBorder="1" applyAlignment="1">
      <alignment horizontal="right" vertical="center"/>
    </xf>
    <xf numFmtId="181" fontId="22" fillId="0" borderId="30" xfId="27" applyNumberFormat="1" applyFont="1" applyFill="1" applyBorder="1" applyAlignment="1">
      <alignment horizontal="right" vertical="center"/>
    </xf>
    <xf numFmtId="181" fontId="35" fillId="0" borderId="27" xfId="27" applyNumberFormat="1" applyFont="1" applyFill="1" applyBorder="1" applyAlignment="1">
      <alignment horizontal="right" vertical="center"/>
    </xf>
    <xf numFmtId="181" fontId="35" fillId="0" borderId="31" xfId="27" applyNumberFormat="1" applyFont="1" applyFill="1" applyBorder="1" applyAlignment="1">
      <alignment horizontal="right" vertical="center"/>
    </xf>
    <xf numFmtId="182" fontId="35" fillId="0" borderId="26" xfId="19" quotePrefix="1" applyNumberFormat="1" applyFont="1" applyFill="1" applyBorder="1" applyAlignment="1">
      <alignment horizontal="right" vertical="center"/>
    </xf>
    <xf numFmtId="182" fontId="33" fillId="0" borderId="26" xfId="27" applyNumberFormat="1" applyFont="1" applyFill="1" applyBorder="1">
      <alignment horizontal="left" vertical="center"/>
    </xf>
    <xf numFmtId="182" fontId="41" fillId="0" borderId="26" xfId="19" applyNumberFormat="1" applyFont="1" applyFill="1" applyBorder="1">
      <alignment horizontal="right" vertical="center"/>
    </xf>
    <xf numFmtId="182" fontId="33" fillId="0" borderId="26" xfId="0" applyNumberFormat="1" applyFont="1" applyBorder="1"/>
    <xf numFmtId="182" fontId="33" fillId="0" borderId="26" xfId="0" applyNumberFormat="1" applyFont="1" applyBorder="1" applyAlignment="1">
      <alignment horizontal="right"/>
    </xf>
    <xf numFmtId="182" fontId="35" fillId="0" borderId="26" xfId="0" applyNumberFormat="1" applyFont="1" applyFill="1" applyBorder="1"/>
    <xf numFmtId="182" fontId="33" fillId="7" borderId="26" xfId="0" applyNumberFormat="1" applyFont="1" applyFill="1" applyBorder="1" applyAlignment="1">
      <alignment horizontal="right"/>
    </xf>
    <xf numFmtId="182" fontId="35" fillId="0" borderId="26" xfId="0" applyNumberFormat="1" applyFont="1" applyBorder="1"/>
    <xf numFmtId="182" fontId="22" fillId="0" borderId="0" xfId="27" applyNumberFormat="1" applyFont="1" applyFill="1" applyBorder="1">
      <alignment horizontal="left" vertical="center"/>
    </xf>
    <xf numFmtId="0" fontId="28" fillId="0" borderId="26" xfId="28" applyFont="1" applyFill="1" applyBorder="1">
      <alignment horizontal="left" vertical="center"/>
    </xf>
    <xf numFmtId="0" fontId="28" fillId="6" borderId="26" xfId="28" applyFont="1" applyFill="1" applyBorder="1">
      <alignment horizontal="left" vertical="center"/>
    </xf>
    <xf numFmtId="164" fontId="30" fillId="0" borderId="26" xfId="19" quotePrefix="1" applyNumberFormat="1" applyFont="1" applyFill="1" applyBorder="1" applyAlignment="1">
      <alignment horizontal="right" vertical="center"/>
    </xf>
    <xf numFmtId="164" fontId="28" fillId="0" borderId="26" xfId="19" applyNumberFormat="1" applyFont="1" applyFill="1" applyBorder="1">
      <alignment horizontal="right" vertical="center"/>
    </xf>
    <xf numFmtId="182" fontId="35" fillId="0" borderId="26" xfId="0" applyNumberFormat="1" applyFont="1" applyBorder="1" applyAlignment="1">
      <alignment horizontal="right"/>
    </xf>
    <xf numFmtId="182" fontId="32" fillId="0" borderId="1" xfId="13" applyNumberFormat="1" applyFont="1" applyFill="1" applyBorder="1">
      <alignment horizontal="left" vertical="center"/>
    </xf>
    <xf numFmtId="182" fontId="21" fillId="0" borderId="1" xfId="0" applyNumberFormat="1" applyFont="1" applyBorder="1"/>
    <xf numFmtId="182" fontId="21" fillId="0" borderId="32" xfId="0" applyNumberFormat="1" applyFont="1" applyBorder="1"/>
    <xf numFmtId="182" fontId="21" fillId="0" borderId="32" xfId="0" applyNumberFormat="1" applyFont="1" applyFill="1" applyBorder="1"/>
    <xf numFmtId="182" fontId="33" fillId="0" borderId="1" xfId="0" applyNumberFormat="1" applyFont="1" applyBorder="1"/>
    <xf numFmtId="182" fontId="33" fillId="0" borderId="32" xfId="0" applyNumberFormat="1" applyFont="1" applyBorder="1"/>
    <xf numFmtId="182" fontId="33" fillId="0" borderId="33" xfId="0" applyNumberFormat="1" applyFont="1" applyBorder="1"/>
    <xf numFmtId="1" fontId="21" fillId="8" borderId="0" xfId="13" applyNumberFormat="1" applyFont="1" applyFill="1">
      <alignment horizontal="left" vertical="center"/>
    </xf>
    <xf numFmtId="1" fontId="34" fillId="8" borderId="0" xfId="13" applyNumberFormat="1" applyFont="1" applyFill="1">
      <alignment horizontal="left" vertical="center"/>
    </xf>
    <xf numFmtId="9" fontId="21" fillId="8" borderId="9" xfId="17" applyFont="1" applyFill="1" applyBorder="1"/>
    <xf numFmtId="9" fontId="21" fillId="8" borderId="0" xfId="17" applyFont="1" applyFill="1" applyBorder="1"/>
    <xf numFmtId="9" fontId="21" fillId="8" borderId="10" xfId="17" applyFont="1" applyFill="1" applyBorder="1"/>
    <xf numFmtId="9" fontId="21" fillId="8" borderId="5" xfId="17" applyFont="1" applyFill="1" applyBorder="1"/>
    <xf numFmtId="9" fontId="33" fillId="8" borderId="0" xfId="17" applyFont="1" applyFill="1" applyBorder="1"/>
    <xf numFmtId="9" fontId="33" fillId="8" borderId="10" xfId="17" applyFont="1" applyFill="1" applyBorder="1"/>
    <xf numFmtId="164" fontId="34" fillId="8" borderId="0" xfId="13" applyNumberFormat="1" applyFont="1" applyFill="1" applyAlignment="1">
      <alignment horizontal="left" vertical="center" indent="1"/>
    </xf>
    <xf numFmtId="166" fontId="21" fillId="8" borderId="0" xfId="13" applyNumberFormat="1" applyFont="1" applyFill="1">
      <alignment horizontal="left" vertical="center"/>
    </xf>
    <xf numFmtId="166" fontId="34" fillId="8" borderId="0" xfId="13" applyNumberFormat="1" applyFont="1" applyFill="1">
      <alignment horizontal="left" vertical="center"/>
    </xf>
    <xf numFmtId="166" fontId="20" fillId="8" borderId="9" xfId="0" applyNumberFormat="1" applyFont="1" applyFill="1" applyBorder="1"/>
    <xf numFmtId="166" fontId="20" fillId="8" borderId="0" xfId="0" applyNumberFormat="1" applyFont="1" applyFill="1" applyBorder="1"/>
    <xf numFmtId="166" fontId="20" fillId="8" borderId="10" xfId="0" applyNumberFormat="1" applyFont="1" applyFill="1" applyBorder="1"/>
    <xf numFmtId="166" fontId="21" fillId="8" borderId="5" xfId="0" applyNumberFormat="1" applyFont="1" applyFill="1" applyBorder="1"/>
    <xf numFmtId="166" fontId="21" fillId="8" borderId="10" xfId="0" applyNumberFormat="1" applyFont="1" applyFill="1" applyBorder="1"/>
    <xf numFmtId="166" fontId="21" fillId="8" borderId="0" xfId="0" applyNumberFormat="1" applyFont="1" applyFill="1" applyBorder="1"/>
    <xf numFmtId="166" fontId="33" fillId="8" borderId="0" xfId="0" applyNumberFormat="1" applyFont="1" applyFill="1" applyBorder="1"/>
    <xf numFmtId="166" fontId="33" fillId="8" borderId="10" xfId="0" applyNumberFormat="1" applyFont="1" applyFill="1" applyBorder="1"/>
    <xf numFmtId="166" fontId="21" fillId="8" borderId="0" xfId="13" applyNumberFormat="1" applyFont="1" applyFill="1" applyAlignment="1">
      <alignment horizontal="left" vertical="center" indent="1"/>
    </xf>
    <xf numFmtId="2" fontId="33" fillId="0" borderId="3" xfId="0" applyNumberFormat="1" applyFont="1" applyBorder="1"/>
    <xf numFmtId="0" fontId="60" fillId="0" borderId="0" xfId="0" applyFont="1" applyBorder="1"/>
    <xf numFmtId="0" fontId="60" fillId="0" borderId="3" xfId="0" applyFont="1" applyBorder="1"/>
    <xf numFmtId="39" fontId="21" fillId="0" borderId="0" xfId="0" applyNumberFormat="1" applyFont="1" applyFill="1"/>
    <xf numFmtId="39" fontId="33" fillId="0" borderId="0" xfId="0" applyNumberFormat="1" applyFont="1"/>
    <xf numFmtId="185" fontId="21" fillId="0" borderId="0" xfId="0" applyNumberFormat="1" applyFont="1"/>
    <xf numFmtId="186" fontId="21" fillId="0" borderId="0" xfId="0" applyNumberFormat="1" applyFont="1"/>
    <xf numFmtId="178" fontId="21" fillId="0" borderId="0" xfId="0" applyNumberFormat="1" applyFont="1" applyBorder="1"/>
    <xf numFmtId="39" fontId="22" fillId="0" borderId="0" xfId="0" applyNumberFormat="1" applyFont="1" applyFill="1"/>
    <xf numFmtId="185" fontId="22" fillId="0" borderId="0" xfId="0" applyNumberFormat="1" applyFont="1" applyFill="1"/>
    <xf numFmtId="164" fontId="21" fillId="0" borderId="5" xfId="0" applyNumberFormat="1" applyFont="1" applyBorder="1"/>
    <xf numFmtId="0" fontId="35" fillId="6" borderId="26" xfId="28" applyFont="1" applyFill="1" applyBorder="1" applyAlignment="1">
      <alignment horizontal="right" vertical="center"/>
    </xf>
    <xf numFmtId="164" fontId="33" fillId="0" borderId="26" xfId="19" applyNumberFormat="1" applyFont="1" applyFill="1" applyBorder="1">
      <alignment horizontal="right" vertical="center"/>
    </xf>
    <xf numFmtId="1" fontId="33" fillId="0" borderId="26" xfId="0" applyNumberFormat="1" applyFont="1" applyBorder="1"/>
    <xf numFmtId="3" fontId="33" fillId="0" borderId="26" xfId="0" applyNumberFormat="1" applyFont="1" applyBorder="1"/>
    <xf numFmtId="9" fontId="38" fillId="0" borderId="26" xfId="17" applyFont="1" applyBorder="1"/>
    <xf numFmtId="0" fontId="38" fillId="0" borderId="26" xfId="0" applyFont="1" applyBorder="1" applyAlignment="1">
      <alignment horizontal="right"/>
    </xf>
    <xf numFmtId="168" fontId="38" fillId="0" borderId="26" xfId="17" applyNumberFormat="1" applyFont="1" applyBorder="1"/>
    <xf numFmtId="0" fontId="33" fillId="0" borderId="26" xfId="0" applyFont="1" applyBorder="1" applyAlignment="1">
      <alignment horizontal="right"/>
    </xf>
    <xf numFmtId="0" fontId="33" fillId="0" borderId="26" xfId="0" applyFont="1" applyBorder="1"/>
    <xf numFmtId="1" fontId="33" fillId="7" borderId="26" xfId="0" applyNumberFormat="1" applyFont="1" applyFill="1" applyBorder="1"/>
    <xf numFmtId="9" fontId="38" fillId="7" borderId="26" xfId="17" applyFont="1" applyFill="1" applyBorder="1"/>
    <xf numFmtId="9" fontId="33" fillId="8" borderId="26" xfId="17" applyFont="1" applyFill="1" applyBorder="1"/>
    <xf numFmtId="166" fontId="33" fillId="8" borderId="26" xfId="0" applyNumberFormat="1" applyFont="1" applyFill="1" applyBorder="1"/>
    <xf numFmtId="0" fontId="33" fillId="0" borderId="26" xfId="27" applyFont="1" applyFill="1" applyBorder="1" applyAlignment="1">
      <alignment horizontal="right" vertical="center"/>
    </xf>
    <xf numFmtId="9" fontId="33" fillId="0" borderId="26" xfId="17" applyFont="1" applyBorder="1"/>
    <xf numFmtId="4" fontId="33" fillId="0" borderId="26" xfId="0" applyNumberFormat="1" applyFont="1" applyBorder="1"/>
    <xf numFmtId="2" fontId="35" fillId="0" borderId="26" xfId="0" applyNumberFormat="1" applyFont="1" applyBorder="1"/>
    <xf numFmtId="2" fontId="33" fillId="0" borderId="26" xfId="0" applyNumberFormat="1" applyFont="1" applyBorder="1"/>
    <xf numFmtId="3" fontId="21" fillId="0" borderId="1" xfId="13" applyNumberFormat="1" applyFont="1" applyFill="1" applyBorder="1">
      <alignment horizontal="left" vertical="center"/>
    </xf>
    <xf numFmtId="3" fontId="34" fillId="6" borderId="1" xfId="13" applyNumberFormat="1" applyFont="1" applyFill="1" applyBorder="1">
      <alignment horizontal="left" vertical="center"/>
    </xf>
    <xf numFmtId="3" fontId="20" fillId="0" borderId="37" xfId="0" applyNumberFormat="1" applyFont="1" applyBorder="1"/>
    <xf numFmtId="3" fontId="20" fillId="0" borderId="1" xfId="0" applyNumberFormat="1" applyFont="1" applyBorder="1"/>
    <xf numFmtId="3" fontId="20" fillId="0" borderId="38" xfId="0" applyNumberFormat="1" applyFont="1" applyBorder="1"/>
    <xf numFmtId="3" fontId="21" fillId="0" borderId="32" xfId="0" applyNumberFormat="1" applyFont="1" applyBorder="1"/>
    <xf numFmtId="3" fontId="21" fillId="0" borderId="38" xfId="0" applyNumberFormat="1" applyFont="1" applyBorder="1"/>
    <xf numFmtId="3" fontId="21" fillId="0" borderId="1" xfId="0" applyNumberFormat="1" applyFont="1" applyBorder="1"/>
    <xf numFmtId="3" fontId="33" fillId="0" borderId="1" xfId="0" applyNumberFormat="1" applyFont="1" applyBorder="1"/>
    <xf numFmtId="1" fontId="33" fillId="0" borderId="0" xfId="27" applyNumberFormat="1" applyFont="1" applyFill="1" applyBorder="1" applyAlignment="1">
      <alignment horizontal="right" vertical="center"/>
    </xf>
    <xf numFmtId="1" fontId="33" fillId="0" borderId="10" xfId="27" applyNumberFormat="1" applyFont="1" applyFill="1" applyBorder="1" applyAlignment="1">
      <alignment horizontal="right" vertical="center"/>
    </xf>
    <xf numFmtId="181" fontId="33" fillId="0" borderId="0" xfId="0" applyNumberFormat="1" applyFont="1" applyFill="1"/>
    <xf numFmtId="39" fontId="22" fillId="0" borderId="0" xfId="0" applyNumberFormat="1" applyFont="1" applyBorder="1"/>
    <xf numFmtId="182" fontId="40" fillId="0" borderId="0" xfId="0" applyNumberFormat="1" applyFont="1"/>
    <xf numFmtId="7" fontId="21" fillId="0" borderId="0" xfId="27" applyNumberFormat="1" applyFont="1" applyFill="1" applyBorder="1" applyAlignment="1">
      <alignment horizontal="right" vertical="center"/>
    </xf>
    <xf numFmtId="37" fontId="21" fillId="0" borderId="0" xfId="0" applyNumberFormat="1" applyFont="1"/>
    <xf numFmtId="37" fontId="22" fillId="0" borderId="0" xfId="0" applyNumberFormat="1" applyFont="1" applyFill="1"/>
    <xf numFmtId="14" fontId="22" fillId="0" borderId="6" xfId="0" applyNumberFormat="1" applyFont="1" applyFill="1" applyBorder="1"/>
    <xf numFmtId="182" fontId="21" fillId="0" borderId="6" xfId="0" applyNumberFormat="1" applyFont="1" applyBorder="1"/>
    <xf numFmtId="182" fontId="21" fillId="0" borderId="2" xfId="0" applyNumberFormat="1" applyFont="1" applyBorder="1"/>
    <xf numFmtId="182" fontId="21" fillId="0" borderId="2" xfId="0" applyNumberFormat="1" applyFont="1" applyBorder="1" applyAlignment="1">
      <alignment horizontal="right"/>
    </xf>
    <xf numFmtId="0" fontId="21" fillId="0" borderId="6" xfId="0" applyFont="1" applyBorder="1"/>
    <xf numFmtId="9" fontId="21" fillId="0" borderId="6" xfId="17" applyFont="1" applyBorder="1"/>
    <xf numFmtId="164" fontId="40" fillId="0" borderId="0" xfId="27" applyNumberFormat="1" applyFont="1" applyFill="1" applyBorder="1">
      <alignment horizontal="left" vertical="center"/>
    </xf>
    <xf numFmtId="164" fontId="33" fillId="0" borderId="0" xfId="27" applyNumberFormat="1" applyFont="1" applyFill="1" applyBorder="1">
      <alignment horizontal="left" vertical="center"/>
    </xf>
    <xf numFmtId="164" fontId="38" fillId="0" borderId="26" xfId="27" applyNumberFormat="1" applyFont="1" applyFill="1" applyBorder="1" applyAlignment="1">
      <alignment horizontal="right" vertical="center"/>
    </xf>
    <xf numFmtId="164" fontId="20" fillId="0" borderId="5" xfId="27" applyNumberFormat="1" applyFont="1" applyFill="1" applyBorder="1">
      <alignment horizontal="left" vertical="center"/>
    </xf>
    <xf numFmtId="182" fontId="35" fillId="0" borderId="35" xfId="19" quotePrefix="1" applyNumberFormat="1" applyFont="1" applyFill="1" applyBorder="1" applyAlignment="1">
      <alignment horizontal="right" vertical="center"/>
    </xf>
    <xf numFmtId="182" fontId="35" fillId="0" borderId="1" xfId="0" applyNumberFormat="1" applyFont="1" applyFill="1" applyBorder="1"/>
    <xf numFmtId="182" fontId="35" fillId="0" borderId="33" xfId="0" applyNumberFormat="1" applyFont="1" applyFill="1" applyBorder="1"/>
    <xf numFmtId="9" fontId="33" fillId="0" borderId="0" xfId="17" applyFont="1" applyFill="1" applyBorder="1" applyAlignment="1">
      <alignment horizontal="left" vertical="center"/>
    </xf>
    <xf numFmtId="9" fontId="33" fillId="0" borderId="10" xfId="17" applyFont="1" applyFill="1" applyBorder="1" applyAlignment="1">
      <alignment horizontal="left" vertical="center"/>
    </xf>
    <xf numFmtId="9" fontId="33" fillId="0" borderId="26" xfId="17" applyFont="1" applyFill="1" applyBorder="1" applyAlignment="1">
      <alignment horizontal="left" vertical="center"/>
    </xf>
    <xf numFmtId="9" fontId="35" fillId="0" borderId="26" xfId="17" applyFont="1" applyBorder="1" applyAlignment="1">
      <alignment horizontal="right"/>
    </xf>
    <xf numFmtId="9" fontId="21" fillId="0" borderId="0" xfId="17" applyFont="1" applyFill="1" applyBorder="1" applyAlignment="1">
      <alignment horizontal="left" vertical="center"/>
    </xf>
    <xf numFmtId="9" fontId="21" fillId="0" borderId="0" xfId="17" applyFont="1" applyFill="1" applyBorder="1" applyAlignment="1">
      <alignment horizontal="center" vertical="center"/>
    </xf>
    <xf numFmtId="9" fontId="33" fillId="0" borderId="0" xfId="0" applyNumberFormat="1" applyFont="1" applyBorder="1"/>
    <xf numFmtId="187" fontId="32" fillId="0" borderId="0" xfId="0" applyNumberFormat="1" applyFont="1" applyBorder="1" applyAlignment="1">
      <alignment horizontal="right"/>
    </xf>
    <xf numFmtId="1" fontId="21" fillId="0" borderId="0" xfId="27" applyNumberFormat="1" applyFont="1" applyFill="1" applyBorder="1" applyAlignment="1">
      <alignment horizontal="right" vertical="center"/>
    </xf>
    <xf numFmtId="9" fontId="32" fillId="0" borderId="9" xfId="17" applyNumberFormat="1" applyFont="1" applyBorder="1"/>
    <xf numFmtId="182" fontId="21" fillId="0" borderId="0" xfId="17" applyNumberFormat="1" applyFont="1"/>
    <xf numFmtId="182" fontId="21" fillId="7" borderId="10" xfId="0" applyNumberFormat="1" applyFont="1" applyFill="1" applyBorder="1"/>
    <xf numFmtId="3" fontId="32" fillId="0" borderId="5" xfId="17" applyNumberFormat="1" applyFont="1" applyBorder="1"/>
    <xf numFmtId="3" fontId="32" fillId="0" borderId="0" xfId="17" applyNumberFormat="1" applyFont="1" applyBorder="1" applyAlignment="1">
      <alignment horizontal="right"/>
    </xf>
    <xf numFmtId="3" fontId="38" fillId="0" borderId="0" xfId="17" applyNumberFormat="1" applyFont="1" applyBorder="1" applyAlignment="1">
      <alignment horizontal="right"/>
    </xf>
    <xf numFmtId="3" fontId="33" fillId="0" borderId="26" xfId="17" applyNumberFormat="1" applyFont="1" applyBorder="1"/>
    <xf numFmtId="2" fontId="21" fillId="0" borderId="1" xfId="27" applyNumberFormat="1" applyFont="1" applyFill="1" applyBorder="1">
      <alignment horizontal="left" vertical="center"/>
    </xf>
    <xf numFmtId="2" fontId="34" fillId="6" borderId="1" xfId="27" applyNumberFormat="1" applyFont="1" applyFill="1" applyBorder="1">
      <alignment horizontal="left" vertical="center"/>
    </xf>
    <xf numFmtId="0" fontId="36" fillId="0" borderId="37" xfId="27" applyFont="1" applyFill="1" applyBorder="1">
      <alignment horizontal="left" vertical="center"/>
    </xf>
    <xf numFmtId="0" fontId="36" fillId="0" borderId="1" xfId="27" applyFont="1" applyFill="1" applyBorder="1">
      <alignment horizontal="left" vertical="center"/>
    </xf>
    <xf numFmtId="0" fontId="36" fillId="0" borderId="38" xfId="27" applyFont="1" applyFill="1" applyBorder="1">
      <alignment horizontal="left" vertical="center"/>
    </xf>
    <xf numFmtId="0" fontId="36" fillId="0" borderId="32" xfId="27" applyFont="1" applyFill="1" applyBorder="1">
      <alignment horizontal="left" vertical="center"/>
    </xf>
    <xf numFmtId="0" fontId="21" fillId="0" borderId="32" xfId="27" applyFont="1" applyFill="1" applyBorder="1">
      <alignment horizontal="left" vertical="center"/>
    </xf>
    <xf numFmtId="0" fontId="21" fillId="0" borderId="1" xfId="27" applyFont="1" applyFill="1" applyBorder="1">
      <alignment horizontal="left" vertical="center"/>
    </xf>
    <xf numFmtId="0" fontId="21" fillId="0" borderId="38" xfId="27" applyFont="1" applyFill="1" applyBorder="1">
      <alignment horizontal="left" vertical="center"/>
    </xf>
    <xf numFmtId="0" fontId="33" fillId="0" borderId="1" xfId="27" applyFont="1" applyFill="1" applyBorder="1">
      <alignment horizontal="left" vertical="center"/>
    </xf>
    <xf numFmtId="0" fontId="33" fillId="0" borderId="38" xfId="27" applyFont="1" applyFill="1" applyBorder="1">
      <alignment horizontal="left" vertical="center"/>
    </xf>
    <xf numFmtId="0" fontId="33" fillId="0" borderId="33" xfId="27" applyFont="1" applyFill="1" applyBorder="1">
      <alignment horizontal="left" vertical="center"/>
    </xf>
    <xf numFmtId="39" fontId="21" fillId="0" borderId="0" xfId="27" applyNumberFormat="1" applyFont="1" applyFill="1" applyBorder="1" applyAlignment="1">
      <alignment horizontal="right" vertical="center"/>
    </xf>
    <xf numFmtId="2" fontId="17" fillId="4" borderId="0" xfId="0" applyNumberFormat="1" applyFont="1" applyFill="1" applyBorder="1"/>
    <xf numFmtId="168" fontId="21" fillId="8" borderId="5" xfId="17" applyNumberFormat="1" applyFont="1" applyFill="1" applyBorder="1"/>
    <xf numFmtId="168" fontId="21" fillId="8" borderId="0" xfId="17" applyNumberFormat="1" applyFont="1" applyFill="1" applyBorder="1"/>
    <xf numFmtId="168" fontId="21" fillId="8" borderId="10" xfId="17" applyNumberFormat="1" applyFont="1" applyFill="1" applyBorder="1"/>
    <xf numFmtId="168" fontId="33" fillId="8" borderId="0" xfId="17" applyNumberFormat="1" applyFont="1" applyFill="1" applyBorder="1"/>
    <xf numFmtId="168" fontId="33" fillId="8" borderId="26" xfId="17" applyNumberFormat="1" applyFont="1" applyFill="1" applyBorder="1"/>
    <xf numFmtId="182" fontId="21" fillId="10" borderId="0" xfId="17" applyNumberFormat="1" applyFont="1" applyFill="1" applyBorder="1" applyAlignment="1">
      <alignment horizontal="right" vertical="center"/>
    </xf>
    <xf numFmtId="182" fontId="21" fillId="10" borderId="0" xfId="27" applyNumberFormat="1" applyFont="1" applyFill="1" applyBorder="1">
      <alignment horizontal="left" vertical="center"/>
    </xf>
    <xf numFmtId="182" fontId="21" fillId="10" borderId="0" xfId="27" applyNumberFormat="1" applyFont="1" applyFill="1" applyBorder="1" applyAlignment="1">
      <alignment horizontal="right" vertical="center"/>
    </xf>
    <xf numFmtId="182" fontId="33" fillId="10" borderId="0" xfId="27" applyNumberFormat="1" applyFont="1" applyFill="1" applyBorder="1" applyAlignment="1">
      <alignment horizontal="right" vertical="center"/>
    </xf>
    <xf numFmtId="182" fontId="21" fillId="4" borderId="0" xfId="17" applyNumberFormat="1" applyFont="1" applyFill="1" applyBorder="1" applyAlignment="1">
      <alignment horizontal="right" vertical="center"/>
    </xf>
    <xf numFmtId="182" fontId="20" fillId="4" borderId="0" xfId="17" applyNumberFormat="1" applyFont="1" applyFill="1" applyBorder="1" applyAlignment="1">
      <alignment horizontal="right" vertical="center"/>
    </xf>
    <xf numFmtId="182" fontId="38" fillId="4" borderId="0" xfId="27" applyNumberFormat="1" applyFont="1" applyFill="1" applyBorder="1" applyAlignment="1">
      <alignment horizontal="right" vertical="center"/>
    </xf>
    <xf numFmtId="182" fontId="33" fillId="4" borderId="0" xfId="17" applyNumberFormat="1" applyFont="1" applyFill="1" applyBorder="1" applyAlignment="1">
      <alignment horizontal="right" vertical="center"/>
    </xf>
    <xf numFmtId="182" fontId="36" fillId="4" borderId="5" xfId="27" applyNumberFormat="1" applyFont="1" applyFill="1" applyBorder="1">
      <alignment horizontal="left" vertical="center"/>
    </xf>
    <xf numFmtId="182" fontId="21" fillId="4" borderId="0" xfId="0" applyNumberFormat="1" applyFont="1" applyFill="1"/>
    <xf numFmtId="182" fontId="40" fillId="4" borderId="0" xfId="17" applyNumberFormat="1" applyFont="1" applyFill="1" applyBorder="1" applyAlignment="1">
      <alignment horizontal="right" vertical="center"/>
    </xf>
    <xf numFmtId="182" fontId="55" fillId="4" borderId="0" xfId="27" applyNumberFormat="1" applyFont="1" applyFill="1" applyBorder="1" applyAlignment="1">
      <alignment horizontal="right" vertical="center"/>
    </xf>
    <xf numFmtId="182" fontId="53" fillId="4" borderId="0" xfId="17" applyNumberFormat="1" applyFont="1" applyFill="1" applyBorder="1" applyAlignment="1">
      <alignment horizontal="right" vertical="center"/>
    </xf>
    <xf numFmtId="182" fontId="53" fillId="4" borderId="0" xfId="27" applyNumberFormat="1" applyFont="1" applyFill="1" applyBorder="1" applyAlignment="1">
      <alignment horizontal="right" vertical="center"/>
    </xf>
    <xf numFmtId="182" fontId="32" fillId="4" borderId="0" xfId="17" applyNumberFormat="1" applyFont="1" applyFill="1" applyBorder="1" applyAlignment="1">
      <alignment horizontal="right" vertical="center"/>
    </xf>
    <xf numFmtId="182" fontId="38" fillId="4" borderId="0" xfId="17" applyNumberFormat="1" applyFont="1" applyFill="1" applyBorder="1" applyAlignment="1">
      <alignment horizontal="right" vertical="center"/>
    </xf>
    <xf numFmtId="168" fontId="33" fillId="0" borderId="0" xfId="17" applyNumberFormat="1" applyFont="1" applyFill="1" applyBorder="1" applyAlignment="1">
      <alignment horizontal="right" vertical="center"/>
    </xf>
    <xf numFmtId="0" fontId="21" fillId="0" borderId="0" xfId="0" quotePrefix="1" applyFont="1" applyBorder="1"/>
    <xf numFmtId="10" fontId="21" fillId="0" borderId="0" xfId="0" applyNumberFormat="1" applyFont="1" applyBorder="1"/>
    <xf numFmtId="0" fontId="21" fillId="0" borderId="3" xfId="0" quotePrefix="1" applyFont="1" applyBorder="1"/>
    <xf numFmtId="4" fontId="40" fillId="0" borderId="0" xfId="0" applyNumberFormat="1" applyFont="1" applyBorder="1"/>
    <xf numFmtId="0" fontId="5" fillId="4" borderId="2" xfId="27" applyFont="1" applyFill="1" applyBorder="1">
      <alignment horizontal="left" vertical="center"/>
    </xf>
    <xf numFmtId="0" fontId="1" fillId="4" borderId="0" xfId="0" applyFont="1" applyFill="1"/>
    <xf numFmtId="164" fontId="17" fillId="4" borderId="0" xfId="19" quotePrefix="1" applyNumberFormat="1" applyFont="1" applyFill="1" applyBorder="1" applyAlignment="1">
      <alignment horizontal="right" vertical="center"/>
    </xf>
    <xf numFmtId="9" fontId="7" fillId="4" borderId="0" xfId="17" applyFont="1" applyFill="1" applyBorder="1"/>
    <xf numFmtId="2" fontId="7" fillId="4" borderId="0" xfId="0" applyNumberFormat="1" applyFont="1" applyFill="1" applyBorder="1"/>
    <xf numFmtId="166" fontId="22" fillId="0" borderId="0" xfId="0" applyNumberFormat="1" applyFont="1" applyFill="1" applyBorder="1"/>
    <xf numFmtId="166" fontId="21" fillId="0" borderId="0" xfId="0" applyNumberFormat="1" applyFont="1" applyFill="1" applyBorder="1"/>
    <xf numFmtId="9" fontId="33" fillId="0" borderId="0" xfId="17" applyFont="1" applyFill="1" applyBorder="1"/>
    <xf numFmtId="182" fontId="33" fillId="0" borderId="0" xfId="0" applyNumberFormat="1" applyFont="1" applyFill="1" applyAlignment="1">
      <alignment horizontal="right"/>
    </xf>
    <xf numFmtId="0" fontId="42" fillId="0" borderId="34" xfId="28" applyFont="1" applyFill="1" applyBorder="1">
      <alignment horizontal="left" vertical="center"/>
    </xf>
    <xf numFmtId="168" fontId="43" fillId="0" borderId="26" xfId="17" applyNumberFormat="1" applyFont="1" applyBorder="1"/>
    <xf numFmtId="0" fontId="42" fillId="0" borderId="26" xfId="0" applyFont="1" applyBorder="1"/>
    <xf numFmtId="168" fontId="61" fillId="0" borderId="26" xfId="17" applyNumberFormat="1" applyFont="1" applyBorder="1"/>
    <xf numFmtId="3" fontId="43" fillId="0" borderId="26" xfId="17" applyNumberFormat="1" applyFont="1" applyBorder="1"/>
    <xf numFmtId="9" fontId="43" fillId="0" borderId="26" xfId="17" applyNumberFormat="1" applyFont="1" applyBorder="1"/>
    <xf numFmtId="4" fontId="42" fillId="0" borderId="26" xfId="0" applyNumberFormat="1" applyFont="1" applyBorder="1"/>
    <xf numFmtId="181" fontId="22" fillId="0" borderId="26" xfId="27" applyNumberFormat="1" applyFont="1" applyFill="1" applyBorder="1" applyAlignment="1">
      <alignment horizontal="right" vertical="center"/>
    </xf>
    <xf numFmtId="181" fontId="22" fillId="0" borderId="31" xfId="27" applyNumberFormat="1" applyFont="1" applyFill="1" applyBorder="1" applyAlignment="1">
      <alignment horizontal="right" vertical="center"/>
    </xf>
    <xf numFmtId="168" fontId="21" fillId="0" borderId="0" xfId="17" applyNumberFormat="1" applyFont="1" applyFill="1" applyBorder="1" applyAlignment="1">
      <alignment horizontal="right" vertical="center"/>
    </xf>
    <xf numFmtId="164" fontId="32" fillId="0" borderId="5" xfId="27" applyNumberFormat="1" applyFont="1" applyFill="1" applyBorder="1" applyAlignment="1">
      <alignment horizontal="right" vertical="center"/>
    </xf>
    <xf numFmtId="168" fontId="21" fillId="0" borderId="0" xfId="17" applyNumberFormat="1" applyFont="1" applyFill="1" applyBorder="1" applyAlignment="1">
      <alignment horizontal="left" vertical="center"/>
    </xf>
    <xf numFmtId="1" fontId="21" fillId="0" borderId="5" xfId="27" applyNumberFormat="1" applyFont="1" applyFill="1" applyBorder="1" applyAlignment="1">
      <alignment horizontal="right" vertical="center"/>
    </xf>
    <xf numFmtId="9" fontId="21" fillId="0" borderId="5" xfId="17" applyFont="1" applyFill="1" applyBorder="1" applyAlignment="1">
      <alignment horizontal="left" vertical="center"/>
    </xf>
    <xf numFmtId="2" fontId="21" fillId="0" borderId="3" xfId="0" applyNumberFormat="1" applyFont="1" applyBorder="1"/>
    <xf numFmtId="1" fontId="21" fillId="0" borderId="10" xfId="27" applyNumberFormat="1" applyFont="1" applyFill="1" applyBorder="1" applyAlignment="1">
      <alignment horizontal="right" vertical="center"/>
    </xf>
    <xf numFmtId="0" fontId="21" fillId="0" borderId="9" xfId="27" applyFont="1" applyFill="1" applyBorder="1">
      <alignment horizontal="left" vertical="center"/>
    </xf>
    <xf numFmtId="0" fontId="32" fillId="0" borderId="5" xfId="27" applyFont="1" applyFill="1" applyBorder="1">
      <alignment horizontal="left" vertical="center"/>
    </xf>
    <xf numFmtId="168" fontId="21" fillId="0" borderId="5" xfId="17" applyNumberFormat="1" applyFont="1" applyFill="1" applyBorder="1" applyAlignment="1">
      <alignment horizontal="left" vertical="center"/>
    </xf>
    <xf numFmtId="0" fontId="21" fillId="2" borderId="5" xfId="27" applyFont="1" applyFill="1" applyBorder="1">
      <alignment horizontal="left" vertical="center"/>
    </xf>
    <xf numFmtId="0" fontId="22" fillId="0" borderId="0" xfId="0" applyFont="1" applyBorder="1"/>
    <xf numFmtId="9" fontId="21" fillId="0" borderId="0" xfId="0" applyNumberFormat="1" applyFont="1" applyBorder="1" applyAlignment="1">
      <alignment horizontal="right"/>
    </xf>
    <xf numFmtId="3" fontId="21" fillId="0" borderId="0" xfId="0" applyNumberFormat="1" applyFont="1" applyBorder="1" applyAlignment="1">
      <alignment horizontal="right"/>
    </xf>
    <xf numFmtId="164" fontId="21" fillId="0" borderId="0" xfId="0" applyNumberFormat="1" applyFont="1" applyBorder="1" applyAlignment="1">
      <alignment horizontal="right"/>
    </xf>
    <xf numFmtId="1" fontId="62" fillId="7" borderId="0" xfId="0" applyNumberFormat="1" applyFont="1" applyFill="1" applyAlignment="1">
      <alignment horizontal="right"/>
    </xf>
    <xf numFmtId="168" fontId="21" fillId="7" borderId="0" xfId="17" applyNumberFormat="1" applyFont="1" applyFill="1" applyAlignment="1">
      <alignment horizontal="right"/>
    </xf>
    <xf numFmtId="164" fontId="20" fillId="7" borderId="0" xfId="0" applyNumberFormat="1" applyFont="1" applyFill="1" applyAlignment="1">
      <alignment horizontal="right"/>
    </xf>
    <xf numFmtId="164" fontId="21" fillId="7" borderId="0" xfId="0" applyNumberFormat="1" applyFont="1" applyFill="1" applyAlignment="1">
      <alignment horizontal="right"/>
    </xf>
    <xf numFmtId="9" fontId="40" fillId="7" borderId="0" xfId="17" applyFont="1" applyFill="1" applyAlignment="1">
      <alignment horizontal="right"/>
    </xf>
    <xf numFmtId="43" fontId="21" fillId="7" borderId="0" xfId="9" applyFont="1" applyFill="1" applyAlignment="1">
      <alignment horizontal="right"/>
    </xf>
    <xf numFmtId="2" fontId="21" fillId="7" borderId="5" xfId="0" applyNumberFormat="1" applyFont="1" applyFill="1" applyBorder="1" applyAlignment="1">
      <alignment horizontal="right"/>
    </xf>
    <xf numFmtId="43" fontId="62" fillId="7" borderId="0" xfId="17" applyNumberFormat="1" applyFont="1" applyFill="1" applyAlignment="1">
      <alignment horizontal="right"/>
    </xf>
    <xf numFmtId="0" fontId="63" fillId="6" borderId="0" xfId="0" applyFont="1" applyFill="1"/>
    <xf numFmtId="0" fontId="63" fillId="6" borderId="5" xfId="0" applyFont="1" applyFill="1" applyBorder="1"/>
    <xf numFmtId="0" fontId="63" fillId="0" borderId="0" xfId="0" applyFont="1" applyFill="1"/>
    <xf numFmtId="0" fontId="63" fillId="2" borderId="5" xfId="0" applyFont="1" applyFill="1" applyBorder="1"/>
    <xf numFmtId="0" fontId="64" fillId="0" borderId="0" xfId="0" applyFont="1"/>
    <xf numFmtId="0" fontId="65" fillId="0" borderId="0" xfId="0" applyFont="1" applyFill="1"/>
    <xf numFmtId="0" fontId="65" fillId="0" borderId="5" xfId="0" applyFont="1" applyFill="1" applyBorder="1"/>
    <xf numFmtId="0" fontId="65" fillId="2" borderId="5" xfId="0" applyFont="1" applyFill="1" applyBorder="1"/>
    <xf numFmtId="1" fontId="64" fillId="0" borderId="0" xfId="0" applyNumberFormat="1" applyFont="1" applyAlignment="1">
      <alignment horizontal="right"/>
    </xf>
    <xf numFmtId="1" fontId="64" fillId="0" borderId="5" xfId="0" applyNumberFormat="1" applyFont="1" applyFill="1" applyBorder="1"/>
    <xf numFmtId="0" fontId="64" fillId="0" borderId="0" xfId="0" applyFont="1" applyFill="1"/>
    <xf numFmtId="0" fontId="64" fillId="2" borderId="5" xfId="0" applyFont="1" applyFill="1" applyBorder="1"/>
    <xf numFmtId="1" fontId="64" fillId="0" borderId="0" xfId="0" applyNumberFormat="1" applyFont="1"/>
    <xf numFmtId="1" fontId="63" fillId="0" borderId="0" xfId="0" applyNumberFormat="1" applyFont="1" applyFill="1"/>
    <xf numFmtId="1" fontId="63" fillId="0" borderId="5" xfId="0" applyNumberFormat="1" applyFont="1" applyFill="1" applyBorder="1"/>
    <xf numFmtId="2" fontId="64" fillId="0" borderId="0" xfId="27" applyNumberFormat="1" applyFont="1" applyFill="1" applyBorder="1">
      <alignment horizontal="left" vertical="center"/>
    </xf>
    <xf numFmtId="0" fontId="64" fillId="0" borderId="0" xfId="27" applyFont="1" applyFill="1" applyBorder="1">
      <alignment horizontal="left" vertical="center"/>
    </xf>
    <xf numFmtId="0" fontId="64" fillId="0" borderId="5" xfId="27" applyFont="1" applyFill="1" applyBorder="1">
      <alignment horizontal="left" vertical="center"/>
    </xf>
    <xf numFmtId="0" fontId="65" fillId="7" borderId="0" xfId="0" applyFont="1" applyFill="1"/>
    <xf numFmtId="0" fontId="63" fillId="7" borderId="0" xfId="0" applyFont="1" applyFill="1"/>
    <xf numFmtId="0" fontId="63" fillId="7" borderId="5" xfId="0" applyFont="1" applyFill="1" applyBorder="1"/>
    <xf numFmtId="0" fontId="64" fillId="7" borderId="0" xfId="0" applyFont="1" applyFill="1"/>
    <xf numFmtId="1" fontId="64" fillId="7" borderId="0" xfId="0" applyNumberFormat="1" applyFont="1" applyFill="1" applyBorder="1"/>
    <xf numFmtId="1" fontId="64" fillId="7" borderId="5" xfId="0" applyNumberFormat="1" applyFont="1" applyFill="1" applyBorder="1"/>
    <xf numFmtId="1" fontId="64" fillId="7" borderId="0" xfId="0" applyNumberFormat="1" applyFont="1" applyFill="1"/>
    <xf numFmtId="2" fontId="64" fillId="7" borderId="0" xfId="27" applyNumberFormat="1" applyFont="1" applyFill="1" applyBorder="1">
      <alignment horizontal="left" vertical="center"/>
    </xf>
    <xf numFmtId="0" fontId="64" fillId="7" borderId="0" xfId="27" applyFont="1" applyFill="1" applyBorder="1">
      <alignment horizontal="left" vertical="center"/>
    </xf>
    <xf numFmtId="0" fontId="64" fillId="7" borderId="5" xfId="27" applyFont="1" applyFill="1" applyBorder="1">
      <alignment horizontal="left" vertical="center"/>
    </xf>
    <xf numFmtId="9" fontId="64" fillId="7" borderId="0" xfId="17" applyFont="1" applyFill="1" applyAlignment="1">
      <alignment horizontal="right"/>
    </xf>
    <xf numFmtId="9" fontId="64" fillId="7" borderId="5" xfId="17" applyFont="1" applyFill="1" applyBorder="1" applyAlignment="1">
      <alignment horizontal="right"/>
    </xf>
    <xf numFmtId="0" fontId="64" fillId="2" borderId="5" xfId="27" applyFont="1" applyFill="1" applyBorder="1">
      <alignment horizontal="left" vertical="center"/>
    </xf>
    <xf numFmtId="0" fontId="63" fillId="0" borderId="5" xfId="0" applyFont="1" applyFill="1" applyBorder="1"/>
    <xf numFmtId="0" fontId="64" fillId="0" borderId="0" xfId="0" applyFont="1" applyAlignment="1">
      <alignment horizontal="right"/>
    </xf>
    <xf numFmtId="0" fontId="64" fillId="0" borderId="5" xfId="0" applyFont="1" applyBorder="1" applyAlignment="1">
      <alignment horizontal="right"/>
    </xf>
    <xf numFmtId="9" fontId="64" fillId="0" borderId="0" xfId="17" applyFont="1" applyAlignment="1">
      <alignment horizontal="right"/>
    </xf>
    <xf numFmtId="9" fontId="64" fillId="0" borderId="5" xfId="17" applyFont="1" applyBorder="1" applyAlignment="1">
      <alignment horizontal="right"/>
    </xf>
    <xf numFmtId="0" fontId="63" fillId="0" borderId="0" xfId="0" applyFont="1"/>
    <xf numFmtId="0" fontId="63" fillId="0" borderId="0" xfId="0" applyFont="1" applyAlignment="1">
      <alignment horizontal="right"/>
    </xf>
    <xf numFmtId="0" fontId="63" fillId="0" borderId="5" xfId="0" applyFont="1" applyBorder="1" applyAlignment="1">
      <alignment horizontal="right"/>
    </xf>
    <xf numFmtId="9" fontId="63" fillId="0" borderId="0" xfId="17" applyFont="1" applyAlignment="1">
      <alignment horizontal="right"/>
    </xf>
    <xf numFmtId="9" fontId="63" fillId="0" borderId="5" xfId="17" applyFont="1" applyBorder="1" applyAlignment="1">
      <alignment horizontal="right"/>
    </xf>
    <xf numFmtId="9" fontId="63" fillId="0" borderId="0" xfId="17" applyNumberFormat="1" applyFont="1" applyAlignment="1">
      <alignment horizontal="right"/>
    </xf>
    <xf numFmtId="2" fontId="66" fillId="0" borderId="0" xfId="27" applyNumberFormat="1" applyFont="1" applyFill="1" applyBorder="1">
      <alignment horizontal="left" vertical="center"/>
    </xf>
    <xf numFmtId="0" fontId="66" fillId="0" borderId="0" xfId="27" applyFont="1" applyFill="1" applyBorder="1">
      <alignment horizontal="left" vertical="center"/>
    </xf>
    <xf numFmtId="0" fontId="66" fillId="0" borderId="5" xfId="27" applyFont="1" applyFill="1" applyBorder="1">
      <alignment horizontal="left" vertical="center"/>
    </xf>
    <xf numFmtId="0" fontId="66" fillId="2" borderId="5" xfId="27" applyFont="1" applyFill="1" applyBorder="1">
      <alignment horizontal="left" vertical="center"/>
    </xf>
    <xf numFmtId="9" fontId="64" fillId="0" borderId="0" xfId="0" applyNumberFormat="1" applyFont="1" applyAlignment="1">
      <alignment horizontal="right"/>
    </xf>
    <xf numFmtId="9" fontId="64" fillId="0" borderId="5" xfId="0" applyNumberFormat="1" applyFont="1" applyBorder="1" applyAlignment="1">
      <alignment horizontal="right"/>
    </xf>
    <xf numFmtId="9" fontId="42" fillId="7" borderId="0" xfId="17" applyFont="1" applyFill="1" applyAlignment="1">
      <alignment horizontal="right"/>
    </xf>
    <xf numFmtId="168" fontId="42" fillId="7" borderId="0" xfId="17" applyNumberFormat="1" applyFont="1" applyFill="1" applyAlignment="1">
      <alignment horizontal="right"/>
    </xf>
    <xf numFmtId="168" fontId="42" fillId="7" borderId="5" xfId="17" applyNumberFormat="1" applyFont="1" applyFill="1" applyBorder="1" applyAlignment="1">
      <alignment horizontal="right"/>
    </xf>
    <xf numFmtId="168" fontId="62" fillId="7" borderId="0" xfId="17" applyNumberFormat="1" applyFont="1" applyFill="1" applyAlignment="1">
      <alignment horizontal="right"/>
    </xf>
    <xf numFmtId="9" fontId="42" fillId="7" borderId="0" xfId="17" applyNumberFormat="1" applyFont="1" applyFill="1" applyAlignment="1">
      <alignment horizontal="right"/>
    </xf>
    <xf numFmtId="10" fontId="22" fillId="0" borderId="5" xfId="17" applyNumberFormat="1" applyFont="1" applyBorder="1" applyAlignment="1">
      <alignment horizontal="right"/>
    </xf>
    <xf numFmtId="43" fontId="21" fillId="7" borderId="0" xfId="9" applyNumberFormat="1" applyFont="1" applyFill="1" applyAlignment="1">
      <alignment horizontal="right"/>
    </xf>
    <xf numFmtId="190" fontId="21" fillId="0" borderId="0" xfId="9" applyNumberFormat="1" applyFont="1" applyFill="1" applyBorder="1" applyAlignment="1">
      <alignment horizontal="left" vertical="center"/>
    </xf>
    <xf numFmtId="168" fontId="32" fillId="4" borderId="0" xfId="17" applyNumberFormat="1" applyFont="1" applyFill="1" applyBorder="1" applyAlignment="1">
      <alignment horizontal="left" vertical="center"/>
    </xf>
    <xf numFmtId="168" fontId="21" fillId="4" borderId="0" xfId="17" applyNumberFormat="1" applyFont="1" applyFill="1"/>
    <xf numFmtId="168" fontId="21" fillId="0" borderId="0" xfId="17" applyNumberFormat="1" applyFont="1" applyFill="1"/>
    <xf numFmtId="168" fontId="21" fillId="2" borderId="5" xfId="17" applyNumberFormat="1" applyFont="1" applyFill="1" applyBorder="1"/>
    <xf numFmtId="182" fontId="38" fillId="0" borderId="0" xfId="10" applyNumberFormat="1" applyFont="1" applyFill="1" applyBorder="1" applyAlignment="1">
      <alignment horizontal="right" vertical="center"/>
    </xf>
    <xf numFmtId="182" fontId="53" fillId="0" borderId="0" xfId="27" applyNumberFormat="1" applyFont="1" applyFill="1" applyBorder="1" applyAlignment="1">
      <alignment horizontal="right" vertical="center"/>
    </xf>
    <xf numFmtId="182" fontId="20" fillId="0" borderId="0" xfId="27" applyNumberFormat="1" applyFont="1" applyFill="1" applyBorder="1" applyAlignment="1">
      <alignment horizontal="right" vertical="center"/>
    </xf>
    <xf numFmtId="182" fontId="20" fillId="0" borderId="0" xfId="0" applyNumberFormat="1" applyFont="1" applyFill="1" applyAlignment="1">
      <alignment horizontal="right"/>
    </xf>
    <xf numFmtId="182" fontId="33" fillId="0" borderId="0" xfId="27" applyNumberFormat="1" applyFont="1" applyFill="1" applyBorder="1" applyAlignment="1">
      <alignment horizontal="right" vertical="center"/>
    </xf>
    <xf numFmtId="181" fontId="28" fillId="0" borderId="3" xfId="27" applyNumberFormat="1" applyFont="1" applyFill="1" applyBorder="1">
      <alignment horizontal="left" vertical="center"/>
    </xf>
    <xf numFmtId="164" fontId="45" fillId="0" borderId="35" xfId="19" quotePrefix="1" applyNumberFormat="1" applyFont="1" applyFill="1" applyBorder="1" applyAlignment="1">
      <alignment horizontal="right" vertical="center"/>
    </xf>
    <xf numFmtId="0" fontId="42" fillId="0" borderId="26" xfId="27" applyFont="1" applyFill="1" applyBorder="1">
      <alignment horizontal="left" vertical="center"/>
    </xf>
    <xf numFmtId="3" fontId="45" fillId="0" borderId="26" xfId="0" applyNumberFormat="1" applyFont="1" applyFill="1" applyBorder="1"/>
    <xf numFmtId="0" fontId="43" fillId="0" borderId="26" xfId="0" applyFont="1" applyBorder="1" applyAlignment="1">
      <alignment horizontal="right"/>
    </xf>
    <xf numFmtId="3" fontId="42" fillId="0" borderId="0" xfId="0" applyNumberFormat="1" applyFont="1" applyBorder="1"/>
    <xf numFmtId="3" fontId="42" fillId="0" borderId="26" xfId="0" applyNumberFormat="1" applyFont="1" applyBorder="1"/>
    <xf numFmtId="1" fontId="42" fillId="0" borderId="26" xfId="0" applyNumberFormat="1" applyFont="1" applyBorder="1"/>
    <xf numFmtId="1" fontId="42" fillId="0" borderId="0" xfId="27" applyNumberFormat="1" applyFont="1" applyFill="1" applyBorder="1" applyAlignment="1">
      <alignment horizontal="right" vertical="center"/>
    </xf>
    <xf numFmtId="0" fontId="42" fillId="0" borderId="0" xfId="0" applyFont="1" applyBorder="1"/>
    <xf numFmtId="168" fontId="42" fillId="0" borderId="0" xfId="0" applyNumberFormat="1" applyFont="1" applyBorder="1"/>
    <xf numFmtId="168" fontId="43" fillId="0" borderId="0" xfId="17" applyNumberFormat="1" applyFont="1" applyBorder="1" applyAlignment="1">
      <alignment horizontal="right"/>
    </xf>
    <xf numFmtId="3" fontId="43" fillId="0" borderId="0" xfId="17" applyNumberFormat="1" applyFont="1" applyBorder="1" applyAlignment="1">
      <alignment horizontal="right"/>
    </xf>
    <xf numFmtId="2" fontId="45" fillId="0" borderId="36" xfId="0" applyNumberFormat="1" applyFont="1" applyFill="1" applyBorder="1"/>
    <xf numFmtId="9" fontId="42" fillId="0" borderId="26" xfId="17" applyFont="1" applyBorder="1"/>
    <xf numFmtId="9" fontId="42" fillId="0" borderId="26" xfId="17" applyNumberFormat="1" applyFont="1" applyBorder="1"/>
    <xf numFmtId="2" fontId="42" fillId="0" borderId="26" xfId="0" applyNumberFormat="1" applyFont="1" applyBorder="1"/>
    <xf numFmtId="3" fontId="42" fillId="0" borderId="33" xfId="0" applyNumberFormat="1" applyFont="1" applyBorder="1"/>
    <xf numFmtId="191" fontId="21" fillId="0" borderId="0" xfId="0" applyNumberFormat="1" applyFont="1"/>
    <xf numFmtId="185" fontId="22" fillId="0" borderId="0" xfId="0" applyNumberFormat="1" applyFont="1"/>
    <xf numFmtId="3" fontId="21" fillId="4" borderId="0" xfId="17" applyNumberFormat="1" applyFont="1" applyFill="1" applyBorder="1"/>
    <xf numFmtId="39" fontId="40" fillId="0" borderId="0" xfId="0" applyNumberFormat="1" applyFont="1"/>
    <xf numFmtId="37" fontId="40" fillId="0" borderId="0" xfId="27" applyNumberFormat="1" applyFont="1" applyFill="1" applyBorder="1">
      <alignment horizontal="left" vertical="center"/>
    </xf>
    <xf numFmtId="43" fontId="21" fillId="7" borderId="0" xfId="17" applyNumberFormat="1" applyFont="1" applyFill="1" applyAlignment="1">
      <alignment horizontal="right"/>
    </xf>
    <xf numFmtId="185" fontId="21" fillId="0" borderId="0" xfId="19" applyNumberFormat="1" applyFont="1" applyFill="1" applyBorder="1">
      <alignment horizontal="right" vertical="center"/>
    </xf>
    <xf numFmtId="186" fontId="21" fillId="0" borderId="0" xfId="19" applyNumberFormat="1" applyFont="1" applyFill="1" applyBorder="1">
      <alignment horizontal="right" vertical="center"/>
    </xf>
    <xf numFmtId="9" fontId="21" fillId="8" borderId="0" xfId="17" applyNumberFormat="1" applyFont="1" applyFill="1" applyBorder="1"/>
    <xf numFmtId="0" fontId="21" fillId="8" borderId="10" xfId="0" applyFont="1" applyFill="1" applyBorder="1"/>
    <xf numFmtId="9" fontId="20" fillId="0" borderId="0" xfId="17" applyFont="1" applyFill="1" applyBorder="1" applyAlignment="1">
      <alignment horizontal="left" vertical="center"/>
    </xf>
    <xf numFmtId="9" fontId="20" fillId="0" borderId="0" xfId="17" applyNumberFormat="1" applyFont="1" applyFill="1" applyBorder="1" applyAlignment="1">
      <alignment horizontal="left" vertical="center"/>
    </xf>
    <xf numFmtId="182" fontId="35" fillId="4" borderId="0" xfId="0" applyNumberFormat="1" applyFont="1" applyFill="1" applyAlignment="1">
      <alignment horizontal="right"/>
    </xf>
    <xf numFmtId="182" fontId="33" fillId="4" borderId="0" xfId="0" applyNumberFormat="1" applyFont="1" applyFill="1" applyAlignment="1">
      <alignment horizontal="right"/>
    </xf>
    <xf numFmtId="191" fontId="40" fillId="0" borderId="0" xfId="27" applyNumberFormat="1" applyFont="1" applyFill="1" applyBorder="1">
      <alignment horizontal="left" vertical="center"/>
    </xf>
    <xf numFmtId="182" fontId="35" fillId="4" borderId="0" xfId="0" applyNumberFormat="1" applyFont="1" applyFill="1"/>
    <xf numFmtId="182" fontId="40" fillId="4" borderId="0" xfId="0" applyNumberFormat="1" applyFont="1" applyFill="1"/>
    <xf numFmtId="43" fontId="38" fillId="0" borderId="26" xfId="9" applyFont="1" applyFill="1" applyBorder="1" applyAlignment="1">
      <alignment horizontal="right" vertical="center"/>
    </xf>
    <xf numFmtId="9" fontId="21" fillId="0" borderId="0" xfId="17" applyFont="1" applyFill="1"/>
    <xf numFmtId="182" fontId="21" fillId="0" borderId="5" xfId="28" applyNumberFormat="1" applyFont="1" applyFill="1" applyBorder="1">
      <alignment horizontal="left" vertical="center"/>
    </xf>
    <xf numFmtId="182" fontId="42" fillId="0" borderId="5" xfId="28" applyNumberFormat="1" applyFont="1" applyFill="1" applyBorder="1">
      <alignment horizontal="left" vertical="center"/>
    </xf>
    <xf numFmtId="182" fontId="33" fillId="0" borderId="0" xfId="28" applyNumberFormat="1" applyFont="1" applyFill="1" applyBorder="1">
      <alignment horizontal="left" vertical="center"/>
    </xf>
    <xf numFmtId="164" fontId="21" fillId="0" borderId="0" xfId="27" applyNumberFormat="1" applyFont="1" applyFill="1" applyBorder="1" applyAlignment="1">
      <alignment horizontal="right" vertical="center"/>
    </xf>
    <xf numFmtId="9" fontId="21" fillId="0" borderId="0" xfId="17" applyFont="1" applyFill="1" applyBorder="1" applyAlignment="1">
      <alignment horizontal="right" vertical="center"/>
    </xf>
    <xf numFmtId="9" fontId="32" fillId="0" borderId="5" xfId="17" applyFont="1" applyFill="1" applyBorder="1" applyAlignment="1">
      <alignment horizontal="right" vertical="center"/>
    </xf>
    <xf numFmtId="168" fontId="38" fillId="0" borderId="5" xfId="17" applyNumberFormat="1" applyFont="1" applyFill="1" applyBorder="1" applyAlignment="1">
      <alignment horizontal="right" vertical="center"/>
    </xf>
    <xf numFmtId="164" fontId="38" fillId="0" borderId="5" xfId="27" applyNumberFormat="1" applyFont="1" applyFill="1" applyBorder="1" applyAlignment="1">
      <alignment horizontal="right" vertical="center"/>
    </xf>
    <xf numFmtId="9" fontId="38" fillId="0" borderId="5" xfId="17" applyFont="1" applyFill="1" applyBorder="1" applyAlignment="1">
      <alignment horizontal="right" vertical="center"/>
    </xf>
    <xf numFmtId="2" fontId="22" fillId="7" borderId="0" xfId="27" applyNumberFormat="1" applyFont="1" applyFill="1" applyBorder="1">
      <alignment horizontal="left" vertical="center"/>
    </xf>
    <xf numFmtId="0" fontId="36" fillId="7" borderId="9" xfId="27" applyFont="1" applyFill="1" applyBorder="1">
      <alignment horizontal="left" vertical="center"/>
    </xf>
    <xf numFmtId="0" fontId="36" fillId="7" borderId="10" xfId="27" applyFont="1" applyFill="1" applyBorder="1">
      <alignment horizontal="left" vertical="center"/>
    </xf>
    <xf numFmtId="0" fontId="21" fillId="7" borderId="0" xfId="27" applyFont="1" applyFill="1" applyBorder="1">
      <alignment horizontal="left" vertical="center"/>
    </xf>
    <xf numFmtId="168" fontId="33" fillId="7" borderId="0" xfId="17" applyNumberFormat="1" applyFont="1" applyFill="1" applyBorder="1" applyAlignment="1">
      <alignment horizontal="right" vertical="center"/>
    </xf>
    <xf numFmtId="168" fontId="21" fillId="7" borderId="0" xfId="17" applyNumberFormat="1" applyFont="1" applyFill="1" applyBorder="1" applyAlignment="1">
      <alignment horizontal="right" vertical="center"/>
    </xf>
    <xf numFmtId="164" fontId="32" fillId="7" borderId="5" xfId="27" applyNumberFormat="1" applyFont="1" applyFill="1" applyBorder="1" applyAlignment="1">
      <alignment horizontal="right" vertical="center"/>
    </xf>
    <xf numFmtId="164" fontId="40" fillId="7" borderId="0" xfId="27" applyNumberFormat="1" applyFont="1" applyFill="1" applyBorder="1">
      <alignment horizontal="left" vertical="center"/>
    </xf>
    <xf numFmtId="164" fontId="38" fillId="7" borderId="26" xfId="27" applyNumberFormat="1" applyFont="1" applyFill="1" applyBorder="1" applyAlignment="1">
      <alignment horizontal="right" vertical="center"/>
    </xf>
    <xf numFmtId="164" fontId="33" fillId="7" borderId="0" xfId="27" applyNumberFormat="1" applyFont="1" applyFill="1" applyBorder="1">
      <alignment horizontal="left" vertical="center"/>
    </xf>
    <xf numFmtId="0" fontId="51" fillId="0" borderId="9" xfId="27" applyFont="1" applyFill="1" applyBorder="1">
      <alignment horizontal="left" vertical="center"/>
    </xf>
    <xf numFmtId="0" fontId="51" fillId="0" borderId="10" xfId="27" applyFont="1" applyFill="1" applyBorder="1">
      <alignment horizontal="left" vertical="center"/>
    </xf>
    <xf numFmtId="0" fontId="32" fillId="0" borderId="0" xfId="27" applyFont="1" applyFill="1" applyBorder="1">
      <alignment horizontal="left" vertical="center"/>
    </xf>
    <xf numFmtId="168" fontId="38" fillId="0" borderId="0" xfId="17" applyNumberFormat="1" applyFont="1" applyFill="1" applyBorder="1" applyAlignment="1">
      <alignment horizontal="right" vertical="center"/>
    </xf>
    <xf numFmtId="0" fontId="7" fillId="4" borderId="0" xfId="0" applyFont="1" applyFill="1" applyBorder="1" applyAlignment="1">
      <alignment horizontal="centerContinuous"/>
    </xf>
    <xf numFmtId="3" fontId="7" fillId="4" borderId="0" xfId="0" applyNumberFormat="1" applyFont="1" applyFill="1" applyBorder="1" applyAlignment="1">
      <alignment horizontal="center"/>
    </xf>
    <xf numFmtId="3" fontId="28" fillId="4" borderId="0" xfId="0" applyNumberFormat="1" applyFont="1" applyFill="1" applyBorder="1" applyAlignment="1">
      <alignment horizontal="center"/>
    </xf>
    <xf numFmtId="168" fontId="8" fillId="4" borderId="24" xfId="17" applyNumberFormat="1" applyFont="1" applyFill="1" applyBorder="1" applyAlignment="1">
      <alignment horizontal="center"/>
    </xf>
    <xf numFmtId="168" fontId="25" fillId="4" borderId="24" xfId="17" applyNumberFormat="1" applyFont="1" applyFill="1" applyBorder="1" applyAlignment="1">
      <alignment horizontal="center"/>
    </xf>
    <xf numFmtId="164" fontId="7" fillId="5" borderId="24" xfId="0" applyNumberFormat="1" applyFont="1" applyFill="1" applyBorder="1" applyAlignment="1">
      <alignment horizontal="center"/>
    </xf>
    <xf numFmtId="168" fontId="26" fillId="5" borderId="24" xfId="17" applyNumberFormat="1" applyFont="1" applyFill="1" applyBorder="1" applyAlignment="1">
      <alignment horizontal="center"/>
    </xf>
    <xf numFmtId="168" fontId="7" fillId="4" borderId="24" xfId="17" applyNumberFormat="1" applyFont="1" applyFill="1" applyBorder="1" applyAlignment="1">
      <alignment horizontal="center"/>
    </xf>
    <xf numFmtId="9" fontId="23" fillId="4" borderId="24" xfId="0" applyNumberFormat="1" applyFont="1" applyFill="1" applyBorder="1" applyAlignment="1">
      <alignment horizontal="center"/>
    </xf>
    <xf numFmtId="3" fontId="7" fillId="4" borderId="24" xfId="0" applyNumberFormat="1" applyFont="1" applyFill="1" applyBorder="1" applyAlignment="1">
      <alignment horizontal="center"/>
    </xf>
    <xf numFmtId="9" fontId="28" fillId="0" borderId="0" xfId="17" applyFont="1" applyFill="1" applyBorder="1" applyAlignment="1">
      <alignment horizontal="left" vertical="center"/>
    </xf>
    <xf numFmtId="164" fontId="21" fillId="0" borderId="0" xfId="27" applyNumberFormat="1" applyFont="1" applyFill="1" applyBorder="1">
      <alignment horizontal="left" vertical="center"/>
    </xf>
    <xf numFmtId="168" fontId="32" fillId="0" borderId="13" xfId="17" applyNumberFormat="1" applyFont="1" applyBorder="1"/>
    <xf numFmtId="182" fontId="7" fillId="0" borderId="3" xfId="27" applyNumberFormat="1" applyFont="1" applyFill="1" applyBorder="1">
      <alignment horizontal="left" vertical="center"/>
    </xf>
    <xf numFmtId="182" fontId="45" fillId="0" borderId="0" xfId="13" applyNumberFormat="1" applyFont="1" applyFill="1" applyBorder="1">
      <alignment horizontal="left" vertical="center"/>
    </xf>
    <xf numFmtId="182" fontId="22" fillId="0" borderId="0" xfId="0" applyNumberFormat="1" applyFont="1" applyFill="1" applyBorder="1"/>
    <xf numFmtId="182" fontId="28" fillId="0" borderId="3" xfId="27" applyNumberFormat="1" applyFont="1" applyFill="1" applyBorder="1">
      <alignment horizontal="left" vertical="center"/>
    </xf>
    <xf numFmtId="189" fontId="21" fillId="0" borderId="0" xfId="9" applyNumberFormat="1" applyFont="1"/>
    <xf numFmtId="39" fontId="22" fillId="4" borderId="0" xfId="0" applyNumberFormat="1" applyFont="1" applyFill="1" applyAlignment="1">
      <alignment horizontal="right"/>
    </xf>
    <xf numFmtId="39" fontId="21" fillId="4" borderId="0" xfId="0" applyNumberFormat="1" applyFont="1" applyFill="1"/>
    <xf numFmtId="39" fontId="21" fillId="4" borderId="0" xfId="0" applyNumberFormat="1" applyFont="1" applyFill="1" applyAlignment="1">
      <alignment horizontal="right"/>
    </xf>
    <xf numFmtId="39" fontId="22" fillId="4" borderId="0" xfId="0" applyNumberFormat="1" applyFont="1" applyFill="1"/>
    <xf numFmtId="39" fontId="21" fillId="4" borderId="0" xfId="17" applyNumberFormat="1" applyFont="1" applyFill="1"/>
    <xf numFmtId="39" fontId="21" fillId="0" borderId="0" xfId="0" applyNumberFormat="1" applyFont="1" applyAlignment="1">
      <alignment horizontal="right"/>
    </xf>
    <xf numFmtId="39" fontId="22" fillId="0" borderId="0" xfId="0" applyNumberFormat="1" applyFont="1"/>
    <xf numFmtId="39" fontId="22" fillId="0" borderId="0" xfId="0" applyNumberFormat="1" applyFont="1" applyFill="1" applyBorder="1"/>
    <xf numFmtId="9" fontId="33" fillId="0" borderId="0" xfId="17" applyFont="1" applyFill="1"/>
    <xf numFmtId="0" fontId="38" fillId="0" borderId="5" xfId="27" applyFont="1" applyFill="1" applyBorder="1">
      <alignment horizontal="left" vertical="center"/>
    </xf>
    <xf numFmtId="181" fontId="35" fillId="0" borderId="30" xfId="27" applyNumberFormat="1" applyFont="1" applyFill="1" applyBorder="1" applyAlignment="1">
      <alignment horizontal="right" vertical="center"/>
    </xf>
    <xf numFmtId="2" fontId="22" fillId="2" borderId="19" xfId="0" applyNumberFormat="1" applyFont="1" applyFill="1" applyBorder="1"/>
    <xf numFmtId="0" fontId="22" fillId="2" borderId="19" xfId="0" applyFont="1" applyFill="1" applyBorder="1"/>
    <xf numFmtId="182" fontId="21" fillId="0" borderId="0" xfId="0" applyNumberFormat="1" applyFont="1" applyFill="1" applyBorder="1"/>
    <xf numFmtId="182" fontId="20" fillId="0" borderId="0" xfId="0" applyNumberFormat="1" applyFont="1" applyBorder="1" applyAlignment="1">
      <alignment horizontal="right"/>
    </xf>
    <xf numFmtId="182" fontId="22" fillId="0" borderId="0" xfId="13" applyNumberFormat="1" applyFont="1" applyFill="1" applyBorder="1">
      <alignment horizontal="left" vertical="center"/>
    </xf>
    <xf numFmtId="182" fontId="22" fillId="0" borderId="0" xfId="0" applyNumberFormat="1" applyFont="1" applyBorder="1" applyAlignment="1">
      <alignment horizontal="right"/>
    </xf>
    <xf numFmtId="167" fontId="21" fillId="0" borderId="3" xfId="0" applyNumberFormat="1" applyFont="1" applyBorder="1"/>
    <xf numFmtId="0" fontId="28" fillId="4" borderId="0" xfId="27" applyFont="1" applyFill="1" applyBorder="1">
      <alignment horizontal="left" vertical="center"/>
    </xf>
    <xf numFmtId="0" fontId="28" fillId="4" borderId="3" xfId="27" applyFont="1" applyFill="1" applyBorder="1">
      <alignment horizontal="left" vertical="center"/>
    </xf>
    <xf numFmtId="182" fontId="32" fillId="4" borderId="0" xfId="27" applyNumberFormat="1" applyFont="1" applyFill="1" applyBorder="1" applyAlignment="1">
      <alignment horizontal="right" vertical="center"/>
    </xf>
    <xf numFmtId="181" fontId="21" fillId="0" borderId="0" xfId="0" applyNumberFormat="1" applyFont="1" applyFill="1"/>
    <xf numFmtId="164" fontId="21" fillId="7" borderId="0" xfId="27" applyNumberFormat="1" applyFont="1" applyFill="1" applyBorder="1">
      <alignment horizontal="left" vertical="center"/>
    </xf>
    <xf numFmtId="179" fontId="21" fillId="0" borderId="0" xfId="27" applyNumberFormat="1" applyFont="1" applyFill="1" applyBorder="1">
      <alignment horizontal="left" vertical="center"/>
    </xf>
    <xf numFmtId="0" fontId="17" fillId="5" borderId="0" xfId="0" applyFont="1" applyFill="1"/>
    <xf numFmtId="9" fontId="20" fillId="7" borderId="0" xfId="17" applyFont="1" applyFill="1"/>
    <xf numFmtId="0" fontId="2" fillId="4" borderId="0" xfId="0" applyFont="1" applyFill="1"/>
    <xf numFmtId="9" fontId="21" fillId="0" borderId="0" xfId="0" applyNumberFormat="1" applyFont="1" applyBorder="1"/>
    <xf numFmtId="181" fontId="28" fillId="0" borderId="0" xfId="27" applyNumberFormat="1" applyFont="1" applyFill="1" applyBorder="1">
      <alignment horizontal="left" vertical="center"/>
    </xf>
    <xf numFmtId="43" fontId="33" fillId="0" borderId="0" xfId="9" applyFont="1" applyFill="1" applyBorder="1" applyAlignment="1">
      <alignment horizontal="left" vertical="center"/>
    </xf>
    <xf numFmtId="10" fontId="35" fillId="0" borderId="5" xfId="17" applyNumberFormat="1" applyFont="1" applyFill="1" applyBorder="1"/>
    <xf numFmtId="10" fontId="28" fillId="0" borderId="0" xfId="17" applyNumberFormat="1" applyFont="1" applyFill="1" applyBorder="1" applyAlignment="1">
      <alignment horizontal="left" vertical="center"/>
    </xf>
    <xf numFmtId="0" fontId="47" fillId="2" borderId="5" xfId="27" applyFont="1" applyFill="1" applyBorder="1">
      <alignment horizontal="left" vertical="center"/>
    </xf>
    <xf numFmtId="2" fontId="22" fillId="0" borderId="8" xfId="27" applyNumberFormat="1" applyFont="1" applyFill="1" applyBorder="1">
      <alignment horizontal="left" vertical="center"/>
    </xf>
    <xf numFmtId="2" fontId="34" fillId="6" borderId="8" xfId="27" applyNumberFormat="1" applyFont="1" applyFill="1" applyBorder="1">
      <alignment horizontal="left" vertical="center"/>
    </xf>
    <xf numFmtId="0" fontId="36" fillId="0" borderId="8" xfId="27" applyFont="1" applyFill="1" applyBorder="1">
      <alignment horizontal="left" vertical="center"/>
    </xf>
    <xf numFmtId="0" fontId="21" fillId="0" borderId="8" xfId="27" applyFont="1" applyFill="1" applyBorder="1">
      <alignment horizontal="left" vertical="center"/>
    </xf>
    <xf numFmtId="0" fontId="33" fillId="0" borderId="8" xfId="27" applyFont="1" applyFill="1" applyBorder="1">
      <alignment horizontal="left" vertical="center"/>
    </xf>
    <xf numFmtId="164" fontId="38" fillId="0" borderId="13" xfId="27" applyNumberFormat="1" applyFont="1" applyFill="1" applyBorder="1" applyAlignment="1">
      <alignment horizontal="right" vertical="center"/>
    </xf>
    <xf numFmtId="181" fontId="35" fillId="0" borderId="10" xfId="27" applyNumberFormat="1" applyFont="1" applyFill="1" applyBorder="1" applyAlignment="1">
      <alignment horizontal="right" vertical="center"/>
    </xf>
    <xf numFmtId="168" fontId="38" fillId="0" borderId="10" xfId="27" applyNumberFormat="1" applyFont="1" applyFill="1" applyBorder="1" applyAlignment="1">
      <alignment horizontal="right" vertical="center"/>
    </xf>
    <xf numFmtId="164" fontId="33" fillId="0" borderId="5" xfId="27" applyNumberFormat="1" applyFont="1" applyFill="1" applyBorder="1">
      <alignment horizontal="left" vertical="center"/>
    </xf>
    <xf numFmtId="164" fontId="33" fillId="0" borderId="13" xfId="27" applyNumberFormat="1" applyFont="1" applyFill="1" applyBorder="1">
      <alignment horizontal="left" vertical="center"/>
    </xf>
    <xf numFmtId="181" fontId="22" fillId="0" borderId="6" xfId="27" applyNumberFormat="1" applyFont="1" applyFill="1" applyBorder="1" applyAlignment="1">
      <alignment horizontal="right" vertical="center"/>
    </xf>
    <xf numFmtId="181" fontId="47" fillId="0" borderId="17" xfId="27" applyNumberFormat="1" applyFont="1" applyFill="1" applyBorder="1" applyAlignment="1">
      <alignment horizontal="right" vertical="center"/>
    </xf>
    <xf numFmtId="181" fontId="47" fillId="0" borderId="18" xfId="27" applyNumberFormat="1" applyFont="1" applyFill="1" applyBorder="1" applyAlignment="1">
      <alignment horizontal="right" vertical="center"/>
    </xf>
    <xf numFmtId="0" fontId="33" fillId="0" borderId="0" xfId="0" applyFont="1" applyFill="1" applyBorder="1"/>
    <xf numFmtId="178" fontId="28" fillId="0" borderId="0" xfId="27" applyNumberFormat="1" applyFont="1" applyFill="1" applyBorder="1">
      <alignment horizontal="left" vertical="center"/>
    </xf>
    <xf numFmtId="39" fontId="28" fillId="0" borderId="0" xfId="27" applyNumberFormat="1" applyFont="1" applyFill="1" applyBorder="1">
      <alignment horizontal="left" vertical="center"/>
    </xf>
    <xf numFmtId="182" fontId="21" fillId="4" borderId="0" xfId="27" applyNumberFormat="1" applyFont="1" applyFill="1" applyBorder="1" applyAlignment="1">
      <alignment horizontal="right" vertical="center"/>
    </xf>
    <xf numFmtId="9" fontId="22" fillId="0" borderId="0" xfId="17" applyFont="1" applyFill="1"/>
    <xf numFmtId="171" fontId="21" fillId="0" borderId="0" xfId="0" applyNumberFormat="1" applyFont="1" applyBorder="1" applyAlignment="1">
      <alignment horizontal="right"/>
    </xf>
    <xf numFmtId="171" fontId="40" fillId="0" borderId="0" xfId="0" applyNumberFormat="1" applyFont="1" applyBorder="1" applyAlignment="1">
      <alignment horizontal="right"/>
    </xf>
    <xf numFmtId="3" fontId="40" fillId="0" borderId="0" xfId="0" applyNumberFormat="1" applyFont="1" applyBorder="1" applyAlignment="1">
      <alignment horizontal="right"/>
    </xf>
    <xf numFmtId="3" fontId="40" fillId="0" borderId="0" xfId="0" applyNumberFormat="1" applyFont="1" applyFill="1"/>
    <xf numFmtId="0" fontId="21" fillId="0" borderId="6" xfId="0" applyFont="1" applyBorder="1" applyAlignment="1">
      <alignment horizontal="right"/>
    </xf>
    <xf numFmtId="1" fontId="21" fillId="0" borderId="6" xfId="0" applyNumberFormat="1" applyFont="1" applyBorder="1"/>
    <xf numFmtId="2" fontId="21" fillId="0" borderId="6" xfId="0" applyNumberFormat="1" applyFont="1" applyBorder="1" applyAlignment="1">
      <alignment horizontal="right"/>
    </xf>
    <xf numFmtId="9" fontId="21" fillId="0" borderId="6" xfId="0" applyNumberFormat="1" applyFont="1" applyBorder="1" applyAlignment="1">
      <alignment horizontal="right"/>
    </xf>
    <xf numFmtId="171" fontId="21" fillId="0" borderId="6" xfId="0" applyNumberFormat="1" applyFont="1" applyBorder="1" applyAlignment="1">
      <alignment horizontal="right"/>
    </xf>
    <xf numFmtId="0" fontId="21" fillId="0" borderId="19" xfId="0" applyFont="1" applyBorder="1" applyAlignment="1">
      <alignment horizontal="right"/>
    </xf>
    <xf numFmtId="171" fontId="21" fillId="0" borderId="5" xfId="0" applyNumberFormat="1" applyFont="1" applyBorder="1" applyAlignment="1">
      <alignment horizontal="right"/>
    </xf>
    <xf numFmtId="0" fontId="36" fillId="0" borderId="11" xfId="27" applyFont="1" applyFill="1" applyBorder="1">
      <alignment horizontal="left" vertical="center"/>
    </xf>
    <xf numFmtId="0" fontId="36" fillId="0" borderId="13" xfId="27" applyFont="1" applyFill="1" applyBorder="1">
      <alignment horizontal="left" vertical="center"/>
    </xf>
    <xf numFmtId="3" fontId="21" fillId="0" borderId="5" xfId="0" applyNumberFormat="1" applyFont="1" applyBorder="1" applyAlignment="1">
      <alignment horizontal="right"/>
    </xf>
    <xf numFmtId="1" fontId="22" fillId="0" borderId="0" xfId="0" applyNumberFormat="1" applyFont="1" applyBorder="1"/>
    <xf numFmtId="9" fontId="22" fillId="0" borderId="0" xfId="0" applyNumberFormat="1" applyFont="1" applyBorder="1" applyAlignment="1">
      <alignment horizontal="right"/>
    </xf>
    <xf numFmtId="171" fontId="22" fillId="0" borderId="0" xfId="0" applyNumberFormat="1" applyFont="1" applyBorder="1" applyAlignment="1">
      <alignment horizontal="right"/>
    </xf>
    <xf numFmtId="171" fontId="22" fillId="0" borderId="5" xfId="0" applyNumberFormat="1" applyFont="1" applyBorder="1" applyAlignment="1">
      <alignment horizontal="right"/>
    </xf>
    <xf numFmtId="182" fontId="22" fillId="4" borderId="0" xfId="0" applyNumberFormat="1" applyFont="1" applyFill="1" applyAlignment="1">
      <alignment horizontal="right"/>
    </xf>
    <xf numFmtId="182" fontId="21" fillId="4" borderId="0" xfId="0" applyNumberFormat="1" applyFont="1" applyFill="1" applyAlignment="1">
      <alignment horizontal="right"/>
    </xf>
    <xf numFmtId="182" fontId="22" fillId="4" borderId="0" xfId="0" applyNumberFormat="1" applyFont="1" applyFill="1"/>
    <xf numFmtId="182" fontId="22" fillId="4" borderId="0" xfId="0" applyNumberFormat="1" applyFont="1" applyFill="1" applyBorder="1"/>
    <xf numFmtId="9" fontId="21" fillId="0" borderId="5" xfId="0" applyNumberFormat="1" applyFont="1" applyBorder="1" applyAlignment="1">
      <alignment horizontal="right"/>
    </xf>
    <xf numFmtId="168" fontId="40" fillId="0" borderId="0" xfId="17" applyNumberFormat="1" applyFont="1" applyFill="1" applyBorder="1" applyAlignment="1">
      <alignment horizontal="left" vertical="center"/>
    </xf>
    <xf numFmtId="182" fontId="22" fillId="0" borderId="26" xfId="19" quotePrefix="1" applyNumberFormat="1" applyFont="1" applyFill="1" applyBorder="1" applyAlignment="1">
      <alignment horizontal="right" vertical="center"/>
    </xf>
    <xf numFmtId="182" fontId="21" fillId="0" borderId="26" xfId="27" applyNumberFormat="1" applyFont="1" applyFill="1" applyBorder="1">
      <alignment horizontal="left" vertical="center"/>
    </xf>
    <xf numFmtId="182" fontId="21" fillId="0" borderId="26" xfId="0" applyNumberFormat="1" applyFont="1" applyBorder="1"/>
    <xf numFmtId="182" fontId="21" fillId="0" borderId="26" xfId="0" applyNumberFormat="1" applyFont="1" applyBorder="1" applyAlignment="1">
      <alignment horizontal="right"/>
    </xf>
    <xf numFmtId="182" fontId="22" fillId="0" borderId="26" xfId="0" applyNumberFormat="1" applyFont="1" applyFill="1" applyBorder="1"/>
    <xf numFmtId="182" fontId="22" fillId="0" borderId="39" xfId="0" applyNumberFormat="1" applyFont="1" applyBorder="1"/>
    <xf numFmtId="182" fontId="37" fillId="0" borderId="26" xfId="0" applyNumberFormat="1" applyFont="1" applyBorder="1"/>
    <xf numFmtId="182" fontId="21" fillId="7" borderId="26" xfId="0" applyNumberFormat="1" applyFont="1" applyFill="1" applyBorder="1" applyAlignment="1">
      <alignment horizontal="right"/>
    </xf>
    <xf numFmtId="182" fontId="22" fillId="0" borderId="36" xfId="0" applyNumberFormat="1" applyFont="1" applyBorder="1"/>
    <xf numFmtId="182" fontId="22" fillId="0" borderId="26" xfId="0" applyNumberFormat="1" applyFont="1" applyBorder="1"/>
    <xf numFmtId="171" fontId="21" fillId="0" borderId="19" xfId="0" applyNumberFormat="1" applyFont="1" applyBorder="1" applyAlignment="1">
      <alignment horizontal="right"/>
    </xf>
    <xf numFmtId="0" fontId="22" fillId="0" borderId="6" xfId="0" applyFont="1" applyBorder="1"/>
    <xf numFmtId="169" fontId="21" fillId="0" borderId="0" xfId="9" applyNumberFormat="1" applyFont="1" applyBorder="1" applyAlignment="1">
      <alignment horizontal="right"/>
    </xf>
    <xf numFmtId="2" fontId="21" fillId="0" borderId="3" xfId="0" applyNumberFormat="1" applyFont="1" applyBorder="1" applyAlignment="1">
      <alignment horizontal="right"/>
    </xf>
    <xf numFmtId="9" fontId="21" fillId="0" borderId="3" xfId="0" applyNumberFormat="1" applyFont="1" applyBorder="1" applyAlignment="1">
      <alignment horizontal="right"/>
    </xf>
    <xf numFmtId="171" fontId="21" fillId="0" borderId="3" xfId="0" applyNumberFormat="1" applyFont="1" applyBorder="1" applyAlignment="1">
      <alignment horizontal="right"/>
    </xf>
    <xf numFmtId="171" fontId="21" fillId="0" borderId="13" xfId="0" applyNumberFormat="1" applyFont="1" applyBorder="1" applyAlignment="1">
      <alignment horizontal="right"/>
    </xf>
    <xf numFmtId="0" fontId="21" fillId="0" borderId="2" xfId="0" applyFont="1" applyBorder="1" applyAlignment="1">
      <alignment horizontal="right"/>
    </xf>
    <xf numFmtId="2" fontId="21" fillId="0" borderId="2" xfId="0" applyNumberFormat="1" applyFont="1" applyBorder="1" applyAlignment="1">
      <alignment horizontal="right"/>
    </xf>
    <xf numFmtId="0" fontId="21" fillId="0" borderId="11" xfId="0" applyFont="1" applyBorder="1" applyAlignment="1">
      <alignment horizontal="right"/>
    </xf>
    <xf numFmtId="171" fontId="21" fillId="0" borderId="2" xfId="0" applyNumberFormat="1" applyFont="1" applyBorder="1" applyAlignment="1">
      <alignment horizontal="right"/>
    </xf>
    <xf numFmtId="173" fontId="17" fillId="4" borderId="24" xfId="0" applyNumberFormat="1" applyFont="1" applyFill="1" applyBorder="1" applyAlignment="1">
      <alignment horizontal="center"/>
    </xf>
    <xf numFmtId="177" fontId="21" fillId="0" borderId="0" xfId="9" applyNumberFormat="1" applyFont="1" applyBorder="1" applyAlignment="1">
      <alignment horizontal="right"/>
    </xf>
    <xf numFmtId="177" fontId="21" fillId="0" borderId="3" xfId="9" applyNumberFormat="1" applyFont="1" applyBorder="1"/>
    <xf numFmtId="177" fontId="21" fillId="0" borderId="13" xfId="9" applyNumberFormat="1" applyFont="1" applyBorder="1" applyAlignment="1">
      <alignment horizontal="right"/>
    </xf>
    <xf numFmtId="171" fontId="21" fillId="0" borderId="11" xfId="0" applyNumberFormat="1" applyFont="1" applyBorder="1" applyAlignment="1">
      <alignment horizontal="right"/>
    </xf>
    <xf numFmtId="173" fontId="21" fillId="0" borderId="0" xfId="0" applyNumberFormat="1" applyFont="1" applyBorder="1" applyAlignment="1">
      <alignment horizontal="right"/>
    </xf>
    <xf numFmtId="171" fontId="21" fillId="0" borderId="2" xfId="0" applyNumberFormat="1" applyFont="1" applyFill="1" applyBorder="1" applyAlignment="1">
      <alignment horizontal="right"/>
    </xf>
    <xf numFmtId="171" fontId="21" fillId="0" borderId="0" xfId="0" applyNumberFormat="1" applyFont="1" applyFill="1" applyBorder="1" applyAlignment="1">
      <alignment horizontal="right"/>
    </xf>
    <xf numFmtId="171" fontId="40" fillId="0" borderId="0" xfId="0" applyNumberFormat="1" applyFont="1" applyFill="1" applyBorder="1" applyAlignment="1">
      <alignment horizontal="right"/>
    </xf>
    <xf numFmtId="177" fontId="21" fillId="0" borderId="0" xfId="9" applyNumberFormat="1" applyFont="1" applyFill="1" applyBorder="1" applyAlignment="1">
      <alignment horizontal="left" vertical="center"/>
    </xf>
    <xf numFmtId="0" fontId="17" fillId="4" borderId="3" xfId="0" applyFont="1" applyFill="1" applyBorder="1" applyAlignment="1">
      <alignment horizontal="center"/>
    </xf>
    <xf numFmtId="0" fontId="7" fillId="4" borderId="3" xfId="0" applyFont="1" applyFill="1" applyBorder="1" applyAlignment="1"/>
    <xf numFmtId="182" fontId="28" fillId="0" borderId="0" xfId="27" applyNumberFormat="1" applyFont="1" applyFill="1" applyBorder="1">
      <alignment horizontal="left" vertical="center"/>
    </xf>
    <xf numFmtId="182" fontId="21" fillId="0" borderId="0" xfId="9" applyNumberFormat="1" applyFont="1"/>
    <xf numFmtId="182" fontId="21" fillId="0" borderId="0" xfId="17" applyNumberFormat="1" applyFont="1" applyAlignment="1">
      <alignment horizontal="right"/>
    </xf>
    <xf numFmtId="168" fontId="28" fillId="0" borderId="0" xfId="27" applyNumberFormat="1" applyFont="1" applyFill="1" applyBorder="1">
      <alignment horizontal="left" vertical="center"/>
    </xf>
    <xf numFmtId="10" fontId="28" fillId="0" borderId="3" xfId="17" applyNumberFormat="1" applyFont="1" applyFill="1" applyBorder="1" applyAlignment="1">
      <alignment horizontal="left" vertical="center"/>
    </xf>
    <xf numFmtId="10" fontId="7" fillId="0" borderId="3" xfId="27" applyNumberFormat="1" applyFont="1" applyFill="1" applyBorder="1">
      <alignment horizontal="left" vertical="center"/>
    </xf>
    <xf numFmtId="10" fontId="28" fillId="0" borderId="3" xfId="27" applyNumberFormat="1" applyFont="1" applyFill="1" applyBorder="1">
      <alignment horizontal="left" vertical="center"/>
    </xf>
    <xf numFmtId="186" fontId="28" fillId="0" borderId="0" xfId="27" applyNumberFormat="1" applyFont="1" applyFill="1" applyBorder="1">
      <alignment horizontal="left" vertical="center"/>
    </xf>
    <xf numFmtId="169" fontId="22" fillId="0" borderId="0" xfId="9" applyNumberFormat="1" applyFont="1" applyFill="1"/>
    <xf numFmtId="0" fontId="21" fillId="0" borderId="0" xfId="0" applyFont="1" applyBorder="1" applyAlignment="1">
      <alignment horizontal="left" indent="1"/>
    </xf>
    <xf numFmtId="0" fontId="23" fillId="0" borderId="3" xfId="27" applyFont="1" applyFill="1" applyBorder="1">
      <alignment horizontal="left" vertical="center"/>
    </xf>
    <xf numFmtId="171" fontId="62" fillId="0" borderId="0" xfId="0" applyNumberFormat="1" applyFont="1" applyBorder="1" applyAlignment="1">
      <alignment horizontal="right"/>
    </xf>
    <xf numFmtId="171" fontId="67" fillId="0" borderId="0" xfId="0" applyNumberFormat="1" applyFont="1" applyBorder="1" applyAlignment="1">
      <alignment horizontal="right"/>
    </xf>
    <xf numFmtId="171" fontId="21" fillId="0" borderId="3" xfId="0" applyNumberFormat="1" applyFont="1" applyFill="1" applyBorder="1" applyAlignment="1">
      <alignment horizontal="right"/>
    </xf>
    <xf numFmtId="171" fontId="62" fillId="0" borderId="12" xfId="0" applyNumberFormat="1" applyFont="1" applyBorder="1" applyAlignment="1">
      <alignment horizontal="right"/>
    </xf>
    <xf numFmtId="171" fontId="62" fillId="0" borderId="3" xfId="0" applyNumberFormat="1" applyFont="1" applyBorder="1" applyAlignment="1">
      <alignment horizontal="right"/>
    </xf>
    <xf numFmtId="9" fontId="32" fillId="7" borderId="0" xfId="17" applyNumberFormat="1" applyFont="1" applyFill="1" applyBorder="1"/>
    <xf numFmtId="168" fontId="6" fillId="0" borderId="0" xfId="17" applyNumberFormat="1" applyFont="1" applyFill="1" applyBorder="1" applyAlignment="1">
      <alignment horizontal="left" vertical="center"/>
    </xf>
    <xf numFmtId="9" fontId="21" fillId="0" borderId="0" xfId="17" applyFont="1" applyFill="1" applyBorder="1" applyAlignment="1">
      <alignment horizontal="right"/>
    </xf>
    <xf numFmtId="168" fontId="32" fillId="0" borderId="26" xfId="17" applyNumberFormat="1" applyFont="1" applyBorder="1"/>
    <xf numFmtId="168" fontId="32" fillId="0" borderId="11" xfId="27" applyNumberFormat="1" applyFont="1" applyFill="1" applyBorder="1" applyAlignment="1">
      <alignment horizontal="right" vertical="center"/>
    </xf>
    <xf numFmtId="3" fontId="21" fillId="0" borderId="0" xfId="0" applyNumberFormat="1" applyFont="1" applyFill="1" applyBorder="1" applyAlignment="1">
      <alignment horizontal="right"/>
    </xf>
    <xf numFmtId="185" fontId="28" fillId="0" borderId="3" xfId="27" applyNumberFormat="1" applyFont="1" applyFill="1" applyBorder="1">
      <alignment horizontal="left" vertical="center"/>
    </xf>
    <xf numFmtId="164" fontId="2" fillId="0" borderId="0" xfId="19" applyNumberFormat="1" applyFont="1" applyFill="1" applyBorder="1">
      <alignment horizontal="right" vertical="center"/>
    </xf>
    <xf numFmtId="182" fontId="21" fillId="0" borderId="0" xfId="17" applyNumberFormat="1" applyFont="1" applyFill="1"/>
    <xf numFmtId="189" fontId="28" fillId="0" borderId="3" xfId="9" applyNumberFormat="1" applyFont="1" applyFill="1" applyBorder="1" applyAlignment="1">
      <alignment horizontal="left" vertical="center"/>
    </xf>
    <xf numFmtId="3" fontId="21" fillId="0" borderId="26" xfId="0" applyNumberFormat="1" applyFont="1" applyBorder="1"/>
    <xf numFmtId="9" fontId="32" fillId="0" borderId="26" xfId="17" applyFont="1" applyBorder="1"/>
    <xf numFmtId="1" fontId="21" fillId="7" borderId="26" xfId="0" applyNumberFormat="1" applyFont="1" applyFill="1" applyBorder="1"/>
    <xf numFmtId="168" fontId="32" fillId="7" borderId="26" xfId="17" applyNumberFormat="1" applyFont="1" applyFill="1" applyBorder="1"/>
    <xf numFmtId="1" fontId="21" fillId="0" borderId="26" xfId="0" applyNumberFormat="1" applyFont="1" applyBorder="1"/>
    <xf numFmtId="0" fontId="21" fillId="0" borderId="26" xfId="27" applyFont="1" applyFill="1" applyBorder="1">
      <alignment horizontal="left" vertical="center"/>
    </xf>
    <xf numFmtId="0" fontId="21" fillId="0" borderId="26" xfId="0" applyFont="1" applyBorder="1"/>
    <xf numFmtId="168" fontId="21" fillId="8" borderId="26" xfId="17" applyNumberFormat="1" applyFont="1" applyFill="1" applyBorder="1"/>
    <xf numFmtId="9" fontId="21" fillId="8" borderId="26" xfId="17" applyFont="1" applyFill="1" applyBorder="1"/>
    <xf numFmtId="3" fontId="22" fillId="0" borderId="26" xfId="0" applyNumberFormat="1" applyFont="1" applyFill="1" applyBorder="1"/>
    <xf numFmtId="168" fontId="37" fillId="0" borderId="26" xfId="17" applyNumberFormat="1" applyFont="1" applyBorder="1"/>
    <xf numFmtId="3" fontId="32" fillId="0" borderId="26" xfId="17" applyNumberFormat="1" applyFont="1" applyBorder="1"/>
    <xf numFmtId="166" fontId="21" fillId="8" borderId="26" xfId="0" applyNumberFormat="1" applyFont="1" applyFill="1" applyBorder="1"/>
    <xf numFmtId="9" fontId="32" fillId="0" borderId="26" xfId="17" applyNumberFormat="1" applyFont="1" applyBorder="1"/>
    <xf numFmtId="4" fontId="21" fillId="0" borderId="26" xfId="0" applyNumberFormat="1" applyFont="1" applyBorder="1"/>
    <xf numFmtId="0" fontId="21" fillId="0" borderId="26" xfId="27" applyFont="1" applyFill="1" applyBorder="1" applyAlignment="1">
      <alignment horizontal="right" vertical="center"/>
    </xf>
    <xf numFmtId="9" fontId="21" fillId="0" borderId="10" xfId="17" applyFont="1" applyFill="1" applyBorder="1" applyAlignment="1">
      <alignment horizontal="left" vertical="center"/>
    </xf>
    <xf numFmtId="9" fontId="21" fillId="0" borderId="26" xfId="17" applyFont="1" applyFill="1" applyBorder="1" applyAlignment="1">
      <alignment horizontal="left" vertical="center"/>
    </xf>
    <xf numFmtId="2" fontId="22" fillId="0" borderId="36" xfId="0" applyNumberFormat="1" applyFont="1" applyFill="1" applyBorder="1"/>
    <xf numFmtId="9" fontId="21" fillId="0" borderId="26" xfId="17" applyNumberFormat="1" applyFont="1" applyBorder="1"/>
    <xf numFmtId="9" fontId="21" fillId="0" borderId="26" xfId="17" applyFont="1" applyBorder="1"/>
    <xf numFmtId="2" fontId="22" fillId="0" borderId="26" xfId="0" applyNumberFormat="1" applyFont="1" applyBorder="1"/>
    <xf numFmtId="2" fontId="21" fillId="0" borderId="26" xfId="0" applyNumberFormat="1" applyFont="1" applyBorder="1"/>
    <xf numFmtId="3" fontId="21" fillId="0" borderId="33" xfId="0" applyNumberFormat="1" applyFont="1" applyBorder="1"/>
    <xf numFmtId="3" fontId="21" fillId="0" borderId="26" xfId="17" applyNumberFormat="1" applyFont="1" applyBorder="1"/>
    <xf numFmtId="0" fontId="21" fillId="0" borderId="33" xfId="27" applyFont="1" applyFill="1" applyBorder="1">
      <alignment horizontal="left" vertical="center"/>
    </xf>
    <xf numFmtId="0" fontId="22" fillId="0" borderId="3" xfId="0" applyFont="1" applyBorder="1"/>
    <xf numFmtId="0" fontId="22" fillId="0" borderId="3" xfId="0" applyFont="1" applyBorder="1" applyAlignment="1">
      <alignment horizontal="right"/>
    </xf>
    <xf numFmtId="1" fontId="22" fillId="0" borderId="3" xfId="0" applyNumberFormat="1" applyFont="1" applyBorder="1"/>
    <xf numFmtId="2" fontId="22" fillId="0" borderId="3" xfId="0" applyNumberFormat="1" applyFont="1" applyBorder="1" applyAlignment="1">
      <alignment horizontal="right"/>
    </xf>
    <xf numFmtId="0" fontId="22" fillId="0" borderId="13" xfId="0" applyFont="1" applyBorder="1" applyAlignment="1">
      <alignment horizontal="right"/>
    </xf>
    <xf numFmtId="9" fontId="22" fillId="0" borderId="3" xfId="0" applyNumberFormat="1" applyFont="1" applyBorder="1" applyAlignment="1">
      <alignment horizontal="right"/>
    </xf>
    <xf numFmtId="171" fontId="22" fillId="0" borderId="3" xfId="0" applyNumberFormat="1" applyFont="1" applyBorder="1" applyAlignment="1">
      <alignment horizontal="right"/>
    </xf>
    <xf numFmtId="171" fontId="22" fillId="0" borderId="3" xfId="0" applyNumberFormat="1" applyFont="1" applyFill="1" applyBorder="1" applyAlignment="1">
      <alignment horizontal="right"/>
    </xf>
    <xf numFmtId="171" fontId="22" fillId="0" borderId="13" xfId="0" applyNumberFormat="1" applyFont="1" applyBorder="1" applyAlignment="1">
      <alignment horizontal="right"/>
    </xf>
    <xf numFmtId="0" fontId="32" fillId="0" borderId="26" xfId="0" applyFont="1" applyBorder="1" applyAlignment="1">
      <alignment horizontal="right"/>
    </xf>
    <xf numFmtId="0" fontId="21" fillId="0" borderId="26" xfId="0" applyFont="1" applyBorder="1" applyAlignment="1">
      <alignment horizontal="right"/>
    </xf>
    <xf numFmtId="1" fontId="21" fillId="0" borderId="26" xfId="27" applyNumberFormat="1" applyFont="1" applyFill="1" applyBorder="1" applyAlignment="1">
      <alignment horizontal="right" vertical="center"/>
    </xf>
    <xf numFmtId="168" fontId="70" fillId="0" borderId="3" xfId="17" applyNumberFormat="1" applyFont="1" applyFill="1" applyBorder="1" applyAlignment="1">
      <alignment horizontal="left" vertical="center"/>
    </xf>
    <xf numFmtId="0" fontId="33" fillId="4" borderId="5" xfId="0" applyFont="1" applyFill="1" applyBorder="1"/>
    <xf numFmtId="43" fontId="28" fillId="0" borderId="3" xfId="9" applyFont="1" applyFill="1" applyBorder="1" applyAlignment="1">
      <alignment horizontal="left" vertical="center"/>
    </xf>
    <xf numFmtId="185" fontId="28" fillId="0" borderId="0" xfId="27" applyNumberFormat="1" applyFont="1" applyFill="1" applyBorder="1">
      <alignment horizontal="left" vertical="center"/>
    </xf>
    <xf numFmtId="182" fontId="22" fillId="0" borderId="12" xfId="0" applyNumberFormat="1" applyFont="1" applyFill="1" applyBorder="1"/>
    <xf numFmtId="182" fontId="22" fillId="0" borderId="3" xfId="0" applyNumberFormat="1" applyFont="1" applyFill="1" applyBorder="1"/>
    <xf numFmtId="182" fontId="22" fillId="0" borderId="13" xfId="0" applyNumberFormat="1" applyFont="1" applyFill="1" applyBorder="1"/>
    <xf numFmtId="182" fontId="42" fillId="0" borderId="11" xfId="28" applyNumberFormat="1" applyFont="1" applyFill="1" applyBorder="1">
      <alignment horizontal="left" vertical="center"/>
    </xf>
    <xf numFmtId="182" fontId="21" fillId="0" borderId="2" xfId="28" applyNumberFormat="1" applyFont="1" applyFill="1" applyBorder="1">
      <alignment horizontal="left" vertical="center"/>
    </xf>
    <xf numFmtId="182" fontId="33" fillId="0" borderId="2" xfId="28" applyNumberFormat="1" applyFont="1" applyFill="1" applyBorder="1">
      <alignment horizontal="left" vertical="center"/>
    </xf>
    <xf numFmtId="182" fontId="42" fillId="0" borderId="34" xfId="28" applyNumberFormat="1" applyFont="1" applyFill="1" applyBorder="1">
      <alignment horizontal="left" vertical="center"/>
    </xf>
    <xf numFmtId="182" fontId="43" fillId="5" borderId="2" xfId="28" quotePrefix="1" applyNumberFormat="1" applyFont="1" applyFill="1" applyBorder="1">
      <alignment horizontal="left" vertical="center"/>
    </xf>
    <xf numFmtId="0" fontId="17" fillId="9" borderId="40" xfId="0" applyFont="1" applyFill="1" applyBorder="1"/>
    <xf numFmtId="173" fontId="40" fillId="0" borderId="0" xfId="0" applyNumberFormat="1" applyFont="1" applyBorder="1" applyAlignment="1">
      <alignment horizontal="right"/>
    </xf>
    <xf numFmtId="168" fontId="32" fillId="4" borderId="26" xfId="17" applyNumberFormat="1" applyFont="1" applyFill="1" applyBorder="1"/>
    <xf numFmtId="168" fontId="32" fillId="4" borderId="0" xfId="17" applyNumberFormat="1" applyFont="1" applyFill="1" applyBorder="1" applyAlignment="1">
      <alignment horizontal="right"/>
    </xf>
    <xf numFmtId="9" fontId="40" fillId="0" borderId="0" xfId="17" applyFont="1" applyBorder="1" applyAlignment="1">
      <alignment horizontal="right"/>
    </xf>
    <xf numFmtId="0" fontId="22" fillId="0" borderId="6" xfId="0" applyFont="1" applyBorder="1" applyAlignment="1">
      <alignment horizontal="right"/>
    </xf>
    <xf numFmtId="1" fontId="22" fillId="0" borderId="6" xfId="0" applyNumberFormat="1" applyFont="1" applyBorder="1"/>
    <xf numFmtId="2" fontId="22" fillId="0" borderId="6" xfId="0" applyNumberFormat="1" applyFont="1" applyBorder="1" applyAlignment="1">
      <alignment horizontal="right"/>
    </xf>
    <xf numFmtId="0" fontId="22" fillId="0" borderId="19" xfId="0" applyFont="1" applyBorder="1" applyAlignment="1">
      <alignment horizontal="right"/>
    </xf>
    <xf numFmtId="9" fontId="22" fillId="0" borderId="6" xfId="0" applyNumberFormat="1" applyFont="1" applyBorder="1" applyAlignment="1">
      <alignment horizontal="right"/>
    </xf>
    <xf numFmtId="171" fontId="22" fillId="0" borderId="6" xfId="0" applyNumberFormat="1" applyFont="1" applyBorder="1" applyAlignment="1">
      <alignment horizontal="right"/>
    </xf>
    <xf numFmtId="171" fontId="22" fillId="0" borderId="19" xfId="0" applyNumberFormat="1" applyFont="1" applyBorder="1" applyAlignment="1">
      <alignment horizontal="right"/>
    </xf>
    <xf numFmtId="1" fontId="33" fillId="0" borderId="5" xfId="0" applyNumberFormat="1" applyFont="1" applyFill="1" applyBorder="1"/>
    <xf numFmtId="9" fontId="21" fillId="0" borderId="5" xfId="17" applyNumberFormat="1" applyFont="1" applyBorder="1" applyAlignment="1">
      <alignment horizontal="right"/>
    </xf>
    <xf numFmtId="6" fontId="21" fillId="0" borderId="5" xfId="17" applyNumberFormat="1" applyFont="1" applyBorder="1" applyAlignment="1">
      <alignment horizontal="right"/>
    </xf>
    <xf numFmtId="0" fontId="21" fillId="0" borderId="0" xfId="0" applyFont="1" applyBorder="1" applyAlignment="1">
      <alignment horizontal="left" indent="2"/>
    </xf>
    <xf numFmtId="37" fontId="21" fillId="4" borderId="0" xfId="13" applyNumberFormat="1" applyFont="1" applyFill="1" applyAlignment="1">
      <alignment horizontal="left" vertical="center" indent="1"/>
    </xf>
    <xf numFmtId="182" fontId="21" fillId="4" borderId="0" xfId="27" applyNumberFormat="1" applyFont="1" applyFill="1" applyBorder="1">
      <alignment horizontal="left" vertical="center"/>
    </xf>
    <xf numFmtId="182" fontId="21" fillId="0" borderId="0" xfId="9" applyNumberFormat="1" applyFont="1" applyFill="1"/>
    <xf numFmtId="182" fontId="22" fillId="11" borderId="0" xfId="9" applyNumberFormat="1" applyFont="1" applyFill="1"/>
    <xf numFmtId="182" fontId="79" fillId="4" borderId="0" xfId="9" applyNumberFormat="1" applyFont="1" applyFill="1"/>
    <xf numFmtId="182" fontId="33" fillId="0" borderId="20" xfId="0" applyNumberFormat="1" applyFont="1" applyBorder="1"/>
    <xf numFmtId="182" fontId="21" fillId="0" borderId="5" xfId="9" applyNumberFormat="1" applyFont="1" applyFill="1" applyBorder="1"/>
    <xf numFmtId="168" fontId="21" fillId="4" borderId="5" xfId="17" applyNumberFormat="1" applyFont="1" applyFill="1" applyBorder="1"/>
    <xf numFmtId="182" fontId="79" fillId="0" borderId="5" xfId="9" applyNumberFormat="1" applyFont="1" applyFill="1" applyBorder="1"/>
    <xf numFmtId="182" fontId="21" fillId="4" borderId="12" xfId="9" applyNumberFormat="1" applyFont="1" applyFill="1" applyBorder="1"/>
    <xf numFmtId="182" fontId="21" fillId="4" borderId="3" xfId="9" applyNumberFormat="1" applyFont="1" applyFill="1" applyBorder="1"/>
    <xf numFmtId="182" fontId="21" fillId="0" borderId="13" xfId="0" applyNumberFormat="1" applyFont="1" applyBorder="1" applyAlignment="1">
      <alignment horizontal="right"/>
    </xf>
    <xf numFmtId="182" fontId="35" fillId="4" borderId="3" xfId="9" applyNumberFormat="1" applyFont="1" applyFill="1" applyBorder="1"/>
    <xf numFmtId="182" fontId="33" fillId="0" borderId="5" xfId="9" applyNumberFormat="1" applyFont="1" applyFill="1" applyBorder="1"/>
    <xf numFmtId="168" fontId="33" fillId="4" borderId="5" xfId="17" applyNumberFormat="1" applyFont="1" applyFill="1" applyBorder="1"/>
    <xf numFmtId="182" fontId="33" fillId="0" borderId="5" xfId="0" applyNumberFormat="1" applyFont="1" applyBorder="1" applyAlignment="1">
      <alignment horizontal="right"/>
    </xf>
    <xf numFmtId="182" fontId="33" fillId="0" borderId="13" xfId="0" applyNumberFormat="1" applyFont="1" applyBorder="1" applyAlignment="1">
      <alignment horizontal="right"/>
    </xf>
    <xf numFmtId="182" fontId="33" fillId="0" borderId="5" xfId="0" applyNumberFormat="1" applyFont="1" applyFill="1" applyBorder="1"/>
    <xf numFmtId="182" fontId="79" fillId="0" borderId="0" xfId="0" applyNumberFormat="1" applyFont="1"/>
    <xf numFmtId="0" fontId="0" fillId="0" borderId="5" xfId="0" applyBorder="1"/>
    <xf numFmtId="182" fontId="55" fillId="4" borderId="0" xfId="17" applyNumberFormat="1" applyFont="1" applyFill="1" applyBorder="1" applyAlignment="1">
      <alignment horizontal="right" vertical="center"/>
    </xf>
    <xf numFmtId="182" fontId="33" fillId="4" borderId="0" xfId="27" applyNumberFormat="1" applyFont="1" applyFill="1" applyBorder="1" applyAlignment="1">
      <alignment horizontal="right" vertical="center"/>
    </xf>
    <xf numFmtId="182" fontId="20" fillId="0" borderId="0" xfId="17" applyNumberFormat="1" applyFont="1" applyFill="1" applyBorder="1" applyAlignment="1">
      <alignment horizontal="right" vertical="center"/>
    </xf>
    <xf numFmtId="182" fontId="20" fillId="0" borderId="0" xfId="10" applyNumberFormat="1" applyFont="1" applyFill="1" applyBorder="1" applyAlignment="1">
      <alignment horizontal="right" vertical="center"/>
    </xf>
    <xf numFmtId="182" fontId="21" fillId="0" borderId="0" xfId="17" applyNumberFormat="1" applyFont="1" applyFill="1" applyBorder="1" applyAlignment="1">
      <alignment horizontal="right" vertical="center"/>
    </xf>
    <xf numFmtId="182" fontId="21" fillId="0" borderId="0" xfId="10" applyNumberFormat="1" applyFont="1" applyFill="1" applyBorder="1" applyAlignment="1">
      <alignment horizontal="right" vertical="center"/>
    </xf>
    <xf numFmtId="182" fontId="33" fillId="0" borderId="0" xfId="17" applyNumberFormat="1" applyFont="1" applyFill="1" applyBorder="1" applyAlignment="1">
      <alignment horizontal="right" vertical="center"/>
    </xf>
    <xf numFmtId="182" fontId="21" fillId="4" borderId="0" xfId="27" applyNumberFormat="1" applyFont="1" applyFill="1" applyBorder="1" applyAlignment="1">
      <alignment horizontal="left" vertical="center" indent="1"/>
    </xf>
    <xf numFmtId="182" fontId="40" fillId="4" borderId="0" xfId="27" applyNumberFormat="1" applyFont="1" applyFill="1" applyBorder="1" applyAlignment="1">
      <alignment horizontal="right" vertical="center"/>
    </xf>
    <xf numFmtId="182" fontId="33" fillId="2" borderId="0" xfId="27" applyNumberFormat="1" applyFont="1" applyFill="1" applyBorder="1" applyAlignment="1">
      <alignment horizontal="right" vertical="center"/>
    </xf>
    <xf numFmtId="182" fontId="54" fillId="4" borderId="0" xfId="27" applyNumberFormat="1" applyFont="1" applyFill="1" applyBorder="1" applyAlignment="1">
      <alignment horizontal="right" vertical="center"/>
    </xf>
    <xf numFmtId="182" fontId="52" fillId="4" borderId="0" xfId="17" applyNumberFormat="1" applyFont="1" applyFill="1" applyBorder="1" applyAlignment="1">
      <alignment horizontal="right" vertical="center"/>
    </xf>
    <xf numFmtId="182" fontId="52" fillId="4" borderId="0" xfId="27" applyNumberFormat="1" applyFont="1" applyFill="1" applyBorder="1" applyAlignment="1">
      <alignment horizontal="right" vertical="center"/>
    </xf>
    <xf numFmtId="182" fontId="52" fillId="4" borderId="0" xfId="10" applyNumberFormat="1" applyFont="1" applyFill="1" applyBorder="1" applyAlignment="1">
      <alignment horizontal="right" vertical="center"/>
    </xf>
    <xf numFmtId="182" fontId="32" fillId="4" borderId="0" xfId="10" applyNumberFormat="1" applyFont="1" applyFill="1" applyBorder="1" applyAlignment="1">
      <alignment horizontal="right" vertical="center"/>
    </xf>
    <xf numFmtId="182" fontId="22" fillId="4" borderId="0" xfId="27" applyNumberFormat="1" applyFont="1" applyFill="1" applyBorder="1">
      <alignment horizontal="left" vertical="center"/>
    </xf>
    <xf numFmtId="182" fontId="37" fillId="4" borderId="0" xfId="27" applyNumberFormat="1" applyFont="1" applyFill="1" applyBorder="1">
      <alignment horizontal="left" vertical="center"/>
    </xf>
    <xf numFmtId="182" fontId="76" fillId="4" borderId="0" xfId="27" applyNumberFormat="1" applyFont="1" applyFill="1" applyBorder="1" applyAlignment="1">
      <alignment horizontal="right" vertical="center"/>
    </xf>
    <xf numFmtId="182" fontId="77" fillId="4" borderId="0" xfId="17" applyNumberFormat="1" applyFont="1" applyFill="1" applyBorder="1" applyAlignment="1">
      <alignment horizontal="right" vertical="center"/>
    </xf>
    <xf numFmtId="182" fontId="77" fillId="4" borderId="0" xfId="27" applyNumberFormat="1" applyFont="1" applyFill="1" applyBorder="1" applyAlignment="1">
      <alignment horizontal="right" vertical="center"/>
    </xf>
    <xf numFmtId="182" fontId="77" fillId="4" borderId="0" xfId="10" applyNumberFormat="1" applyFont="1" applyFill="1" applyBorder="1" applyAlignment="1">
      <alignment horizontal="right" vertical="center"/>
    </xf>
    <xf numFmtId="182" fontId="37" fillId="4" borderId="0" xfId="17" applyNumberFormat="1" applyFont="1" applyFill="1" applyBorder="1" applyAlignment="1">
      <alignment horizontal="right" vertical="center"/>
    </xf>
    <xf numFmtId="182" fontId="37" fillId="4" borderId="0" xfId="27" applyNumberFormat="1" applyFont="1" applyFill="1" applyBorder="1" applyAlignment="1">
      <alignment horizontal="right" vertical="center"/>
    </xf>
    <xf numFmtId="182" fontId="37" fillId="4" borderId="0" xfId="10" applyNumberFormat="1" applyFont="1" applyFill="1" applyBorder="1" applyAlignment="1">
      <alignment horizontal="right" vertical="center"/>
    </xf>
    <xf numFmtId="182" fontId="41" fillId="4" borderId="0" xfId="27" applyNumberFormat="1" applyFont="1" applyFill="1" applyBorder="1" applyAlignment="1">
      <alignment horizontal="right" vertical="center"/>
    </xf>
    <xf numFmtId="182" fontId="41" fillId="4" borderId="0" xfId="17" applyNumberFormat="1" applyFont="1" applyFill="1" applyBorder="1" applyAlignment="1">
      <alignment horizontal="right" vertical="center"/>
    </xf>
    <xf numFmtId="182" fontId="22" fillId="4" borderId="0" xfId="27" applyNumberFormat="1" applyFont="1" applyFill="1" applyBorder="1" applyAlignment="1">
      <alignment horizontal="right" vertical="center"/>
    </xf>
    <xf numFmtId="182" fontId="47" fillId="4" borderId="5" xfId="27" applyNumberFormat="1" applyFont="1" applyFill="1" applyBorder="1">
      <alignment horizontal="left" vertical="center"/>
    </xf>
    <xf numFmtId="0" fontId="15" fillId="4" borderId="0" xfId="0" applyFont="1" applyFill="1"/>
    <xf numFmtId="182" fontId="32" fillId="4" borderId="5" xfId="17" applyNumberFormat="1" applyFont="1" applyFill="1" applyBorder="1" applyAlignment="1">
      <alignment horizontal="right" vertical="center"/>
    </xf>
    <xf numFmtId="182" fontId="21" fillId="4" borderId="5" xfId="17" applyNumberFormat="1" applyFont="1" applyFill="1" applyBorder="1" applyAlignment="1">
      <alignment horizontal="right" vertical="center"/>
    </xf>
    <xf numFmtId="182" fontId="22" fillId="4" borderId="5" xfId="17" applyNumberFormat="1" applyFont="1" applyFill="1" applyBorder="1" applyAlignment="1">
      <alignment horizontal="right" vertical="center"/>
    </xf>
    <xf numFmtId="182" fontId="38" fillId="4" borderId="3" xfId="27" applyNumberFormat="1" applyFont="1" applyFill="1" applyBorder="1" applyAlignment="1">
      <alignment horizontal="right" vertical="center"/>
    </xf>
    <xf numFmtId="182" fontId="21" fillId="4" borderId="13" xfId="17" applyNumberFormat="1" applyFont="1" applyFill="1" applyBorder="1" applyAlignment="1">
      <alignment horizontal="right" vertical="center"/>
    </xf>
    <xf numFmtId="182" fontId="79" fillId="4" borderId="5" xfId="17" applyNumberFormat="1" applyFont="1" applyFill="1" applyBorder="1" applyAlignment="1">
      <alignment horizontal="right" vertical="center"/>
    </xf>
    <xf numFmtId="182" fontId="79" fillId="4" borderId="0" xfId="27" applyNumberFormat="1" applyFont="1" applyFill="1" applyBorder="1" applyAlignment="1">
      <alignment horizontal="right" vertical="center"/>
    </xf>
    <xf numFmtId="182" fontId="21" fillId="4" borderId="3" xfId="27" applyNumberFormat="1" applyFont="1" applyFill="1" applyBorder="1" applyAlignment="1">
      <alignment horizontal="right" vertical="center"/>
    </xf>
    <xf numFmtId="182" fontId="54" fillId="4" borderId="0" xfId="17" applyNumberFormat="1" applyFont="1" applyFill="1" applyBorder="1" applyAlignment="1">
      <alignment horizontal="right" vertical="center"/>
    </xf>
    <xf numFmtId="182" fontId="54" fillId="4" borderId="0" xfId="10" applyNumberFormat="1" applyFont="1" applyFill="1" applyBorder="1" applyAlignment="1">
      <alignment horizontal="right" vertical="center"/>
    </xf>
    <xf numFmtId="182" fontId="21" fillId="4" borderId="0" xfId="10" applyNumberFormat="1" applyFont="1" applyFill="1" applyBorder="1" applyAlignment="1">
      <alignment horizontal="right" vertical="center"/>
    </xf>
    <xf numFmtId="168" fontId="21" fillId="4" borderId="0" xfId="17" applyNumberFormat="1" applyFont="1" applyFill="1" applyBorder="1" applyAlignment="1">
      <alignment horizontal="right" vertical="center"/>
    </xf>
    <xf numFmtId="182" fontId="38" fillId="4" borderId="5" xfId="17" applyNumberFormat="1" applyFont="1" applyFill="1" applyBorder="1" applyAlignment="1">
      <alignment horizontal="right" vertical="center"/>
    </xf>
    <xf numFmtId="182" fontId="38" fillId="4" borderId="13" xfId="17" applyNumberFormat="1" applyFont="1" applyFill="1" applyBorder="1" applyAlignment="1">
      <alignment horizontal="right" vertical="center"/>
    </xf>
    <xf numFmtId="182" fontId="33" fillId="4" borderId="5" xfId="17" applyNumberFormat="1" applyFont="1" applyFill="1" applyBorder="1" applyAlignment="1">
      <alignment horizontal="right" vertical="center"/>
    </xf>
    <xf numFmtId="168" fontId="79" fillId="4" borderId="0" xfId="17" applyNumberFormat="1" applyFont="1" applyFill="1" applyBorder="1" applyAlignment="1">
      <alignment horizontal="right" vertical="center"/>
    </xf>
    <xf numFmtId="182" fontId="35" fillId="4" borderId="0" xfId="27" applyNumberFormat="1" applyFont="1" applyFill="1" applyBorder="1" applyAlignment="1">
      <alignment horizontal="right" vertical="center"/>
    </xf>
    <xf numFmtId="182" fontId="43" fillId="5" borderId="0" xfId="28" quotePrefix="1" applyNumberFormat="1" applyFont="1" applyFill="1" applyBorder="1">
      <alignment horizontal="left" vertical="center"/>
    </xf>
    <xf numFmtId="182" fontId="33" fillId="4" borderId="0" xfId="0" applyNumberFormat="1" applyFont="1" applyFill="1"/>
    <xf numFmtId="9" fontId="33" fillId="4" borderId="0" xfId="17" applyFont="1" applyFill="1"/>
    <xf numFmtId="182" fontId="32" fillId="0" borderId="5" xfId="10" applyNumberFormat="1" applyFont="1" applyFill="1" applyBorder="1" applyAlignment="1">
      <alignment horizontal="right" vertical="center"/>
    </xf>
    <xf numFmtId="182" fontId="21" fillId="0" borderId="5" xfId="27" applyNumberFormat="1" applyFont="1" applyFill="1" applyBorder="1" applyAlignment="1">
      <alignment horizontal="right" vertical="center"/>
    </xf>
    <xf numFmtId="182" fontId="33" fillId="0" borderId="5" xfId="27" applyNumberFormat="1" applyFont="1" applyFill="1" applyBorder="1">
      <alignment horizontal="left" vertical="center"/>
    </xf>
    <xf numFmtId="182" fontId="33" fillId="0" borderId="5" xfId="0" applyNumberFormat="1" applyFont="1" applyBorder="1"/>
    <xf numFmtId="182" fontId="21" fillId="0" borderId="5" xfId="17" applyNumberFormat="1" applyFont="1" applyFill="1" applyBorder="1" applyAlignment="1">
      <alignment horizontal="right" vertical="center"/>
    </xf>
    <xf numFmtId="182" fontId="33" fillId="6" borderId="21" xfId="0" applyNumberFormat="1" applyFont="1" applyFill="1" applyBorder="1"/>
    <xf numFmtId="39" fontId="21" fillId="0" borderId="5" xfId="27" applyNumberFormat="1" applyFont="1" applyFill="1" applyBorder="1" applyAlignment="1">
      <alignment horizontal="right" vertical="center"/>
    </xf>
    <xf numFmtId="182" fontId="38" fillId="0" borderId="5" xfId="27" applyNumberFormat="1" applyFont="1" applyFill="1" applyBorder="1">
      <alignment horizontal="left" vertical="center"/>
    </xf>
    <xf numFmtId="182" fontId="33" fillId="7" borderId="19" xfId="27" applyNumberFormat="1" applyFont="1" applyFill="1" applyBorder="1" applyAlignment="1">
      <alignment horizontal="right" vertical="center"/>
    </xf>
    <xf numFmtId="182" fontId="21" fillId="10" borderId="5" xfId="27" applyNumberFormat="1" applyFont="1" applyFill="1" applyBorder="1" applyAlignment="1">
      <alignment horizontal="right" vertical="center"/>
    </xf>
    <xf numFmtId="182" fontId="21" fillId="4" borderId="3" xfId="27" applyNumberFormat="1" applyFont="1" applyFill="1" applyBorder="1" applyAlignment="1">
      <alignment horizontal="left" vertical="center" indent="1"/>
    </xf>
    <xf numFmtId="182" fontId="21" fillId="4" borderId="3" xfId="27" applyNumberFormat="1" applyFont="1" applyFill="1" applyBorder="1">
      <alignment horizontal="left" vertical="center"/>
    </xf>
    <xf numFmtId="182" fontId="55" fillId="4" borderId="3" xfId="27" applyNumberFormat="1" applyFont="1" applyFill="1" applyBorder="1" applyAlignment="1">
      <alignment horizontal="right" vertical="center"/>
    </xf>
    <xf numFmtId="182" fontId="55" fillId="4" borderId="3" xfId="17" applyNumberFormat="1" applyFont="1" applyFill="1" applyBorder="1" applyAlignment="1">
      <alignment horizontal="right" vertical="center"/>
    </xf>
    <xf numFmtId="182" fontId="21" fillId="4" borderId="3" xfId="17" applyNumberFormat="1" applyFont="1" applyFill="1" applyBorder="1" applyAlignment="1">
      <alignment horizontal="right" vertical="center"/>
    </xf>
    <xf numFmtId="182" fontId="33" fillId="4" borderId="3" xfId="17" applyNumberFormat="1" applyFont="1" applyFill="1" applyBorder="1" applyAlignment="1">
      <alignment horizontal="right" vertical="center"/>
    </xf>
    <xf numFmtId="182" fontId="33" fillId="4" borderId="3" xfId="27" applyNumberFormat="1" applyFont="1" applyFill="1" applyBorder="1" applyAlignment="1">
      <alignment horizontal="right" vertical="center"/>
    </xf>
    <xf numFmtId="182" fontId="20" fillId="4" borderId="3" xfId="17" applyNumberFormat="1" applyFont="1" applyFill="1" applyBorder="1" applyAlignment="1">
      <alignment horizontal="right" vertical="center"/>
    </xf>
    <xf numFmtId="182" fontId="35" fillId="4" borderId="11" xfId="17" applyNumberFormat="1" applyFont="1" applyFill="1" applyBorder="1" applyAlignment="1">
      <alignment horizontal="right" vertical="center"/>
    </xf>
    <xf numFmtId="182" fontId="38" fillId="0" borderId="5" xfId="10" applyNumberFormat="1" applyFont="1" applyFill="1" applyBorder="1" applyAlignment="1">
      <alignment horizontal="right" vertical="center"/>
    </xf>
    <xf numFmtId="182" fontId="33" fillId="0" borderId="5" xfId="27" applyNumberFormat="1" applyFont="1" applyFill="1" applyBorder="1" applyAlignment="1">
      <alignment horizontal="right" vertical="center"/>
    </xf>
    <xf numFmtId="182" fontId="33" fillId="4" borderId="13" xfId="17" applyNumberFormat="1" applyFont="1" applyFill="1" applyBorder="1" applyAlignment="1">
      <alignment horizontal="right" vertical="center"/>
    </xf>
    <xf numFmtId="182" fontId="33" fillId="0" borderId="5" xfId="17" applyNumberFormat="1" applyFont="1" applyFill="1" applyBorder="1" applyAlignment="1">
      <alignment horizontal="right" vertical="center"/>
    </xf>
    <xf numFmtId="9" fontId="33" fillId="0" borderId="5" xfId="17" applyFont="1" applyBorder="1" applyAlignment="1">
      <alignment horizontal="right"/>
    </xf>
    <xf numFmtId="182" fontId="33" fillId="0" borderId="5" xfId="0" applyNumberFormat="1" applyFont="1" applyFill="1" applyBorder="1" applyAlignment="1">
      <alignment horizontal="right"/>
    </xf>
    <xf numFmtId="182" fontId="33" fillId="10" borderId="5" xfId="27" applyNumberFormat="1" applyFont="1" applyFill="1" applyBorder="1" applyAlignment="1">
      <alignment horizontal="right" vertical="center"/>
    </xf>
    <xf numFmtId="182" fontId="21" fillId="4" borderId="12" xfId="17" applyNumberFormat="1" applyFont="1" applyFill="1" applyBorder="1" applyAlignment="1">
      <alignment horizontal="right" vertical="center"/>
    </xf>
    <xf numFmtId="182" fontId="35" fillId="4" borderId="26" xfId="0" applyNumberFormat="1" applyFont="1" applyFill="1" applyBorder="1"/>
    <xf numFmtId="182" fontId="33" fillId="4" borderId="26" xfId="0" applyNumberFormat="1" applyFont="1" applyFill="1" applyBorder="1" applyAlignment="1">
      <alignment horizontal="right"/>
    </xf>
    <xf numFmtId="182" fontId="33" fillId="4" borderId="0" xfId="0" applyNumberFormat="1" applyFont="1" applyFill="1" applyBorder="1"/>
    <xf numFmtId="182" fontId="35" fillId="4" borderId="6" xfId="0" applyNumberFormat="1" applyFont="1" applyFill="1" applyBorder="1"/>
    <xf numFmtId="182" fontId="35" fillId="4" borderId="36" xfId="0" applyNumberFormat="1" applyFont="1" applyFill="1" applyBorder="1"/>
    <xf numFmtId="182" fontId="35" fillId="4" borderId="0" xfId="0" applyNumberFormat="1" applyFont="1" applyFill="1" applyBorder="1"/>
    <xf numFmtId="182" fontId="35" fillId="4" borderId="4" xfId="0" applyNumberFormat="1" applyFont="1" applyFill="1" applyBorder="1"/>
    <xf numFmtId="182" fontId="45" fillId="4" borderId="39" xfId="0" applyNumberFormat="1" applyFont="1" applyFill="1" applyBorder="1"/>
    <xf numFmtId="182" fontId="33" fillId="4" borderId="26" xfId="0" applyNumberFormat="1" applyFont="1" applyFill="1" applyBorder="1"/>
    <xf numFmtId="182" fontId="33" fillId="4" borderId="0" xfId="27" applyNumberFormat="1" applyFont="1" applyFill="1" applyBorder="1">
      <alignment horizontal="left" vertical="center"/>
    </xf>
    <xf numFmtId="182" fontId="33" fillId="4" borderId="26" xfId="27" applyNumberFormat="1" applyFont="1" applyFill="1" applyBorder="1">
      <alignment horizontal="left" vertical="center"/>
    </xf>
    <xf numFmtId="182" fontId="35" fillId="4" borderId="39" xfId="0" applyNumberFormat="1" applyFont="1" applyFill="1" applyBorder="1"/>
    <xf numFmtId="182" fontId="41" fillId="4" borderId="26" xfId="0" applyNumberFormat="1" applyFont="1" applyFill="1" applyBorder="1"/>
    <xf numFmtId="182" fontId="35" fillId="4" borderId="26" xfId="0" applyNumberFormat="1" applyFont="1" applyFill="1" applyBorder="1" applyAlignment="1">
      <alignment horizontal="right"/>
    </xf>
    <xf numFmtId="9" fontId="33" fillId="4" borderId="26" xfId="17" applyFont="1" applyFill="1" applyBorder="1" applyAlignment="1">
      <alignment horizontal="right"/>
    </xf>
    <xf numFmtId="182" fontId="21" fillId="4" borderId="26" xfId="0" applyNumberFormat="1" applyFont="1" applyFill="1" applyBorder="1" applyAlignment="1">
      <alignment horizontal="right"/>
    </xf>
    <xf numFmtId="186" fontId="0" fillId="0" borderId="0" xfId="0" applyNumberFormat="1"/>
    <xf numFmtId="185" fontId="32" fillId="0" borderId="0" xfId="27" applyNumberFormat="1" applyFont="1" applyFill="1" applyBorder="1">
      <alignment horizontal="left" vertical="center"/>
    </xf>
    <xf numFmtId="185" fontId="21" fillId="0" borderId="0" xfId="27" applyNumberFormat="1" applyFont="1" applyFill="1" applyBorder="1">
      <alignment horizontal="left" vertical="center"/>
    </xf>
    <xf numFmtId="186" fontId="21" fillId="0" borderId="0" xfId="17" applyNumberFormat="1" applyFont="1"/>
    <xf numFmtId="186" fontId="15" fillId="0" borderId="0" xfId="0" applyNumberFormat="1" applyFont="1"/>
    <xf numFmtId="176" fontId="0" fillId="0" borderId="0" xfId="10" applyNumberFormat="1" applyFont="1"/>
    <xf numFmtId="177" fontId="0" fillId="0" borderId="0" xfId="9" applyNumberFormat="1" applyFont="1"/>
    <xf numFmtId="3" fontId="21" fillId="0" borderId="10" xfId="27" applyNumberFormat="1" applyFont="1" applyFill="1" applyBorder="1">
      <alignment horizontal="left" vertical="center"/>
    </xf>
    <xf numFmtId="168" fontId="28" fillId="0" borderId="3" xfId="27" applyNumberFormat="1" applyFont="1" applyFill="1" applyBorder="1">
      <alignment horizontal="left" vertical="center"/>
    </xf>
    <xf numFmtId="9" fontId="38" fillId="0" borderId="0" xfId="17" applyFont="1" applyFill="1" applyBorder="1" applyAlignment="1">
      <alignment horizontal="right" vertical="center"/>
    </xf>
    <xf numFmtId="43" fontId="33" fillId="0" borderId="0" xfId="9" applyFont="1" applyBorder="1"/>
    <xf numFmtId="9" fontId="21" fillId="0" borderId="0" xfId="17" applyFont="1" applyFill="1" applyAlignment="1">
      <alignment horizontal="left" vertical="center"/>
    </xf>
    <xf numFmtId="9" fontId="21" fillId="0" borderId="0" xfId="17" applyFont="1" applyFill="1" applyAlignment="1">
      <alignment horizontal="right"/>
    </xf>
    <xf numFmtId="9" fontId="21" fillId="2" borderId="5" xfId="17" applyFont="1" applyFill="1" applyBorder="1"/>
    <xf numFmtId="0" fontId="2" fillId="0" borderId="0" xfId="27" applyFont="1" applyFill="1" applyBorder="1">
      <alignment horizontal="left" vertical="center"/>
    </xf>
    <xf numFmtId="0" fontId="2" fillId="0" borderId="0" xfId="28" applyFont="1" applyFill="1" applyBorder="1">
      <alignment horizontal="left" vertical="center"/>
    </xf>
    <xf numFmtId="43" fontId="2" fillId="0" borderId="3" xfId="9" applyFont="1" applyFill="1" applyBorder="1" applyAlignment="1">
      <alignment horizontal="left" vertical="center"/>
    </xf>
    <xf numFmtId="39" fontId="21" fillId="0" borderId="0" xfId="0" applyNumberFormat="1" applyFont="1"/>
    <xf numFmtId="39" fontId="0" fillId="0" borderId="0" xfId="0" applyNumberFormat="1"/>
    <xf numFmtId="39" fontId="32" fillId="0" borderId="0" xfId="13" applyNumberFormat="1" applyFont="1" applyFill="1">
      <alignment horizontal="left" vertical="center"/>
    </xf>
    <xf numFmtId="39" fontId="40" fillId="0" borderId="5" xfId="0" applyNumberFormat="1" applyFont="1" applyBorder="1"/>
    <xf numFmtId="39" fontId="40" fillId="0" borderId="5" xfId="0" applyNumberFormat="1" applyFont="1" applyFill="1" applyBorder="1"/>
    <xf numFmtId="39" fontId="40" fillId="0" borderId="26" xfId="0" applyNumberFormat="1" applyFont="1" applyBorder="1"/>
    <xf numFmtId="39" fontId="21" fillId="2" borderId="5" xfId="0" applyNumberFormat="1" applyFont="1" applyFill="1" applyBorder="1"/>
    <xf numFmtId="170" fontId="40" fillId="0" borderId="0" xfId="0" applyNumberFormat="1" applyFont="1" applyBorder="1" applyAlignment="1">
      <alignment horizontal="right"/>
    </xf>
    <xf numFmtId="182" fontId="43" fillId="5" borderId="3" xfId="28" quotePrefix="1" applyNumberFormat="1" applyFont="1" applyFill="1" applyBorder="1">
      <alignment horizontal="left" vertical="center"/>
    </xf>
    <xf numFmtId="168" fontId="80" fillId="0" borderId="0" xfId="0" applyNumberFormat="1" applyFont="1" applyBorder="1" applyAlignment="1">
      <alignment horizontal="right"/>
    </xf>
    <xf numFmtId="10" fontId="0" fillId="0" borderId="0" xfId="17" applyNumberFormat="1" applyFont="1"/>
    <xf numFmtId="185" fontId="21" fillId="0" borderId="20" xfId="0" applyNumberFormat="1" applyFont="1" applyBorder="1"/>
    <xf numFmtId="182" fontId="21" fillId="2" borderId="5" xfId="27" applyNumberFormat="1" applyFont="1" applyFill="1" applyBorder="1">
      <alignment horizontal="left" vertical="center"/>
    </xf>
    <xf numFmtId="10" fontId="80" fillId="0" borderId="0" xfId="0" applyNumberFormat="1" applyFont="1" applyBorder="1" applyAlignment="1">
      <alignment horizontal="right"/>
    </xf>
    <xf numFmtId="9" fontId="20" fillId="0" borderId="0" xfId="17" applyNumberFormat="1" applyFont="1" applyBorder="1"/>
    <xf numFmtId="9" fontId="21" fillId="4" borderId="0" xfId="17" applyFont="1" applyFill="1" applyBorder="1" applyAlignment="1">
      <alignment horizontal="right"/>
    </xf>
    <xf numFmtId="9" fontId="21" fillId="4" borderId="5" xfId="17" applyFont="1" applyFill="1" applyBorder="1" applyAlignment="1">
      <alignment horizontal="right"/>
    </xf>
    <xf numFmtId="0" fontId="22" fillId="4" borderId="5" xfId="17" applyNumberFormat="1" applyFont="1" applyFill="1" applyBorder="1" applyAlignment="1">
      <alignment horizontal="right"/>
    </xf>
    <xf numFmtId="43" fontId="0" fillId="0" borderId="0" xfId="9" applyFont="1"/>
    <xf numFmtId="43" fontId="0" fillId="0" borderId="0" xfId="0" applyNumberFormat="1"/>
    <xf numFmtId="9" fontId="20" fillId="0" borderId="11" xfId="17" applyNumberFormat="1" applyFont="1" applyBorder="1"/>
    <xf numFmtId="182" fontId="21" fillId="4" borderId="0" xfId="0" applyNumberFormat="1" applyFont="1" applyFill="1" applyBorder="1"/>
    <xf numFmtId="182" fontId="22" fillId="4" borderId="4" xfId="0" applyNumberFormat="1" applyFont="1" applyFill="1" applyBorder="1"/>
    <xf numFmtId="168" fontId="21" fillId="4" borderId="0" xfId="17" applyNumberFormat="1" applyFont="1" applyFill="1" applyBorder="1" applyAlignment="1">
      <alignment horizontal="right"/>
    </xf>
    <xf numFmtId="9" fontId="21" fillId="4" borderId="26" xfId="17" applyFont="1" applyFill="1" applyBorder="1" applyAlignment="1">
      <alignment horizontal="right"/>
    </xf>
    <xf numFmtId="0" fontId="2" fillId="0" borderId="3" xfId="27" applyFont="1" applyFill="1" applyBorder="1">
      <alignment horizontal="left" vertical="center"/>
    </xf>
    <xf numFmtId="0" fontId="2" fillId="6" borderId="0" xfId="28" applyFont="1" applyFill="1">
      <alignment horizontal="left" vertical="center"/>
    </xf>
    <xf numFmtId="191" fontId="21" fillId="0" borderId="0" xfId="27" applyNumberFormat="1" applyFont="1" applyFill="1" applyBorder="1">
      <alignment horizontal="left" vertical="center"/>
    </xf>
    <xf numFmtId="182" fontId="22" fillId="0" borderId="1" xfId="0" applyNumberFormat="1" applyFont="1" applyFill="1" applyBorder="1"/>
    <xf numFmtId="9" fontId="32" fillId="7" borderId="26" xfId="17" applyFont="1" applyFill="1" applyBorder="1"/>
    <xf numFmtId="182" fontId="81" fillId="4" borderId="0" xfId="27" applyNumberFormat="1" applyFont="1" applyFill="1" applyBorder="1" applyAlignment="1">
      <alignment horizontal="right" vertical="center"/>
    </xf>
    <xf numFmtId="182" fontId="81" fillId="4" borderId="5" xfId="17" applyNumberFormat="1" applyFont="1" applyFill="1" applyBorder="1" applyAlignment="1">
      <alignment horizontal="right" vertical="center"/>
    </xf>
    <xf numFmtId="43" fontId="1" fillId="0" borderId="0" xfId="9" applyFont="1"/>
    <xf numFmtId="43" fontId="1" fillId="0" borderId="0" xfId="0" applyNumberFormat="1" applyFont="1"/>
    <xf numFmtId="0" fontId="21" fillId="0" borderId="0" xfId="0" applyFont="1" applyFill="1" applyBorder="1" applyAlignment="1">
      <alignment horizontal="right"/>
    </xf>
    <xf numFmtId="3" fontId="22" fillId="4" borderId="0" xfId="0" applyNumberFormat="1" applyFont="1" applyFill="1" applyBorder="1"/>
    <xf numFmtId="168" fontId="21" fillId="0" borderId="0" xfId="17" applyNumberFormat="1" applyFont="1" applyBorder="1"/>
    <xf numFmtId="9" fontId="33" fillId="4" borderId="5" xfId="17" applyFont="1" applyFill="1" applyBorder="1" applyAlignment="1">
      <alignment horizontal="right" vertical="center"/>
    </xf>
    <xf numFmtId="181" fontId="22" fillId="4" borderId="0" xfId="27" applyNumberFormat="1" applyFont="1" applyFill="1" applyBorder="1" applyAlignment="1">
      <alignment horizontal="right" vertical="center"/>
    </xf>
    <xf numFmtId="9" fontId="83" fillId="5" borderId="0" xfId="17" applyFont="1" applyFill="1"/>
    <xf numFmtId="9" fontId="84" fillId="4" borderId="0" xfId="0" applyNumberFormat="1" applyFont="1" applyFill="1"/>
    <xf numFmtId="170" fontId="17" fillId="4" borderId="0" xfId="0" applyNumberFormat="1" applyFont="1" applyFill="1"/>
    <xf numFmtId="170" fontId="17" fillId="4" borderId="0" xfId="0" applyNumberFormat="1" applyFont="1" applyFill="1" applyBorder="1"/>
    <xf numFmtId="0" fontId="2" fillId="0" borderId="26" xfId="28" applyFont="1" applyFill="1" applyBorder="1">
      <alignment horizontal="left" vertical="center"/>
    </xf>
    <xf numFmtId="0" fontId="2" fillId="6" borderId="26" xfId="28" applyFont="1" applyFill="1" applyBorder="1">
      <alignment horizontal="left" vertical="center"/>
    </xf>
    <xf numFmtId="164" fontId="17" fillId="0" borderId="26" xfId="19" quotePrefix="1" applyNumberFormat="1" applyFont="1" applyFill="1" applyBorder="1" applyAlignment="1">
      <alignment horizontal="right" vertical="center"/>
    </xf>
    <xf numFmtId="164" fontId="2" fillId="0" borderId="26" xfId="19" applyNumberFormat="1" applyFont="1" applyFill="1" applyBorder="1">
      <alignment horizontal="right" vertical="center"/>
    </xf>
    <xf numFmtId="182" fontId="22" fillId="4" borderId="26" xfId="0" applyNumberFormat="1" applyFont="1" applyFill="1" applyBorder="1" applyAlignment="1">
      <alignment horizontal="right"/>
    </xf>
    <xf numFmtId="9" fontId="21" fillId="4" borderId="0" xfId="17" applyFont="1" applyFill="1"/>
    <xf numFmtId="182" fontId="22" fillId="0" borderId="26" xfId="0" applyNumberFormat="1" applyFont="1" applyBorder="1" applyAlignment="1">
      <alignment horizontal="right"/>
    </xf>
    <xf numFmtId="39" fontId="21" fillId="0" borderId="26" xfId="0" applyNumberFormat="1" applyFont="1" applyBorder="1"/>
    <xf numFmtId="182" fontId="21" fillId="0" borderId="33" xfId="0" applyNumberFormat="1" applyFont="1" applyBorder="1"/>
    <xf numFmtId="182" fontId="21" fillId="0" borderId="34" xfId="28" applyNumberFormat="1" applyFont="1" applyFill="1" applyBorder="1">
      <alignment horizontal="left" vertical="center"/>
    </xf>
    <xf numFmtId="182" fontId="22" fillId="0" borderId="35" xfId="19" quotePrefix="1" applyNumberFormat="1" applyFont="1" applyFill="1" applyBorder="1" applyAlignment="1">
      <alignment horizontal="right" vertical="center"/>
    </xf>
    <xf numFmtId="9" fontId="22" fillId="0" borderId="26" xfId="17" applyFont="1" applyBorder="1" applyAlignment="1">
      <alignment horizontal="right"/>
    </xf>
    <xf numFmtId="182" fontId="22" fillId="0" borderId="33" xfId="0" applyNumberFormat="1" applyFont="1" applyFill="1" applyBorder="1"/>
    <xf numFmtId="182" fontId="37" fillId="0" borderId="26" xfId="19" applyNumberFormat="1" applyFont="1" applyFill="1" applyBorder="1">
      <alignment horizontal="right" vertical="center"/>
    </xf>
    <xf numFmtId="182" fontId="21" fillId="4" borderId="26" xfId="0" applyNumberFormat="1" applyFont="1" applyFill="1" applyBorder="1"/>
    <xf numFmtId="182" fontId="22" fillId="4" borderId="26" xfId="0" applyNumberFormat="1" applyFont="1" applyFill="1" applyBorder="1"/>
    <xf numFmtId="182" fontId="21" fillId="4" borderId="26" xfId="27" applyNumberFormat="1" applyFont="1" applyFill="1" applyBorder="1">
      <alignment horizontal="left" vertical="center"/>
    </xf>
    <xf numFmtId="182" fontId="22" fillId="4" borderId="39" xfId="0" applyNumberFormat="1" applyFont="1" applyFill="1" applyBorder="1"/>
    <xf numFmtId="182" fontId="37" fillId="4" borderId="26" xfId="0" applyNumberFormat="1" applyFont="1" applyFill="1" applyBorder="1"/>
    <xf numFmtId="182" fontId="22" fillId="4" borderId="36" xfId="0" applyNumberFormat="1" applyFont="1" applyFill="1" applyBorder="1"/>
    <xf numFmtId="182" fontId="32" fillId="4" borderId="13" xfId="17" applyNumberFormat="1" applyFont="1" applyFill="1" applyBorder="1" applyAlignment="1">
      <alignment horizontal="right" vertical="center"/>
    </xf>
    <xf numFmtId="9" fontId="21" fillId="4" borderId="5" xfId="17" applyFont="1" applyFill="1" applyBorder="1" applyAlignment="1">
      <alignment horizontal="right" vertical="center"/>
    </xf>
    <xf numFmtId="182" fontId="86" fillId="4" borderId="0" xfId="9" applyNumberFormat="1" applyFont="1" applyFill="1"/>
    <xf numFmtId="164" fontId="32" fillId="0" borderId="13" xfId="27" applyNumberFormat="1" applyFont="1" applyFill="1" applyBorder="1" applyAlignment="1">
      <alignment horizontal="right" vertical="center"/>
    </xf>
    <xf numFmtId="171" fontId="21" fillId="0" borderId="0" xfId="17" applyNumberFormat="1" applyFont="1"/>
    <xf numFmtId="0" fontId="21" fillId="0" borderId="0" xfId="0" applyFont="1" applyBorder="1" applyAlignment="1">
      <alignment horizontal="left"/>
    </xf>
    <xf numFmtId="188" fontId="40" fillId="0" borderId="0" xfId="0" applyNumberFormat="1" applyFont="1" applyBorder="1" applyAlignment="1">
      <alignment horizontal="right"/>
    </xf>
    <xf numFmtId="0" fontId="17" fillId="13" borderId="0" xfId="0" applyFont="1" applyFill="1"/>
    <xf numFmtId="9" fontId="17" fillId="13" borderId="0" xfId="17" applyFont="1" applyFill="1"/>
    <xf numFmtId="0" fontId="17" fillId="14" borderId="0" xfId="0" applyFont="1" applyFill="1"/>
    <xf numFmtId="9" fontId="17" fillId="14" borderId="0" xfId="17" applyFont="1" applyFill="1"/>
    <xf numFmtId="0" fontId="17" fillId="15" borderId="0" xfId="0" applyFont="1" applyFill="1"/>
    <xf numFmtId="9" fontId="17" fillId="15" borderId="0" xfId="17" applyFont="1" applyFill="1"/>
    <xf numFmtId="0" fontId="17" fillId="16" borderId="0" xfId="0" applyFont="1" applyFill="1"/>
    <xf numFmtId="9" fontId="17" fillId="16" borderId="0" xfId="17" applyFont="1" applyFill="1"/>
    <xf numFmtId="0" fontId="17" fillId="17" borderId="0" xfId="0" applyFont="1" applyFill="1"/>
    <xf numFmtId="9" fontId="17" fillId="17" borderId="0" xfId="17" applyFont="1" applyFill="1"/>
    <xf numFmtId="0" fontId="17" fillId="18" borderId="0" xfId="0" applyFont="1" applyFill="1"/>
    <xf numFmtId="1" fontId="17" fillId="18" borderId="0" xfId="0" applyNumberFormat="1" applyFont="1" applyFill="1"/>
    <xf numFmtId="174" fontId="17" fillId="12" borderId="40" xfId="0" applyNumberFormat="1" applyFont="1" applyFill="1" applyBorder="1" applyAlignment="1">
      <alignment horizontal="center"/>
    </xf>
    <xf numFmtId="164" fontId="21" fillId="4" borderId="0" xfId="0" applyNumberFormat="1" applyFont="1" applyFill="1" applyBorder="1"/>
    <xf numFmtId="166" fontId="87" fillId="4" borderId="0" xfId="0" applyNumberFormat="1" applyFont="1" applyFill="1" applyBorder="1"/>
    <xf numFmtId="166" fontId="21" fillId="4" borderId="0" xfId="0" applyNumberFormat="1" applyFont="1" applyFill="1" applyBorder="1"/>
    <xf numFmtId="170" fontId="17" fillId="19" borderId="0" xfId="0" applyNumberFormat="1" applyFont="1" applyFill="1" applyBorder="1" applyAlignment="1">
      <alignment horizontal="center"/>
    </xf>
    <xf numFmtId="181" fontId="33" fillId="0" borderId="5" xfId="0" applyNumberFormat="1" applyFont="1" applyFill="1" applyBorder="1"/>
    <xf numFmtId="164" fontId="38" fillId="0" borderId="0" xfId="27" applyNumberFormat="1" applyFont="1" applyFill="1" applyBorder="1" applyAlignment="1">
      <alignment horizontal="right" vertical="center"/>
    </xf>
    <xf numFmtId="0" fontId="46" fillId="0" borderId="0" xfId="0" applyFont="1" applyFill="1" applyBorder="1"/>
    <xf numFmtId="164" fontId="35" fillId="0" borderId="0" xfId="0" applyNumberFormat="1" applyFont="1" applyFill="1" applyBorder="1"/>
    <xf numFmtId="166" fontId="35" fillId="0" borderId="0" xfId="0" applyNumberFormat="1" applyFont="1" applyFill="1" applyBorder="1"/>
    <xf numFmtId="168" fontId="33" fillId="0" borderId="0" xfId="17" applyNumberFormat="1" applyFont="1" applyBorder="1" applyAlignment="1">
      <alignment horizontal="right"/>
    </xf>
    <xf numFmtId="168" fontId="33" fillId="0" borderId="0" xfId="17" applyNumberFormat="1" applyFont="1" applyFill="1" applyBorder="1"/>
    <xf numFmtId="164" fontId="38" fillId="7" borderId="0" xfId="27" applyNumberFormat="1" applyFont="1" applyFill="1" applyBorder="1" applyAlignment="1">
      <alignment horizontal="right" vertical="center"/>
    </xf>
    <xf numFmtId="0" fontId="38" fillId="0" borderId="0" xfId="27" applyFont="1" applyFill="1" applyBorder="1">
      <alignment horizontal="left" vertical="center"/>
    </xf>
    <xf numFmtId="0" fontId="42" fillId="0" borderId="0" xfId="27" applyFont="1" applyFill="1" applyBorder="1">
      <alignment horizontal="left" vertical="center"/>
    </xf>
    <xf numFmtId="43" fontId="38" fillId="0" borderId="0" xfId="9" applyFont="1" applyFill="1" applyBorder="1" applyAlignment="1">
      <alignment horizontal="right" vertical="center"/>
    </xf>
    <xf numFmtId="164" fontId="20" fillId="0" borderId="0" xfId="27" applyNumberFormat="1" applyFont="1" applyFill="1" applyBorder="1">
      <alignment horizontal="left" vertical="center"/>
    </xf>
    <xf numFmtId="0" fontId="35" fillId="7" borderId="0" xfId="0" applyFont="1" applyFill="1" applyBorder="1"/>
    <xf numFmtId="0" fontId="33" fillId="7" borderId="0" xfId="0" applyFont="1" applyFill="1" applyBorder="1"/>
    <xf numFmtId="164" fontId="35" fillId="7" borderId="0" xfId="0" applyNumberFormat="1" applyFont="1" applyFill="1" applyBorder="1"/>
    <xf numFmtId="168" fontId="38" fillId="7" borderId="0" xfId="17" applyNumberFormat="1" applyFont="1" applyFill="1" applyBorder="1"/>
    <xf numFmtId="168" fontId="33" fillId="7" borderId="0" xfId="17" applyNumberFormat="1" applyFont="1" applyFill="1" applyBorder="1" applyAlignment="1">
      <alignment horizontal="right"/>
    </xf>
    <xf numFmtId="164" fontId="33" fillId="7" borderId="0" xfId="0" applyNumberFormat="1" applyFont="1" applyFill="1" applyBorder="1"/>
    <xf numFmtId="164" fontId="33" fillId="7" borderId="0" xfId="0" applyNumberFormat="1" applyFont="1" applyFill="1" applyBorder="1" applyAlignment="1">
      <alignment horizontal="right"/>
    </xf>
    <xf numFmtId="164" fontId="38" fillId="7" borderId="0" xfId="0" applyNumberFormat="1" applyFont="1" applyFill="1" applyBorder="1"/>
    <xf numFmtId="164" fontId="38" fillId="7" borderId="0" xfId="17" applyNumberFormat="1" applyFont="1" applyFill="1" applyBorder="1"/>
    <xf numFmtId="192" fontId="28" fillId="0" borderId="0" xfId="27" applyNumberFormat="1" applyFont="1" applyFill="1" applyBorder="1">
      <alignment horizontal="left" vertical="center"/>
    </xf>
    <xf numFmtId="164" fontId="21" fillId="0" borderId="10" xfId="27" applyNumberFormat="1" applyFont="1" applyFill="1" applyBorder="1">
      <alignment horizontal="left" vertical="center"/>
    </xf>
    <xf numFmtId="39" fontId="86" fillId="0" borderId="0" xfId="0" applyNumberFormat="1" applyFont="1"/>
    <xf numFmtId="185" fontId="86" fillId="0" borderId="0" xfId="0" applyNumberFormat="1" applyFont="1"/>
    <xf numFmtId="168" fontId="2" fillId="0" borderId="0" xfId="27" applyNumberFormat="1" applyFont="1" applyFill="1" applyBorder="1">
      <alignment horizontal="left" vertical="center"/>
    </xf>
    <xf numFmtId="10" fontId="2" fillId="0" borderId="3" xfId="17" applyNumberFormat="1" applyFont="1" applyFill="1" applyBorder="1" applyAlignment="1">
      <alignment horizontal="left" vertical="center"/>
    </xf>
    <xf numFmtId="170" fontId="17" fillId="14" borderId="40" xfId="0" applyNumberFormat="1" applyFont="1" applyFill="1" applyBorder="1" applyAlignment="1">
      <alignment horizontal="center"/>
    </xf>
    <xf numFmtId="182" fontId="22" fillId="4" borderId="6" xfId="0" applyNumberFormat="1" applyFont="1" applyFill="1" applyBorder="1"/>
    <xf numFmtId="181" fontId="28" fillId="0" borderId="0" xfId="17" applyNumberFormat="1" applyFont="1" applyFill="1" applyBorder="1" applyAlignment="1">
      <alignment horizontal="left" vertical="center"/>
    </xf>
    <xf numFmtId="193" fontId="40" fillId="0" borderId="0" xfId="0" applyNumberFormat="1" applyFont="1" applyBorder="1" applyAlignment="1">
      <alignment horizontal="right"/>
    </xf>
    <xf numFmtId="185" fontId="0" fillId="0" borderId="0" xfId="0" applyNumberFormat="1"/>
    <xf numFmtId="1" fontId="32" fillId="0" borderId="0" xfId="0" applyNumberFormat="1" applyFont="1" applyBorder="1"/>
    <xf numFmtId="2" fontId="32" fillId="0" borderId="0" xfId="0" applyNumberFormat="1" applyFont="1" applyBorder="1" applyAlignment="1">
      <alignment horizontal="right"/>
    </xf>
    <xf numFmtId="9" fontId="32" fillId="0" borderId="0" xfId="0" applyNumberFormat="1" applyFont="1" applyBorder="1" applyAlignment="1">
      <alignment horizontal="right"/>
    </xf>
    <xf numFmtId="9" fontId="32" fillId="0" borderId="5" xfId="17" applyFont="1" applyBorder="1" applyAlignment="1">
      <alignment horizontal="right"/>
    </xf>
    <xf numFmtId="0" fontId="91" fillId="0" borderId="0" xfId="0" applyFont="1"/>
    <xf numFmtId="9" fontId="32" fillId="0" borderId="10" xfId="17" applyFont="1" applyBorder="1" applyAlignment="1">
      <alignment horizontal="right"/>
    </xf>
    <xf numFmtId="0" fontId="92" fillId="0" borderId="0" xfId="0" applyFont="1"/>
    <xf numFmtId="0" fontId="93" fillId="0" borderId="0" xfId="0" applyFont="1" applyAlignment="1">
      <alignment horizontal="left" indent="1"/>
    </xf>
    <xf numFmtId="9" fontId="93" fillId="0" borderId="0" xfId="17" applyFont="1" applyAlignment="1">
      <alignment horizontal="left" indent="1"/>
    </xf>
    <xf numFmtId="168" fontId="41" fillId="0" borderId="0" xfId="17" applyNumberFormat="1" applyFont="1" applyFill="1" applyBorder="1"/>
    <xf numFmtId="173" fontId="21" fillId="0" borderId="5" xfId="0" applyNumberFormat="1" applyFont="1" applyBorder="1" applyAlignment="1">
      <alignment horizontal="right"/>
    </xf>
    <xf numFmtId="0" fontId="94" fillId="0" borderId="0" xfId="0" applyFont="1"/>
    <xf numFmtId="0" fontId="22" fillId="0" borderId="10" xfId="0" applyFont="1" applyBorder="1" applyAlignment="1">
      <alignment horizontal="right"/>
    </xf>
    <xf numFmtId="0" fontId="92" fillId="0" borderId="0" xfId="0" applyFont="1" applyAlignment="1">
      <alignment horizontal="left" indent="2"/>
    </xf>
    <xf numFmtId="9" fontId="95" fillId="0" borderId="5" xfId="17" applyFont="1" applyBorder="1" applyAlignment="1">
      <alignment horizontal="right"/>
    </xf>
    <xf numFmtId="9" fontId="95" fillId="0" borderId="0" xfId="17" applyFont="1" applyBorder="1" applyAlignment="1">
      <alignment horizontal="right"/>
    </xf>
    <xf numFmtId="169" fontId="21" fillId="0" borderId="0" xfId="9" applyNumberFormat="1" applyFont="1"/>
    <xf numFmtId="0" fontId="92" fillId="0" borderId="10" xfId="0" applyFont="1" applyBorder="1" applyAlignment="1">
      <alignment horizontal="left" indent="2"/>
    </xf>
    <xf numFmtId="9" fontId="92" fillId="0" borderId="10" xfId="17" applyFont="1" applyBorder="1"/>
    <xf numFmtId="0" fontId="92" fillId="0" borderId="10" xfId="0" applyFont="1" applyBorder="1"/>
    <xf numFmtId="169" fontId="21" fillId="0" borderId="10" xfId="9" applyNumberFormat="1" applyFont="1" applyBorder="1"/>
    <xf numFmtId="9" fontId="21" fillId="0" borderId="10" xfId="0" applyNumberFormat="1" applyFont="1" applyBorder="1" applyAlignment="1">
      <alignment horizontal="right"/>
    </xf>
    <xf numFmtId="9" fontId="95" fillId="0" borderId="10" xfId="17" applyFont="1" applyBorder="1" applyAlignment="1">
      <alignment horizontal="right"/>
    </xf>
    <xf numFmtId="9" fontId="21" fillId="0" borderId="10" xfId="17" applyFont="1" applyBorder="1" applyAlignment="1">
      <alignment horizontal="right"/>
    </xf>
    <xf numFmtId="169" fontId="21" fillId="0" borderId="5" xfId="9" applyNumberFormat="1" applyFont="1" applyBorder="1"/>
    <xf numFmtId="2" fontId="21" fillId="0" borderId="5" xfId="0" applyNumberFormat="1" applyFont="1" applyBorder="1" applyAlignment="1">
      <alignment horizontal="right"/>
    </xf>
    <xf numFmtId="169" fontId="21" fillId="0" borderId="5" xfId="9" applyNumberFormat="1" applyFont="1" applyBorder="1" applyAlignment="1">
      <alignment horizontal="right"/>
    </xf>
    <xf numFmtId="169" fontId="11" fillId="0" borderId="5" xfId="9" applyNumberFormat="1" applyFont="1" applyBorder="1" applyAlignment="1">
      <alignment horizontal="right"/>
    </xf>
    <xf numFmtId="169" fontId="11" fillId="0" borderId="5" xfId="0" applyNumberFormat="1" applyFont="1" applyBorder="1" applyAlignment="1">
      <alignment horizontal="right"/>
    </xf>
    <xf numFmtId="169" fontId="96" fillId="0" borderId="5" xfId="9" applyNumberFormat="1" applyFont="1" applyBorder="1" applyAlignment="1">
      <alignment horizontal="right"/>
    </xf>
    <xf numFmtId="173" fontId="95" fillId="0" borderId="5" xfId="0" applyNumberFormat="1" applyFont="1" applyBorder="1" applyAlignment="1">
      <alignment horizontal="right"/>
    </xf>
    <xf numFmtId="9" fontId="95" fillId="0" borderId="0" xfId="0" applyNumberFormat="1" applyFont="1" applyBorder="1" applyAlignment="1">
      <alignment horizontal="right"/>
    </xf>
    <xf numFmtId="173" fontId="21" fillId="0" borderId="13" xfId="0" applyNumberFormat="1" applyFont="1" applyBorder="1" applyAlignment="1">
      <alignment horizontal="right"/>
    </xf>
    <xf numFmtId="0" fontId="32" fillId="5" borderId="2" xfId="28" quotePrefix="1" applyFont="1" applyFill="1" applyBorder="1">
      <alignment horizontal="left" vertical="center"/>
    </xf>
    <xf numFmtId="3" fontId="21" fillId="0" borderId="11" xfId="28" applyNumberFormat="1" applyFont="1" applyFill="1" applyBorder="1">
      <alignment horizontal="left" vertical="center"/>
    </xf>
    <xf numFmtId="3" fontId="21" fillId="0" borderId="2" xfId="28" applyNumberFormat="1" applyFont="1" applyFill="1" applyBorder="1">
      <alignment horizontal="left" vertical="center"/>
    </xf>
    <xf numFmtId="3" fontId="33" fillId="0" borderId="2" xfId="28" applyNumberFormat="1" applyFont="1" applyFill="1" applyBorder="1">
      <alignment horizontal="left" vertical="center"/>
    </xf>
    <xf numFmtId="3" fontId="33" fillId="0" borderId="11" xfId="28" applyNumberFormat="1" applyFont="1" applyFill="1" applyBorder="1">
      <alignment horizontal="left" vertical="center"/>
    </xf>
    <xf numFmtId="3" fontId="33" fillId="0" borderId="34" xfId="28" applyNumberFormat="1" applyFont="1" applyFill="1" applyBorder="1">
      <alignment horizontal="left" vertical="center"/>
    </xf>
    <xf numFmtId="0" fontId="0" fillId="0" borderId="2" xfId="0" applyBorder="1"/>
    <xf numFmtId="0" fontId="0" fillId="0" borderId="11" xfId="0" applyBorder="1"/>
    <xf numFmtId="0" fontId="63" fillId="6" borderId="0" xfId="0" applyFont="1" applyFill="1" applyBorder="1"/>
    <xf numFmtId="0" fontId="65" fillId="0" borderId="0" xfId="0" applyFont="1" applyFill="1" applyBorder="1"/>
    <xf numFmtId="1" fontId="64" fillId="0" borderId="0" xfId="0" applyNumberFormat="1" applyFont="1" applyFill="1" applyBorder="1"/>
    <xf numFmtId="1" fontId="63" fillId="0" borderId="0" xfId="0" applyNumberFormat="1" applyFont="1" applyFill="1" applyBorder="1"/>
    <xf numFmtId="0" fontId="63" fillId="7" borderId="0" xfId="0" applyFont="1" applyFill="1" applyBorder="1"/>
    <xf numFmtId="9" fontId="64" fillId="7" borderId="0" xfId="17" applyFont="1" applyFill="1" applyBorder="1" applyAlignment="1">
      <alignment horizontal="right"/>
    </xf>
    <xf numFmtId="0" fontId="63" fillId="0" borderId="0" xfId="0" applyFont="1" applyFill="1" applyBorder="1"/>
    <xf numFmtId="9" fontId="64" fillId="0" borderId="0" xfId="17" applyFont="1" applyBorder="1" applyAlignment="1">
      <alignment horizontal="right"/>
    </xf>
    <xf numFmtId="9" fontId="63" fillId="0" borderId="0" xfId="17" applyFont="1" applyBorder="1" applyAlignment="1">
      <alignment horizontal="right"/>
    </xf>
    <xf numFmtId="9" fontId="64" fillId="0" borderId="0" xfId="0" applyNumberFormat="1" applyFont="1" applyBorder="1" applyAlignment="1">
      <alignment horizontal="right"/>
    </xf>
    <xf numFmtId="0" fontId="22" fillId="6" borderId="0" xfId="0" applyFont="1" applyFill="1" applyBorder="1"/>
    <xf numFmtId="0" fontId="37" fillId="0" borderId="0" xfId="0" applyFont="1" applyFill="1" applyBorder="1"/>
    <xf numFmtId="182" fontId="21" fillId="0" borderId="0" xfId="0" applyNumberFormat="1" applyFont="1" applyBorder="1" applyAlignment="1">
      <alignment horizontal="right"/>
    </xf>
    <xf numFmtId="182" fontId="21" fillId="0" borderId="0" xfId="0" applyNumberFormat="1" applyFont="1" applyFill="1" applyBorder="1" applyAlignment="1">
      <alignment horizontal="right"/>
    </xf>
    <xf numFmtId="164" fontId="21" fillId="7" borderId="0" xfId="0" applyNumberFormat="1" applyFont="1" applyFill="1" applyBorder="1" applyAlignment="1">
      <alignment horizontal="right"/>
    </xf>
    <xf numFmtId="1" fontId="21" fillId="7" borderId="0" xfId="0" applyNumberFormat="1" applyFont="1" applyFill="1" applyBorder="1" applyAlignment="1">
      <alignment horizontal="right"/>
    </xf>
    <xf numFmtId="9" fontId="21" fillId="7" borderId="0" xfId="17" applyFont="1" applyFill="1" applyBorder="1" applyAlignment="1">
      <alignment horizontal="right"/>
    </xf>
    <xf numFmtId="2" fontId="21" fillId="7" borderId="0" xfId="0" applyNumberFormat="1" applyFont="1" applyFill="1" applyBorder="1" applyAlignment="1">
      <alignment horizontal="right"/>
    </xf>
    <xf numFmtId="0" fontId="22" fillId="0" borderId="0" xfId="0" applyFont="1" applyFill="1" applyBorder="1"/>
    <xf numFmtId="168" fontId="21" fillId="0" borderId="0" xfId="17" applyNumberFormat="1" applyFont="1" applyFill="1" applyBorder="1" applyAlignment="1">
      <alignment horizontal="right"/>
    </xf>
    <xf numFmtId="168" fontId="21" fillId="0" borderId="0" xfId="0" applyNumberFormat="1" applyFont="1" applyBorder="1" applyAlignment="1">
      <alignment horizontal="right"/>
    </xf>
    <xf numFmtId="168" fontId="22" fillId="0" borderId="0" xfId="17" applyNumberFormat="1" applyFont="1" applyFill="1" applyBorder="1" applyAlignment="1">
      <alignment horizontal="right"/>
    </xf>
    <xf numFmtId="168" fontId="22" fillId="0" borderId="0" xfId="0" applyNumberFormat="1" applyFont="1" applyFill="1" applyBorder="1"/>
    <xf numFmtId="168" fontId="22" fillId="0" borderId="0" xfId="17" applyNumberFormat="1" applyFont="1" applyBorder="1" applyAlignment="1">
      <alignment horizontal="right"/>
    </xf>
    <xf numFmtId="168" fontId="37" fillId="0" borderId="0" xfId="0" applyNumberFormat="1" applyFont="1" applyFill="1" applyBorder="1"/>
    <xf numFmtId="168" fontId="20" fillId="0" borderId="0" xfId="17" applyNumberFormat="1" applyFont="1" applyFill="1" applyBorder="1" applyAlignment="1">
      <alignment horizontal="right"/>
    </xf>
    <xf numFmtId="168" fontId="98" fillId="0" borderId="0" xfId="17" applyNumberFormat="1" applyFont="1" applyFill="1" applyAlignment="1">
      <alignment horizontal="right"/>
    </xf>
    <xf numFmtId="168" fontId="98" fillId="0" borderId="0" xfId="0" applyNumberFormat="1" applyFont="1" applyAlignment="1">
      <alignment horizontal="right"/>
    </xf>
    <xf numFmtId="0" fontId="7" fillId="4" borderId="24" xfId="0" applyNumberFormat="1" applyFont="1" applyFill="1" applyBorder="1" applyAlignment="1">
      <alignment horizontal="center"/>
    </xf>
    <xf numFmtId="184" fontId="7" fillId="4" borderId="24" xfId="0" applyNumberFormat="1" applyFont="1" applyFill="1" applyBorder="1" applyAlignment="1">
      <alignment horizontal="center"/>
    </xf>
    <xf numFmtId="0" fontId="17" fillId="0" borderId="0" xfId="0" quotePrefix="1" applyFont="1"/>
    <xf numFmtId="171" fontId="94" fillId="0" borderId="0" xfId="0" applyNumberFormat="1" applyFont="1"/>
    <xf numFmtId="171" fontId="22" fillId="0" borderId="0" xfId="0" applyNumberFormat="1" applyFont="1" applyBorder="1"/>
    <xf numFmtId="171" fontId="22" fillId="0" borderId="10" xfId="0" applyNumberFormat="1" applyFont="1" applyBorder="1" applyAlignment="1">
      <alignment horizontal="right"/>
    </xf>
    <xf numFmtId="171" fontId="15" fillId="0" borderId="0" xfId="0" applyNumberFormat="1" applyFont="1"/>
    <xf numFmtId="171" fontId="22" fillId="2" borderId="5" xfId="0" applyNumberFormat="1" applyFont="1" applyFill="1" applyBorder="1"/>
    <xf numFmtId="171" fontId="22" fillId="0" borderId="0" xfId="0" applyNumberFormat="1" applyFont="1" applyFill="1"/>
    <xf numFmtId="171" fontId="94" fillId="0" borderId="6" xfId="0" applyNumberFormat="1" applyFont="1" applyFill="1" applyBorder="1"/>
    <xf numFmtId="171" fontId="22" fillId="0" borderId="6" xfId="0" applyNumberFormat="1" applyFont="1" applyBorder="1"/>
    <xf numFmtId="171" fontId="22" fillId="0" borderId="18" xfId="0" applyNumberFormat="1" applyFont="1" applyBorder="1" applyAlignment="1">
      <alignment horizontal="right"/>
    </xf>
    <xf numFmtId="181" fontId="22" fillId="0" borderId="10" xfId="27" applyNumberFormat="1" applyFont="1" applyFill="1" applyBorder="1" applyAlignment="1">
      <alignment horizontal="right" vertical="center"/>
    </xf>
    <xf numFmtId="164" fontId="32" fillId="7" borderId="26" xfId="27" applyNumberFormat="1" applyFont="1" applyFill="1" applyBorder="1" applyAlignment="1">
      <alignment horizontal="right" vertical="center"/>
    </xf>
    <xf numFmtId="164" fontId="32" fillId="0" borderId="26" xfId="27" applyNumberFormat="1" applyFont="1" applyFill="1" applyBorder="1" applyAlignment="1">
      <alignment horizontal="right" vertical="center"/>
    </xf>
    <xf numFmtId="168" fontId="93" fillId="0" borderId="0" xfId="17" applyNumberFormat="1" applyFont="1" applyAlignment="1">
      <alignment horizontal="left" indent="1"/>
    </xf>
    <xf numFmtId="168" fontId="32" fillId="0" borderId="3" xfId="17" applyNumberFormat="1" applyFont="1" applyBorder="1" applyAlignment="1">
      <alignment horizontal="right"/>
    </xf>
    <xf numFmtId="168" fontId="32" fillId="0" borderId="13" xfId="17" applyNumberFormat="1" applyFont="1" applyBorder="1" applyAlignment="1">
      <alignment horizontal="right"/>
    </xf>
    <xf numFmtId="168" fontId="32" fillId="0" borderId="14" xfId="17" applyNumberFormat="1" applyFont="1" applyBorder="1" applyAlignment="1">
      <alignment horizontal="right"/>
    </xf>
    <xf numFmtId="168" fontId="91" fillId="0" borderId="0" xfId="17" applyNumberFormat="1" applyFont="1"/>
    <xf numFmtId="168" fontId="32" fillId="2" borderId="5" xfId="17" applyNumberFormat="1" applyFont="1" applyFill="1" applyBorder="1"/>
    <xf numFmtId="168" fontId="32" fillId="0" borderId="0" xfId="17" applyNumberFormat="1" applyFont="1" applyFill="1"/>
    <xf numFmtId="171" fontId="21" fillId="0" borderId="5" xfId="17" applyNumberFormat="1" applyFont="1" applyBorder="1" applyAlignment="1">
      <alignment horizontal="right"/>
    </xf>
    <xf numFmtId="194" fontId="22" fillId="0" borderId="0" xfId="27" applyNumberFormat="1" applyFont="1" applyFill="1" applyBorder="1" applyAlignment="1">
      <alignment horizontal="right" vertical="center"/>
    </xf>
    <xf numFmtId="0" fontId="32" fillId="5" borderId="15" xfId="28" quotePrefix="1" applyFont="1" applyFill="1" applyBorder="1">
      <alignment horizontal="left" vertical="center"/>
    </xf>
    <xf numFmtId="165" fontId="22" fillId="0" borderId="9" xfId="13" applyNumberFormat="1" applyFont="1" applyBorder="1">
      <alignment horizontal="left" vertical="center"/>
    </xf>
    <xf numFmtId="2" fontId="21" fillId="0" borderId="9" xfId="27" applyNumberFormat="1" applyFont="1" applyFill="1" applyBorder="1">
      <alignment horizontal="left" vertical="center"/>
    </xf>
    <xf numFmtId="181" fontId="22" fillId="0" borderId="9" xfId="27" applyNumberFormat="1" applyFont="1" applyFill="1" applyBorder="1" applyAlignment="1">
      <alignment horizontal="left" vertical="center"/>
    </xf>
    <xf numFmtId="168" fontId="32" fillId="0" borderId="9" xfId="27" applyNumberFormat="1" applyFont="1" applyFill="1" applyBorder="1" applyAlignment="1">
      <alignment horizontal="left" vertical="center" indent="1"/>
    </xf>
    <xf numFmtId="181" fontId="22" fillId="0" borderId="9" xfId="27" applyNumberFormat="1" applyFont="1" applyFill="1" applyBorder="1" applyAlignment="1">
      <alignment horizontal="left" vertical="center" indent="1"/>
    </xf>
    <xf numFmtId="181" fontId="22" fillId="0" borderId="28" xfId="27" applyNumberFormat="1" applyFont="1" applyFill="1" applyBorder="1" applyAlignment="1">
      <alignment horizontal="left" vertical="center"/>
    </xf>
    <xf numFmtId="181" fontId="21" fillId="0" borderId="0" xfId="0" applyNumberFormat="1" applyFont="1" applyFill="1" applyBorder="1"/>
    <xf numFmtId="181" fontId="33" fillId="0" borderId="0" xfId="0" applyNumberFormat="1" applyFont="1" applyFill="1" applyBorder="1"/>
    <xf numFmtId="168" fontId="21" fillId="0" borderId="0" xfId="0" applyNumberFormat="1" applyFont="1" applyFill="1" applyBorder="1"/>
    <xf numFmtId="0" fontId="22" fillId="0" borderId="9" xfId="0" applyFont="1" applyBorder="1"/>
    <xf numFmtId="0" fontId="33" fillId="4" borderId="0" xfId="0" applyFont="1" applyFill="1" applyBorder="1"/>
    <xf numFmtId="164" fontId="40" fillId="0" borderId="0" xfId="0" applyNumberFormat="1" applyFont="1" applyFill="1" applyBorder="1"/>
    <xf numFmtId="1" fontId="33" fillId="0" borderId="0" xfId="0" applyNumberFormat="1" applyFont="1" applyFill="1" applyBorder="1"/>
    <xf numFmtId="168" fontId="22" fillId="0" borderId="9" xfId="27" applyNumberFormat="1" applyFont="1" applyFill="1" applyBorder="1" applyAlignment="1">
      <alignment horizontal="left" vertical="center" indent="1"/>
    </xf>
    <xf numFmtId="168" fontId="32" fillId="0" borderId="9" xfId="27" applyNumberFormat="1" applyFont="1" applyFill="1" applyBorder="1" applyAlignment="1">
      <alignment horizontal="left" vertical="center" indent="2"/>
    </xf>
    <xf numFmtId="2" fontId="22" fillId="0" borderId="9" xfId="27" applyNumberFormat="1" applyFont="1" applyFill="1" applyBorder="1">
      <alignment horizontal="left" vertical="center"/>
    </xf>
    <xf numFmtId="181" fontId="22" fillId="0" borderId="17" xfId="27" applyNumberFormat="1" applyFont="1" applyFill="1" applyBorder="1" applyAlignment="1">
      <alignment horizontal="left" vertical="center"/>
    </xf>
    <xf numFmtId="0" fontId="45" fillId="0" borderId="9" xfId="0" applyFont="1" applyFill="1" applyBorder="1"/>
    <xf numFmtId="164" fontId="21" fillId="0" borderId="0" xfId="0" applyNumberFormat="1" applyFont="1" applyFill="1" applyBorder="1"/>
    <xf numFmtId="0" fontId="11" fillId="0" borderId="0" xfId="0" applyFont="1" applyFill="1" applyBorder="1"/>
    <xf numFmtId="9" fontId="11" fillId="0" borderId="0" xfId="17" applyFont="1" applyFill="1" applyBorder="1"/>
    <xf numFmtId="0" fontId="22" fillId="0" borderId="9" xfId="0" applyFont="1" applyFill="1" applyBorder="1"/>
    <xf numFmtId="10" fontId="35" fillId="0" borderId="0" xfId="17" applyNumberFormat="1" applyFont="1" applyFill="1" applyBorder="1"/>
    <xf numFmtId="10" fontId="22" fillId="0" borderId="0" xfId="17" applyNumberFormat="1" applyFont="1" applyFill="1" applyBorder="1"/>
    <xf numFmtId="166" fontId="33" fillId="0" borderId="0" xfId="0" applyNumberFormat="1" applyFont="1" applyFill="1" applyBorder="1"/>
    <xf numFmtId="164" fontId="32" fillId="0" borderId="9" xfId="13" applyNumberFormat="1" applyFont="1" applyFill="1" applyBorder="1">
      <alignment horizontal="left" vertical="center"/>
    </xf>
    <xf numFmtId="164" fontId="32" fillId="0" borderId="0" xfId="13" applyNumberFormat="1" applyFont="1" applyFill="1" applyBorder="1">
      <alignment horizontal="left" vertical="center"/>
    </xf>
    <xf numFmtId="166" fontId="45" fillId="0" borderId="0" xfId="0" applyNumberFormat="1" applyFont="1" applyFill="1" applyBorder="1"/>
    <xf numFmtId="0" fontId="42" fillId="0" borderId="9" xfId="0" applyFont="1" applyBorder="1" applyAlignment="1">
      <alignment horizontal="left" indent="1"/>
    </xf>
    <xf numFmtId="0" fontId="42" fillId="0" borderId="12" xfId="0" applyFont="1" applyBorder="1" applyAlignment="1">
      <alignment horizontal="left" indent="1"/>
    </xf>
    <xf numFmtId="182" fontId="22" fillId="0" borderId="9" xfId="13" applyNumberFormat="1" applyFont="1" applyBorder="1">
      <alignment horizontal="left" vertical="center"/>
    </xf>
    <xf numFmtId="182" fontId="35" fillId="0" borderId="5" xfId="19" quotePrefix="1" applyNumberFormat="1" applyFont="1" applyFill="1" applyBorder="1" applyAlignment="1">
      <alignment horizontal="right" vertical="center"/>
    </xf>
    <xf numFmtId="182" fontId="21" fillId="0" borderId="9" xfId="27" applyNumberFormat="1" applyFont="1" applyFill="1" applyBorder="1">
      <alignment horizontal="left" vertical="center"/>
    </xf>
    <xf numFmtId="182" fontId="37" fillId="0" borderId="9" xfId="13" applyNumberFormat="1" applyFont="1" applyFill="1" applyBorder="1">
      <alignment horizontal="left" vertical="center"/>
    </xf>
    <xf numFmtId="182" fontId="37" fillId="0" borderId="0" xfId="13" applyNumberFormat="1" applyFont="1" applyFill="1" applyBorder="1">
      <alignment horizontal="left" vertical="center"/>
    </xf>
    <xf numFmtId="182" fontId="37" fillId="0" borderId="0" xfId="0" applyNumberFormat="1" applyFont="1" applyBorder="1"/>
    <xf numFmtId="182" fontId="41" fillId="0" borderId="5" xfId="19" applyNumberFormat="1" applyFont="1" applyFill="1" applyBorder="1">
      <alignment horizontal="right" vertical="center"/>
    </xf>
    <xf numFmtId="182" fontId="21" fillId="0" borderId="9" xfId="13" applyNumberFormat="1" applyFont="1" applyFill="1" applyBorder="1">
      <alignment horizontal="left" vertical="center"/>
    </xf>
    <xf numFmtId="182" fontId="21" fillId="0" borderId="0" xfId="13" applyNumberFormat="1" applyFont="1" applyFill="1" applyBorder="1">
      <alignment horizontal="left" vertical="center"/>
    </xf>
    <xf numFmtId="182" fontId="33" fillId="4" borderId="5" xfId="0" applyNumberFormat="1" applyFont="1" applyFill="1" applyBorder="1"/>
    <xf numFmtId="182" fontId="33" fillId="4" borderId="5" xfId="0" applyNumberFormat="1" applyFont="1" applyFill="1" applyBorder="1" applyAlignment="1">
      <alignment horizontal="right"/>
    </xf>
    <xf numFmtId="182" fontId="22" fillId="0" borderId="9" xfId="13" applyNumberFormat="1" applyFont="1" applyFill="1" applyBorder="1">
      <alignment horizontal="left" vertical="center"/>
    </xf>
    <xf numFmtId="182" fontId="35" fillId="4" borderId="5" xfId="0" applyNumberFormat="1" applyFont="1" applyFill="1" applyBorder="1"/>
    <xf numFmtId="182" fontId="33" fillId="4" borderId="5" xfId="27" applyNumberFormat="1" applyFont="1" applyFill="1" applyBorder="1">
      <alignment horizontal="left" vertical="center"/>
    </xf>
    <xf numFmtId="182" fontId="22" fillId="0" borderId="41" xfId="13" applyNumberFormat="1" applyFont="1" applyFill="1" applyBorder="1">
      <alignment horizontal="left" vertical="center"/>
    </xf>
    <xf numFmtId="182" fontId="35" fillId="4" borderId="21" xfId="0" applyNumberFormat="1" applyFont="1" applyFill="1" applyBorder="1"/>
    <xf numFmtId="182" fontId="41" fillId="0" borderId="0" xfId="0" applyNumberFormat="1" applyFont="1" applyBorder="1"/>
    <xf numFmtId="182" fontId="41" fillId="4" borderId="0" xfId="0" applyNumberFormat="1" applyFont="1" applyFill="1" applyBorder="1"/>
    <xf numFmtId="182" fontId="37" fillId="4" borderId="0" xfId="0" applyNumberFormat="1" applyFont="1" applyFill="1" applyBorder="1"/>
    <xf numFmtId="182" fontId="41" fillId="4" borderId="5" xfId="0" applyNumberFormat="1" applyFont="1" applyFill="1" applyBorder="1"/>
    <xf numFmtId="182" fontId="21" fillId="7" borderId="9" xfId="13" applyNumberFormat="1" applyFont="1" applyFill="1" applyBorder="1">
      <alignment horizontal="left" vertical="center"/>
    </xf>
    <xf numFmtId="182" fontId="21" fillId="7" borderId="0" xfId="13" applyNumberFormat="1" applyFont="1" applyFill="1" applyBorder="1">
      <alignment horizontal="left" vertical="center"/>
    </xf>
    <xf numFmtId="182" fontId="20" fillId="7" borderId="0" xfId="0" applyNumberFormat="1" applyFont="1" applyFill="1" applyBorder="1" applyAlignment="1">
      <alignment horizontal="right"/>
    </xf>
    <xf numFmtId="182" fontId="21" fillId="7" borderId="0" xfId="0" applyNumberFormat="1" applyFont="1" applyFill="1" applyBorder="1" applyAlignment="1">
      <alignment horizontal="right"/>
    </xf>
    <xf numFmtId="182" fontId="33" fillId="7" borderId="0" xfId="0" applyNumberFormat="1" applyFont="1" applyFill="1" applyBorder="1" applyAlignment="1">
      <alignment horizontal="right"/>
    </xf>
    <xf numFmtId="182" fontId="33" fillId="7" borderId="5" xfId="0" applyNumberFormat="1" applyFont="1" applyFill="1" applyBorder="1" applyAlignment="1">
      <alignment horizontal="right"/>
    </xf>
    <xf numFmtId="182" fontId="33" fillId="0" borderId="0" xfId="0" applyNumberFormat="1" applyFont="1" applyBorder="1" applyAlignment="1">
      <alignment horizontal="right"/>
    </xf>
    <xf numFmtId="185" fontId="21" fillId="0" borderId="0" xfId="0" applyNumberFormat="1" applyFont="1" applyBorder="1" applyAlignment="1">
      <alignment horizontal="right"/>
    </xf>
    <xf numFmtId="182" fontId="33" fillId="4" borderId="0" xfId="0" applyNumberFormat="1" applyFont="1" applyFill="1" applyBorder="1" applyAlignment="1">
      <alignment horizontal="right"/>
    </xf>
    <xf numFmtId="182" fontId="21" fillId="4" borderId="0" xfId="0" applyNumberFormat="1" applyFont="1" applyFill="1" applyBorder="1" applyAlignment="1">
      <alignment horizontal="right"/>
    </xf>
    <xf numFmtId="182" fontId="22" fillId="0" borderId="17" xfId="13" applyNumberFormat="1" applyFont="1" applyFill="1" applyBorder="1">
      <alignment horizontal="left" vertical="center"/>
    </xf>
    <xf numFmtId="182" fontId="35" fillId="4" borderId="19" xfId="0" applyNumberFormat="1" applyFont="1" applyFill="1" applyBorder="1"/>
    <xf numFmtId="0" fontId="21" fillId="0" borderId="34" xfId="28" applyFont="1" applyFill="1" applyBorder="1">
      <alignment horizontal="left" vertical="center"/>
    </xf>
    <xf numFmtId="0" fontId="22" fillId="6" borderId="26" xfId="28" applyFont="1" applyFill="1" applyBorder="1" applyAlignment="1">
      <alignment horizontal="right" vertical="center"/>
    </xf>
    <xf numFmtId="164" fontId="22" fillId="0" borderId="35" xfId="19" quotePrefix="1" applyNumberFormat="1" applyFont="1" applyFill="1" applyBorder="1" applyAlignment="1">
      <alignment horizontal="right" vertical="center"/>
    </xf>
    <xf numFmtId="164" fontId="21" fillId="0" borderId="26" xfId="19" applyNumberFormat="1" applyFont="1" applyFill="1" applyBorder="1">
      <alignment horizontal="right" vertical="center"/>
    </xf>
    <xf numFmtId="9" fontId="32" fillId="0" borderId="14" xfId="17" applyFont="1" applyBorder="1" applyAlignment="1">
      <alignment horizontal="right"/>
    </xf>
    <xf numFmtId="9" fontId="32" fillId="0" borderId="13" xfId="17" applyFont="1" applyBorder="1" applyAlignment="1">
      <alignment horizontal="right"/>
    </xf>
    <xf numFmtId="0" fontId="1" fillId="0" borderId="0" xfId="14"/>
    <xf numFmtId="168" fontId="32" fillId="0" borderId="5" xfId="27" applyNumberFormat="1" applyFont="1" applyFill="1" applyBorder="1" applyAlignment="1">
      <alignment horizontal="left" vertical="center" indent="1"/>
    </xf>
    <xf numFmtId="181" fontId="22" fillId="0" borderId="5" xfId="27" applyNumberFormat="1" applyFont="1" applyFill="1" applyBorder="1" applyAlignment="1">
      <alignment horizontal="left" vertical="center" indent="1"/>
    </xf>
    <xf numFmtId="181" fontId="22" fillId="0" borderId="5" xfId="27" applyNumberFormat="1" applyFont="1" applyFill="1" applyBorder="1" applyAlignment="1">
      <alignment horizontal="left" vertical="center"/>
    </xf>
    <xf numFmtId="181" fontId="22" fillId="0" borderId="30" xfId="27" applyNumberFormat="1" applyFont="1" applyFill="1" applyBorder="1" applyAlignment="1">
      <alignment horizontal="left" vertical="center"/>
    </xf>
    <xf numFmtId="181" fontId="22" fillId="0" borderId="0" xfId="0" applyNumberFormat="1" applyFont="1" applyFill="1" applyBorder="1"/>
    <xf numFmtId="168" fontId="21" fillId="0" borderId="9" xfId="17" applyNumberFormat="1" applyFont="1" applyFill="1" applyBorder="1"/>
    <xf numFmtId="168" fontId="33" fillId="0" borderId="9" xfId="17" applyNumberFormat="1" applyFont="1" applyFill="1" applyBorder="1"/>
    <xf numFmtId="195" fontId="28" fillId="0" borderId="3" xfId="27" applyNumberFormat="1" applyFont="1" applyFill="1" applyBorder="1">
      <alignment horizontal="left" vertical="center"/>
    </xf>
    <xf numFmtId="3" fontId="21" fillId="0" borderId="0" xfId="27" applyNumberFormat="1" applyFont="1" applyFill="1" applyBorder="1" applyAlignment="1">
      <alignment horizontal="right" vertical="center"/>
    </xf>
    <xf numFmtId="43" fontId="21" fillId="0" borderId="0" xfId="9" applyFont="1" applyBorder="1" applyAlignment="1">
      <alignment horizontal="right"/>
    </xf>
    <xf numFmtId="3" fontId="42" fillId="0" borderId="26" xfId="27" applyNumberFormat="1" applyFont="1" applyFill="1" applyBorder="1">
      <alignment horizontal="left" vertical="center"/>
    </xf>
    <xf numFmtId="9" fontId="35" fillId="0" borderId="0" xfId="17" applyFont="1" applyFill="1" applyBorder="1"/>
    <xf numFmtId="171" fontId="21" fillId="0" borderId="0" xfId="17" applyNumberFormat="1" applyFont="1" applyBorder="1" applyAlignment="1">
      <alignment horizontal="right"/>
    </xf>
    <xf numFmtId="0" fontId="1" fillId="5" borderId="0" xfId="34" applyFont="1" applyFill="1" applyAlignment="1">
      <alignment vertical="top"/>
    </xf>
    <xf numFmtId="0" fontId="0" fillId="5" borderId="0" xfId="0" applyFill="1" applyAlignment="1">
      <alignment vertical="top"/>
    </xf>
    <xf numFmtId="0" fontId="0" fillId="5" borderId="0" xfId="0" applyFill="1"/>
    <xf numFmtId="0" fontId="27" fillId="5" borderId="0" xfId="34" applyFont="1" applyFill="1" applyAlignment="1">
      <alignment horizontal="left" vertical="top"/>
    </xf>
    <xf numFmtId="0" fontId="1" fillId="5" borderId="0" xfId="0" applyFont="1" applyFill="1" applyAlignment="1">
      <alignment vertical="top"/>
    </xf>
    <xf numFmtId="0" fontId="91" fillId="5" borderId="0" xfId="34" applyFont="1" applyFill="1" applyAlignment="1">
      <alignment vertical="top"/>
    </xf>
    <xf numFmtId="0" fontId="101" fillId="5" borderId="0" xfId="0" applyFont="1" applyFill="1" applyAlignment="1">
      <alignment vertical="top"/>
    </xf>
    <xf numFmtId="0" fontId="102" fillId="5" borderId="0" xfId="0" applyFont="1" applyFill="1" applyAlignment="1">
      <alignment vertical="top"/>
    </xf>
    <xf numFmtId="0" fontId="101" fillId="5" borderId="42" xfId="0" applyFont="1" applyFill="1" applyBorder="1" applyAlignment="1">
      <alignment vertical="top"/>
    </xf>
    <xf numFmtId="9" fontId="101" fillId="5" borderId="42" xfId="0" applyNumberFormat="1" applyFont="1" applyFill="1" applyBorder="1" applyAlignment="1">
      <alignment vertical="top"/>
    </xf>
    <xf numFmtId="3" fontId="101" fillId="5" borderId="42" xfId="0" applyNumberFormat="1" applyFont="1" applyFill="1" applyBorder="1" applyAlignment="1">
      <alignment vertical="top"/>
    </xf>
    <xf numFmtId="2" fontId="1" fillId="0" borderId="0" xfId="14" applyNumberFormat="1" applyAlignment="1">
      <alignment horizontal="left"/>
    </xf>
    <xf numFmtId="0" fontId="1" fillId="0" borderId="0" xfId="14" applyNumberFormat="1" applyAlignment="1">
      <alignment horizontal="left"/>
    </xf>
    <xf numFmtId="1" fontId="1" fillId="0" borderId="0" xfId="14" applyNumberFormat="1" applyAlignment="1">
      <alignment horizontal="left"/>
    </xf>
    <xf numFmtId="0" fontId="1" fillId="0" borderId="0" xfId="14" applyFont="1"/>
    <xf numFmtId="196" fontId="1" fillId="0" borderId="0" xfId="14" applyNumberFormat="1" applyAlignment="1">
      <alignment horizontal="left"/>
    </xf>
    <xf numFmtId="49" fontId="1" fillId="0" borderId="0" xfId="14" applyNumberFormat="1"/>
    <xf numFmtId="0" fontId="0" fillId="5" borderId="47" xfId="0" applyFill="1" applyBorder="1" applyAlignment="1">
      <alignment vertical="top"/>
    </xf>
    <xf numFmtId="0" fontId="101" fillId="5" borderId="0" xfId="0" applyFont="1" applyFill="1" applyAlignment="1">
      <alignment vertical="top"/>
    </xf>
    <xf numFmtId="0" fontId="101" fillId="5" borderId="43" xfId="0" applyFont="1" applyFill="1" applyBorder="1" applyAlignment="1">
      <alignment vertical="top"/>
    </xf>
    <xf numFmtId="0" fontId="101" fillId="5" borderId="44" xfId="0" applyFont="1" applyFill="1" applyBorder="1" applyAlignment="1">
      <alignment vertical="top"/>
    </xf>
    <xf numFmtId="0" fontId="101" fillId="5" borderId="45" xfId="0" applyFont="1" applyFill="1" applyBorder="1" applyAlignment="1">
      <alignment vertical="top"/>
    </xf>
    <xf numFmtId="0" fontId="102" fillId="5" borderId="0" xfId="0" applyFont="1" applyFill="1" applyAlignment="1">
      <alignment vertical="top"/>
    </xf>
    <xf numFmtId="0" fontId="0" fillId="5" borderId="0" xfId="0" applyFill="1" applyAlignment="1">
      <alignment vertical="top"/>
    </xf>
    <xf numFmtId="0" fontId="0" fillId="5" borderId="46" xfId="0" applyFill="1" applyBorder="1" applyAlignment="1">
      <alignment vertical="top"/>
    </xf>
  </cellXfs>
  <cellStyles count="35">
    <cellStyle name="_SUMMARY " xfId="1"/>
    <cellStyle name="_SUMMARY _RRST1" xfId="2"/>
    <cellStyle name="0_Capex &amp; Depreciation " xfId="3"/>
    <cellStyle name="0_Capex &amp; Depreciation _RRST1" xfId="4"/>
    <cellStyle name="0_Valuing BP " xfId="5"/>
    <cellStyle name="0_Valuing BP _RRST1" xfId="6"/>
    <cellStyle name="c_HardInc " xfId="7"/>
    <cellStyle name="c_HardInc _RRST1" xfId="8"/>
    <cellStyle name="Comma" xfId="9" builtinId="3"/>
    <cellStyle name="Currency" xfId="10" builtinId="4"/>
    <cellStyle name="Currency 2" xfId="11"/>
    <cellStyle name="Currency 3" xfId="12"/>
    <cellStyle name="Currency 4" xfId="29"/>
    <cellStyle name="Currency 5" xfId="30"/>
    <cellStyle name="Currency 6" xfId="31"/>
    <cellStyle name="Currency 7" xfId="32"/>
    <cellStyle name="Currency 8" xfId="33"/>
    <cellStyle name="KP_Normal" xfId="13"/>
    <cellStyle name="Normal" xfId="0" builtinId="0"/>
    <cellStyle name="Normal 2" xfId="14"/>
    <cellStyle name="Normal 3" xfId="15"/>
    <cellStyle name="Normal_DisclaimerSheet Samples" xfId="34"/>
    <cellStyle name="p " xfId="16"/>
    <cellStyle name="Percent" xfId="17" builtinId="5"/>
    <cellStyle name="Percent 2" xfId="18"/>
    <cellStyle name="Right" xfId="19"/>
    <cellStyle name="RRSInstruction" xfId="20"/>
    <cellStyle name="RRSInstruction 2" xfId="21"/>
    <cellStyle name="s_HardInc " xfId="22"/>
    <cellStyle name="s_HardInc _RRST1" xfId="23"/>
    <cellStyle name="s_Valuation " xfId="24"/>
    <cellStyle name="s_Valuation _RRST1" xfId="25"/>
    <cellStyle name="ssp " xfId="26"/>
    <cellStyle name="title1" xfId="27"/>
    <cellStyle name="title2" xfId="28"/>
  </cellStyles>
  <dxfs count="73">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32C464"/>
      <rgbColor rgb="00CCFFFF"/>
      <rgbColor rgb="00660066"/>
      <rgbColor rgb="00F37B53"/>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3399FF"/>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theme/theme1.xml" Type="http://schemas.openxmlformats.org/officeDocument/2006/relationships/theme"/>
<Relationship Id="rId14" Target="styles.xml" Type="http://schemas.openxmlformats.org/officeDocument/2006/relationships/styles"/>
<Relationship Id="rId15" Target="sharedStrings.xml" Type="http://schemas.openxmlformats.org/officeDocument/2006/relationships/sharedStrings"/>
<Relationship Id="rId16" Target="calcChain.xml" Type="http://schemas.openxmlformats.org/officeDocument/2006/relationships/calcChain"/>
<Relationship Id="rId17" Target="../customXml/item1.xml" Type="http://schemas.openxmlformats.org/officeDocument/2006/relationships/customXml"/>
<Relationship Id="rId18" Target="../customXml/item2.xml" Type="http://schemas.openxmlformats.org/officeDocument/2006/relationships/customXml"/>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97703549060542794"/>
          <c:y val="6.6312997347480113E-2"/>
          <c:w val="1.4613778705636743E-2"/>
          <c:h val="0.76923076923076927"/>
        </c:manualLayout>
      </c:layout>
      <c:barChart>
        <c:barDir val="col"/>
        <c:grouping val="clustered"/>
        <c:varyColors val="0"/>
        <c:ser>
          <c:idx val="1"/>
          <c:order val="0"/>
          <c:tx>
            <c:v>Backlog in $M</c:v>
          </c:tx>
          <c:invertIfNegative val="0"/>
          <c:cat>
            <c:multiLvlStrRef>
              <c:f>Metrics!$AA$59:$AS$59</c:f>
            </c:multiLvlStrRef>
          </c:cat>
          <c:val>
            <c:numRef>
              <c:f>Metrics!$AA$61:$AS$61</c:f>
            </c:numRef>
          </c:val>
        </c:ser>
        <c:dLbls>
          <c:showLegendKey val="0"/>
          <c:showVal val="0"/>
          <c:showCatName val="0"/>
          <c:showSerName val="0"/>
          <c:showPercent val="0"/>
          <c:showBubbleSize val="0"/>
        </c:dLbls>
        <c:gapWidth val="150"/>
        <c:axId val="474389120"/>
        <c:axId val="474396160"/>
      </c:barChart>
      <c:lineChart>
        <c:grouping val="standard"/>
        <c:varyColors val="0"/>
        <c:ser>
          <c:idx val="0"/>
          <c:order val="1"/>
          <c:tx>
            <c:v>% of Total Rev</c:v>
          </c:tx>
          <c:val>
            <c:numRef>
              <c:f>Metrics!$AA$60:$AS$60</c:f>
            </c:numRef>
          </c:val>
          <c:smooth val="0"/>
        </c:ser>
        <c:dLbls>
          <c:showLegendKey val="0"/>
          <c:showVal val="0"/>
          <c:showCatName val="0"/>
          <c:showSerName val="0"/>
          <c:showPercent val="0"/>
          <c:showBubbleSize val="0"/>
        </c:dLbls>
        <c:marker val="1"/>
        <c:smooth val="0"/>
        <c:axId val="477370624"/>
        <c:axId val="480005120"/>
      </c:lineChart>
      <c:catAx>
        <c:axId val="47438912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474396160"/>
        <c:crosses val="autoZero"/>
        <c:auto val="0"/>
        <c:lblAlgn val="ctr"/>
        <c:lblOffset val="100"/>
        <c:tickLblSkip val="1"/>
        <c:tickMarkSkip val="1"/>
        <c:noMultiLvlLbl val="0"/>
      </c:catAx>
      <c:valAx>
        <c:axId val="474396160"/>
        <c:scaling>
          <c:orientation val="minMax"/>
        </c:scaling>
        <c:delete val="0"/>
        <c:axPos val="l"/>
        <c:title>
          <c:tx>
            <c:rich>
              <a:bodyPr/>
              <a:lstStyle/>
              <a:p>
                <a:pPr>
                  <a:defRPr sz="1000" b="1" i="0" u="none" strike="noStrike" baseline="0">
                    <a:solidFill>
                      <a:srgbClr val="000000"/>
                    </a:solidFill>
                    <a:latin typeface="Arial"/>
                    <a:ea typeface="Arial"/>
                    <a:cs typeface="Arial"/>
                  </a:defRPr>
                </a:pPr>
                <a:r>
                  <a:rPr lang="en-US"/>
                  <a:t>Backlog</a:t>
                </a:r>
              </a:p>
            </c:rich>
          </c:tx>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74389120"/>
        <c:crosses val="autoZero"/>
        <c:crossBetween val="between"/>
      </c:valAx>
      <c:catAx>
        <c:axId val="477370624"/>
        <c:scaling>
          <c:orientation val="minMax"/>
        </c:scaling>
        <c:delete val="1"/>
        <c:axPos val="b"/>
        <c:majorTickMark val="out"/>
        <c:minorTickMark val="none"/>
        <c:tickLblPos val="nextTo"/>
        <c:crossAx val="480005120"/>
        <c:crosses val="autoZero"/>
        <c:auto val="0"/>
        <c:lblAlgn val="ctr"/>
        <c:lblOffset val="100"/>
        <c:noMultiLvlLbl val="0"/>
      </c:catAx>
      <c:valAx>
        <c:axId val="480005120"/>
        <c:scaling>
          <c:orientation val="minMax"/>
        </c:scaling>
        <c:delete val="0"/>
        <c:axPos val="r"/>
        <c:title>
          <c:tx>
            <c:rich>
              <a:bodyPr/>
              <a:lstStyle/>
              <a:p>
                <a:pPr>
                  <a:defRPr sz="1000" b="1" i="0" u="none" strike="noStrike" baseline="0">
                    <a:solidFill>
                      <a:srgbClr val="000000"/>
                    </a:solidFill>
                    <a:latin typeface="Arial"/>
                    <a:ea typeface="Arial"/>
                    <a:cs typeface="Arial"/>
                  </a:defRPr>
                </a:pPr>
                <a:r>
                  <a:rPr lang="en-US"/>
                  <a:t>% of Rev</a:t>
                </a:r>
              </a:p>
            </c:rich>
          </c:tx>
          <c:overlay val="0"/>
          <c:spPr>
            <a:noFill/>
            <a:ln w="25400">
              <a:noFill/>
            </a:ln>
          </c:spPr>
        </c:title>
        <c:numFmt formatCode="General" sourceLinked="1"/>
        <c:majorTickMark val="none"/>
        <c:minorTickMark val="none"/>
        <c:tickLblPos val="none"/>
        <c:spPr>
          <a:ln w="3175">
            <a:solidFill>
              <a:srgbClr val="000000"/>
            </a:solidFill>
            <a:prstDash val="solid"/>
          </a:ln>
        </c:spPr>
        <c:crossAx val="477370624"/>
        <c:crosses val="max"/>
        <c:crossBetween val="between"/>
      </c:valAx>
      <c:spPr>
        <a:noFill/>
        <a:ln w="25400">
          <a:noFill/>
        </a:ln>
      </c:spPr>
    </c:plotArea>
    <c:legend>
      <c:legendPos val="r"/>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orientation="portrait"/>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charts/chart1.xml" Type="http://schemas.openxmlformats.org/officeDocument/2006/relationships/chart"/>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174</xdr:row>
      <xdr:rowOff>0</xdr:rowOff>
    </xdr:from>
    <xdr:to>
      <xdr:col>7</xdr:col>
      <xdr:colOff>390525</xdr:colOff>
      <xdr:row>197</xdr:row>
      <xdr:rowOff>104775</xdr:rowOff>
    </xdr:to>
    <xdr:pic>
      <xdr:nvPicPr>
        <xdr:cNvPr id="28607489" name="Picture 1" descr="C:\Users\anjeloa\AppData\Local\Temp\MercuryPriceRatingHistoryChart\ADBE.O_2018_03_15_18_35_29.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8033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55</xdr:col>
      <xdr:colOff>9525</xdr:colOff>
      <xdr:row>236</xdr:row>
      <xdr:rowOff>9525</xdr:rowOff>
    </xdr:from>
    <xdr:to>
      <xdr:col>55</xdr:col>
      <xdr:colOff>9525</xdr:colOff>
      <xdr:row>259</xdr:row>
      <xdr:rowOff>95250</xdr:rowOff>
    </xdr:to>
    <xdr:graphicFrame macro="">
      <xdr:nvGraphicFramePr>
        <xdr:cNvPr id="15038192" name="Chart 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2.xml" Type="http://schemas.openxmlformats.org/officeDocument/2006/relationships/drawing"/>
<Relationship Id="rId3" Target="../drawings/vmlDrawing4.vml" Type="http://schemas.openxmlformats.org/officeDocument/2006/relationships/vmlDrawing"/>
<Relationship Id="rId4" Target="../comments4.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B1"/>
  <sheetViews>
    <sheetView workbookViewId="0"/>
  </sheetViews>
  <sheetFormatPr defaultRowHeight="12.75"/>
  <sheetData>
    <row r="1" spans="1:2">
      <c r="A1" s="29"/>
      <c r="B1" t="s">
        <v>183</v>
      </c>
    </row>
  </sheetData>
  <phoneticPr fontId="2" type="noConversion"/>
  <pageMargins left="0.75" right="0.75" top="1" bottom="1" header="0.5" footer="0.5"/>
  <pageSetup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91"/>
  <sheetViews>
    <sheetView showGridLines="0" tabSelected="1" workbookViewId="0">
      <selection activeCell="E11" sqref="E11"/>
    </sheetView>
  </sheetViews>
  <sheetFormatPr defaultRowHeight="12.75"/>
  <cols>
    <col min="1" max="1" width="25.7109375" style="1928" customWidth="1"/>
    <col min="2" max="5" width="9.140625" style="1928"/>
    <col min="6" max="6" width="18.7109375" style="1928" customWidth="1"/>
    <col min="7" max="256" width="9.140625" style="1928"/>
    <col min="257" max="257" width="100.7109375" style="1928" customWidth="1"/>
    <col min="258" max="512" width="9.140625" style="1928"/>
    <col min="513" max="513" width="100.7109375" style="1928" customWidth="1"/>
    <col min="514" max="768" width="9.140625" style="1928"/>
    <col min="769" max="769" width="100.7109375" style="1928" customWidth="1"/>
    <col min="770" max="1024" width="9.140625" style="1928"/>
    <col min="1025" max="1025" width="100.7109375" style="1928" customWidth="1"/>
    <col min="1026" max="1280" width="9.140625" style="1928"/>
    <col min="1281" max="1281" width="100.7109375" style="1928" customWidth="1"/>
    <col min="1282" max="1536" width="9.140625" style="1928"/>
    <col min="1537" max="1537" width="100.7109375" style="1928" customWidth="1"/>
    <col min="1538" max="1792" width="9.140625" style="1928"/>
    <col min="1793" max="1793" width="100.7109375" style="1928" customWidth="1"/>
    <col min="1794" max="2048" width="9.140625" style="1928"/>
    <col min="2049" max="2049" width="100.7109375" style="1928" customWidth="1"/>
    <col min="2050" max="2304" width="9.140625" style="1928"/>
    <col min="2305" max="2305" width="100.7109375" style="1928" customWidth="1"/>
    <col min="2306" max="2560" width="9.140625" style="1928"/>
    <col min="2561" max="2561" width="100.7109375" style="1928" customWidth="1"/>
    <col min="2562" max="2816" width="9.140625" style="1928"/>
    <col min="2817" max="2817" width="100.7109375" style="1928" customWidth="1"/>
    <col min="2818" max="3072" width="9.140625" style="1928"/>
    <col min="3073" max="3073" width="100.7109375" style="1928" customWidth="1"/>
    <col min="3074" max="3328" width="9.140625" style="1928"/>
    <col min="3329" max="3329" width="100.7109375" style="1928" customWidth="1"/>
    <col min="3330" max="3584" width="9.140625" style="1928"/>
    <col min="3585" max="3585" width="100.7109375" style="1928" customWidth="1"/>
    <col min="3586" max="3840" width="9.140625" style="1928"/>
    <col min="3841" max="3841" width="100.7109375" style="1928" customWidth="1"/>
    <col min="3842" max="4096" width="9.140625" style="1928"/>
    <col min="4097" max="4097" width="100.7109375" style="1928" customWidth="1"/>
    <col min="4098" max="4352" width="9.140625" style="1928"/>
    <col min="4353" max="4353" width="100.7109375" style="1928" customWidth="1"/>
    <col min="4354" max="4608" width="9.140625" style="1928"/>
    <col min="4609" max="4609" width="100.7109375" style="1928" customWidth="1"/>
    <col min="4610" max="4864" width="9.140625" style="1928"/>
    <col min="4865" max="4865" width="100.7109375" style="1928" customWidth="1"/>
    <col min="4866" max="5120" width="9.140625" style="1928"/>
    <col min="5121" max="5121" width="100.7109375" style="1928" customWidth="1"/>
    <col min="5122" max="5376" width="9.140625" style="1928"/>
    <col min="5377" max="5377" width="100.7109375" style="1928" customWidth="1"/>
    <col min="5378" max="5632" width="9.140625" style="1928"/>
    <col min="5633" max="5633" width="100.7109375" style="1928" customWidth="1"/>
    <col min="5634" max="5888" width="9.140625" style="1928"/>
    <col min="5889" max="5889" width="100.7109375" style="1928" customWidth="1"/>
    <col min="5890" max="6144" width="9.140625" style="1928"/>
    <col min="6145" max="6145" width="100.7109375" style="1928" customWidth="1"/>
    <col min="6146" max="6400" width="9.140625" style="1928"/>
    <col min="6401" max="6401" width="100.7109375" style="1928" customWidth="1"/>
    <col min="6402" max="6656" width="9.140625" style="1928"/>
    <col min="6657" max="6657" width="100.7109375" style="1928" customWidth="1"/>
    <col min="6658" max="6912" width="9.140625" style="1928"/>
    <col min="6913" max="6913" width="100.7109375" style="1928" customWidth="1"/>
    <col min="6914" max="7168" width="9.140625" style="1928"/>
    <col min="7169" max="7169" width="100.7109375" style="1928" customWidth="1"/>
    <col min="7170" max="7424" width="9.140625" style="1928"/>
    <col min="7425" max="7425" width="100.7109375" style="1928" customWidth="1"/>
    <col min="7426" max="7680" width="9.140625" style="1928"/>
    <col min="7681" max="7681" width="100.7109375" style="1928" customWidth="1"/>
    <col min="7682" max="7936" width="9.140625" style="1928"/>
    <col min="7937" max="7937" width="100.7109375" style="1928" customWidth="1"/>
    <col min="7938" max="8192" width="9.140625" style="1928"/>
    <col min="8193" max="8193" width="100.7109375" style="1928" customWidth="1"/>
    <col min="8194" max="8448" width="9.140625" style="1928"/>
    <col min="8449" max="8449" width="100.7109375" style="1928" customWidth="1"/>
    <col min="8450" max="8704" width="9.140625" style="1928"/>
    <col min="8705" max="8705" width="100.7109375" style="1928" customWidth="1"/>
    <col min="8706" max="8960" width="9.140625" style="1928"/>
    <col min="8961" max="8961" width="100.7109375" style="1928" customWidth="1"/>
    <col min="8962" max="9216" width="9.140625" style="1928"/>
    <col min="9217" max="9217" width="100.7109375" style="1928" customWidth="1"/>
    <col min="9218" max="9472" width="9.140625" style="1928"/>
    <col min="9473" max="9473" width="100.7109375" style="1928" customWidth="1"/>
    <col min="9474" max="9728" width="9.140625" style="1928"/>
    <col min="9729" max="9729" width="100.7109375" style="1928" customWidth="1"/>
    <col min="9730" max="9984" width="9.140625" style="1928"/>
    <col min="9985" max="9985" width="100.7109375" style="1928" customWidth="1"/>
    <col min="9986" max="10240" width="9.140625" style="1928"/>
    <col min="10241" max="10241" width="100.7109375" style="1928" customWidth="1"/>
    <col min="10242" max="10496" width="9.140625" style="1928"/>
    <col min="10497" max="10497" width="100.7109375" style="1928" customWidth="1"/>
    <col min="10498" max="10752" width="9.140625" style="1928"/>
    <col min="10753" max="10753" width="100.7109375" style="1928" customWidth="1"/>
    <col min="10754" max="11008" width="9.140625" style="1928"/>
    <col min="11009" max="11009" width="100.7109375" style="1928" customWidth="1"/>
    <col min="11010" max="11264" width="9.140625" style="1928"/>
    <col min="11265" max="11265" width="100.7109375" style="1928" customWidth="1"/>
    <col min="11266" max="11520" width="9.140625" style="1928"/>
    <col min="11521" max="11521" width="100.7109375" style="1928" customWidth="1"/>
    <col min="11522" max="11776" width="9.140625" style="1928"/>
    <col min="11777" max="11777" width="100.7109375" style="1928" customWidth="1"/>
    <col min="11778" max="12032" width="9.140625" style="1928"/>
    <col min="12033" max="12033" width="100.7109375" style="1928" customWidth="1"/>
    <col min="12034" max="12288" width="9.140625" style="1928"/>
    <col min="12289" max="12289" width="100.7109375" style="1928" customWidth="1"/>
    <col min="12290" max="12544" width="9.140625" style="1928"/>
    <col min="12545" max="12545" width="100.7109375" style="1928" customWidth="1"/>
    <col min="12546" max="12800" width="9.140625" style="1928"/>
    <col min="12801" max="12801" width="100.7109375" style="1928" customWidth="1"/>
    <col min="12802" max="13056" width="9.140625" style="1928"/>
    <col min="13057" max="13057" width="100.7109375" style="1928" customWidth="1"/>
    <col min="13058" max="13312" width="9.140625" style="1928"/>
    <col min="13313" max="13313" width="100.7109375" style="1928" customWidth="1"/>
    <col min="13314" max="13568" width="9.140625" style="1928"/>
    <col min="13569" max="13569" width="100.7109375" style="1928" customWidth="1"/>
    <col min="13570" max="13824" width="9.140625" style="1928"/>
    <col min="13825" max="13825" width="100.7109375" style="1928" customWidth="1"/>
    <col min="13826" max="14080" width="9.140625" style="1928"/>
    <col min="14081" max="14081" width="100.7109375" style="1928" customWidth="1"/>
    <col min="14082" max="14336" width="9.140625" style="1928"/>
    <col min="14337" max="14337" width="100.7109375" style="1928" customWidth="1"/>
    <col min="14338" max="14592" width="9.140625" style="1928"/>
    <col min="14593" max="14593" width="100.7109375" style="1928" customWidth="1"/>
    <col min="14594" max="14848" width="9.140625" style="1928"/>
    <col min="14849" max="14849" width="100.7109375" style="1928" customWidth="1"/>
    <col min="14850" max="15104" width="9.140625" style="1928"/>
    <col min="15105" max="15105" width="100.7109375" style="1928" customWidth="1"/>
    <col min="15106" max="15360" width="9.140625" style="1928"/>
    <col min="15361" max="15361" width="100.7109375" style="1928" customWidth="1"/>
    <col min="15362" max="15616" width="9.140625" style="1928"/>
    <col min="15617" max="15617" width="100.7109375" style="1928" customWidth="1"/>
    <col min="15618" max="15872" width="9.140625" style="1928"/>
    <col min="15873" max="15873" width="100.7109375" style="1928" customWidth="1"/>
    <col min="15874" max="16128" width="9.140625" style="1928"/>
    <col min="16129" max="16129" width="100.7109375" style="1928" customWidth="1"/>
    <col min="16130" max="16384" width="9.140625" style="1928"/>
  </cols>
  <sheetData>
    <row r="1" spans="1:8" ht="30" customHeight="1">
      <c r="A1" s="1926"/>
      <c r="B1" s="1927"/>
      <c r="C1" s="1927"/>
      <c r="D1" s="1927"/>
      <c r="E1" s="1927"/>
      <c r="F1" s="1927"/>
      <c r="G1" s="1927"/>
      <c r="H1" s="1927"/>
    </row>
    <row r="2" spans="1:8" ht="14.25">
      <c r="A2" s="1929" t="s">
        <v>919</v>
      </c>
      <c r="B2" s="1927"/>
      <c r="C2" s="1927"/>
      <c r="D2" s="1927"/>
      <c r="E2" s="1927"/>
      <c r="F2" s="1927"/>
      <c r="G2" s="1927"/>
      <c r="H2" s="1927"/>
    </row>
    <row r="3" spans="1:8" ht="14.25">
      <c r="A3" s="1929" t="s">
        <v>920</v>
      </c>
      <c r="B3" s="1927"/>
      <c r="C3" s="1927"/>
      <c r="D3" s="1927"/>
      <c r="E3" s="1927"/>
      <c r="F3" s="1927"/>
      <c r="G3" s="1927"/>
      <c r="H3" s="1927"/>
    </row>
    <row r="4" spans="1:8" ht="14.25">
      <c r="A4" s="1929" t="s">
        <v>30</v>
      </c>
      <c r="B4" s="1927"/>
      <c r="C4" s="1927"/>
      <c r="D4" s="1927"/>
      <c r="E4" s="1927"/>
      <c r="F4" s="1927"/>
      <c r="G4" s="1927"/>
      <c r="H4" s="1927"/>
    </row>
    <row r="5" spans="1:8" ht="14.25">
      <c r="A5" s="1929" t="s">
        <v>921</v>
      </c>
      <c r="B5" s="1927"/>
      <c r="C5" s="1927"/>
      <c r="D5" s="1927"/>
      <c r="E5" s="1927"/>
      <c r="F5" s="1927"/>
      <c r="G5" s="1927"/>
      <c r="H5" s="1927"/>
    </row>
    <row r="6" spans="1:8" ht="14.25">
      <c r="A6" s="1929"/>
      <c r="B6" s="1927"/>
      <c r="C6" s="1927"/>
      <c r="D6" s="1927"/>
      <c r="E6" s="1927"/>
      <c r="F6" s="1927"/>
      <c r="G6" s="1927"/>
      <c r="H6" s="1927"/>
    </row>
    <row r="7" spans="1:8">
      <c r="A7" s="1926" t="s">
        <v>922</v>
      </c>
      <c r="B7" s="1927"/>
      <c r="C7" s="1927"/>
      <c r="D7" s="1927"/>
      <c r="E7" s="1927"/>
      <c r="F7" s="1927"/>
      <c r="G7" s="1927"/>
      <c r="H7" s="1927"/>
    </row>
    <row r="8" spans="1:8">
      <c r="A8" s="1926" t="s">
        <v>923</v>
      </c>
      <c r="B8" s="1927"/>
      <c r="C8" s="1927"/>
      <c r="D8" s="1927"/>
      <c r="E8" s="1927"/>
      <c r="F8" s="1927"/>
      <c r="G8" s="1927"/>
      <c r="H8" s="1927"/>
    </row>
    <row r="9" spans="1:8">
      <c r="A9" s="1926"/>
      <c r="B9" s="1927"/>
      <c r="C9" s="1927"/>
      <c r="D9" s="1927"/>
      <c r="E9" s="1927"/>
      <c r="F9" s="1927"/>
      <c r="G9" s="1927"/>
      <c r="H9" s="1927"/>
    </row>
    <row r="10" spans="1:8">
      <c r="A10" s="1930" t="s">
        <v>924</v>
      </c>
      <c r="B10" s="1927"/>
      <c r="C10" s="1927"/>
      <c r="D10" s="1927"/>
      <c r="E10" s="1927"/>
      <c r="F10" s="1927"/>
      <c r="G10" s="1927"/>
      <c r="H10" s="1927"/>
    </row>
    <row r="11" spans="1:8">
      <c r="A11" s="1930" t="s">
        <v>925</v>
      </c>
      <c r="B11" s="1927"/>
      <c r="C11" s="1927"/>
      <c r="D11" s="1927"/>
      <c r="E11" s="1927"/>
      <c r="F11" s="1927"/>
      <c r="G11" s="1927"/>
      <c r="H11" s="1927"/>
    </row>
    <row r="12" spans="1:8">
      <c r="A12" s="1930" t="s">
        <v>926</v>
      </c>
      <c r="B12" s="1927"/>
      <c r="C12" s="1927"/>
      <c r="D12" s="1927"/>
      <c r="E12" s="1927"/>
      <c r="F12" s="1927"/>
      <c r="G12" s="1927"/>
      <c r="H12" s="1927"/>
    </row>
    <row r="13" spans="1:8">
      <c r="A13" s="1930" t="s">
        <v>927</v>
      </c>
      <c r="B13" s="1927"/>
      <c r="C13" s="1927"/>
      <c r="D13" s="1927"/>
      <c r="E13" s="1927"/>
      <c r="F13" s="1927"/>
      <c r="G13" s="1927"/>
      <c r="H13" s="1927"/>
    </row>
    <row r="14" spans="1:8">
      <c r="A14" s="1930" t="s">
        <v>928</v>
      </c>
      <c r="B14" s="1927"/>
      <c r="C14" s="1927"/>
      <c r="D14" s="1927"/>
      <c r="E14" s="1927"/>
      <c r="F14" s="1927"/>
      <c r="G14" s="1927"/>
      <c r="H14" s="1927"/>
    </row>
    <row r="15" spans="1:8">
      <c r="A15" s="1930" t="s">
        <v>1278</v>
      </c>
      <c r="B15" s="1927"/>
      <c r="C15" s="1927"/>
      <c r="D15" s="1927"/>
      <c r="E15" s="1927"/>
      <c r="F15" s="1927"/>
      <c r="G15" s="1927"/>
      <c r="H15" s="1927"/>
    </row>
    <row r="16" spans="1:8">
      <c r="A16" s="1930"/>
      <c r="B16" s="1927"/>
      <c r="C16" s="1927"/>
      <c r="D16" s="1927"/>
      <c r="E16" s="1927"/>
      <c r="F16" s="1927"/>
      <c r="G16" s="1927"/>
      <c r="H16" s="1927"/>
    </row>
    <row r="17" spans="1:8">
      <c r="A17" s="1930" t="s">
        <v>916</v>
      </c>
      <c r="B17" s="1927"/>
      <c r="C17" s="1927"/>
      <c r="D17" s="1927"/>
      <c r="E17" s="1927"/>
      <c r="F17" s="1927"/>
      <c r="G17" s="1927"/>
      <c r="H17" s="1927"/>
    </row>
    <row r="18" spans="1:8">
      <c r="A18" s="1930"/>
      <c r="B18" s="1927"/>
      <c r="C18" s="1927"/>
      <c r="D18" s="1927"/>
      <c r="E18" s="1927"/>
      <c r="F18" s="1927"/>
      <c r="G18" s="1927"/>
      <c r="H18" s="1927"/>
    </row>
    <row r="19" spans="1:8">
      <c r="A19" s="1930" t="s">
        <v>917</v>
      </c>
      <c r="B19" s="1927"/>
      <c r="C19" s="1927"/>
      <c r="D19" s="1927"/>
      <c r="E19" s="1927"/>
      <c r="F19" s="1927"/>
      <c r="G19" s="1927"/>
      <c r="H19" s="1927"/>
    </row>
    <row r="20" spans="1:8">
      <c r="A20" s="1926"/>
      <c r="B20" s="1927"/>
      <c r="C20" s="1927"/>
      <c r="D20" s="1927"/>
      <c r="E20" s="1927"/>
      <c r="F20" s="1927"/>
      <c r="G20" s="1927"/>
      <c r="H20" s="1927"/>
    </row>
    <row r="21" spans="1:8">
      <c r="A21" s="1931" t="s">
        <v>918</v>
      </c>
      <c r="B21" s="1927"/>
      <c r="C21" s="1927"/>
      <c r="D21" s="1927"/>
      <c r="E21" s="1927"/>
      <c r="F21" s="1927"/>
      <c r="G21" s="1927"/>
      <c r="H21" s="1927"/>
    </row>
    <row r="22" spans="1:8">
      <c r="A22" s="1927"/>
      <c r="B22" s="1927"/>
      <c r="C22" s="1927"/>
      <c r="D22" s="1927"/>
      <c r="E22" s="1927"/>
      <c r="F22" s="1927"/>
      <c r="G22" s="1927"/>
      <c r="H22" s="1927"/>
    </row>
    <row r="23" spans="1:8">
      <c r="A23" s="1932" t="s">
        <v>1206</v>
      </c>
      <c r="B23" s="1927"/>
      <c r="C23" s="1927"/>
      <c r="D23" s="1927"/>
      <c r="E23" s="1927"/>
      <c r="F23" s="1927"/>
      <c r="G23" s="1927"/>
      <c r="H23" s="1927"/>
    </row>
    <row r="24" spans="1:8">
      <c r="A24" s="1932" t="s">
        <v>1207</v>
      </c>
      <c r="B24" s="1927"/>
      <c r="C24" s="1927"/>
      <c r="D24" s="1927"/>
      <c r="E24" s="1927"/>
      <c r="F24" s="1927"/>
      <c r="G24" s="1927"/>
      <c r="H24" s="1927"/>
    </row>
    <row r="25" spans="1:8">
      <c r="A25" s="1932" t="s">
        <v>1208</v>
      </c>
      <c r="B25" s="1927"/>
      <c r="C25" s="1927"/>
      <c r="D25" s="1927"/>
      <c r="E25" s="1927"/>
      <c r="F25" s="1927"/>
      <c r="G25" s="1927"/>
      <c r="H25" s="1927"/>
    </row>
    <row r="26" spans="1:8">
      <c r="A26" s="1932" t="s">
        <v>1209</v>
      </c>
      <c r="B26" s="1927"/>
      <c r="C26" s="1927"/>
      <c r="D26" s="1927"/>
      <c r="E26" s="1927"/>
      <c r="F26" s="1927"/>
      <c r="G26" s="1927"/>
      <c r="H26" s="1927"/>
    </row>
    <row r="27" spans="1:8">
      <c r="A27" s="1927"/>
      <c r="B27" s="1927"/>
      <c r="C27" s="1927"/>
      <c r="D27" s="1927"/>
      <c r="E27" s="1927"/>
      <c r="F27" s="1927"/>
      <c r="G27" s="1927"/>
      <c r="H27" s="1927"/>
    </row>
    <row r="28" spans="1:8">
      <c r="A28" s="1927"/>
      <c r="B28" s="1927"/>
      <c r="C28" s="1927"/>
      <c r="D28" s="1927"/>
      <c r="E28" s="1927"/>
      <c r="F28" s="1927"/>
      <c r="G28" s="1927"/>
      <c r="H28" s="1927"/>
    </row>
    <row r="29" spans="1:8">
      <c r="A29" s="1932" t="s">
        <v>1201</v>
      </c>
      <c r="B29" s="1927"/>
      <c r="C29" s="1927"/>
      <c r="D29" s="1927"/>
      <c r="E29" s="1927"/>
      <c r="F29" s="1927"/>
      <c r="G29" s="1927"/>
      <c r="H29" s="1927"/>
    </row>
    <row r="30" spans="1:8">
      <c r="A30" s="1932" t="s">
        <v>1202</v>
      </c>
      <c r="B30" s="1927"/>
      <c r="C30" s="1927"/>
      <c r="D30" s="1927"/>
      <c r="E30" s="1927"/>
      <c r="F30" s="1927"/>
      <c r="G30" s="1927"/>
      <c r="H30" s="1927"/>
    </row>
    <row r="31" spans="1:8">
      <c r="A31" s="1932" t="s">
        <v>1203</v>
      </c>
      <c r="B31" s="1927"/>
      <c r="C31" s="1927"/>
      <c r="D31" s="1927"/>
      <c r="E31" s="1927"/>
      <c r="F31" s="1927"/>
      <c r="G31" s="1927"/>
      <c r="H31" s="1927"/>
    </row>
    <row r="32" spans="1:8">
      <c r="A32" s="1932" t="s">
        <v>1204</v>
      </c>
      <c r="B32" s="1927"/>
      <c r="C32" s="1927"/>
      <c r="D32" s="1927"/>
      <c r="E32" s="1927"/>
      <c r="F32" s="1927"/>
      <c r="G32" s="1927"/>
      <c r="H32" s="1927"/>
    </row>
    <row r="33" spans="1:8">
      <c r="A33" s="1932" t="s">
        <v>1205</v>
      </c>
      <c r="B33" s="1927"/>
      <c r="C33" s="1927"/>
      <c r="D33" s="1927"/>
      <c r="E33" s="1927"/>
      <c r="F33" s="1927"/>
      <c r="G33" s="1927"/>
      <c r="H33" s="1927"/>
    </row>
    <row r="34" spans="1:8">
      <c r="A34" s="1927"/>
      <c r="B34" s="1927"/>
      <c r="C34" s="1927"/>
      <c r="D34" s="1927"/>
      <c r="E34" s="1927"/>
      <c r="F34" s="1927"/>
      <c r="G34" s="1927"/>
      <c r="H34" s="1927"/>
    </row>
    <row r="35" spans="1:8">
      <c r="A35" s="1932" t="s">
        <v>1197</v>
      </c>
      <c r="B35" s="1927"/>
      <c r="C35" s="1927"/>
      <c r="D35" s="1927"/>
      <c r="E35" s="1927"/>
      <c r="F35" s="1927"/>
      <c r="G35" s="1927"/>
      <c r="H35" s="1927"/>
    </row>
    <row r="36" spans="1:8">
      <c r="A36" s="1932" t="s">
        <v>1198</v>
      </c>
      <c r="B36" s="1927"/>
      <c r="C36" s="1927"/>
      <c r="D36" s="1927"/>
      <c r="E36" s="1927"/>
      <c r="F36" s="1927"/>
      <c r="G36" s="1927"/>
      <c r="H36" s="1927"/>
    </row>
    <row r="37" spans="1:8">
      <c r="A37" s="1932" t="s">
        <v>1199</v>
      </c>
      <c r="B37" s="1927"/>
      <c r="C37" s="1927"/>
      <c r="D37" s="1927"/>
      <c r="E37" s="1927"/>
      <c r="F37" s="1927"/>
      <c r="G37" s="1927"/>
      <c r="H37" s="1927"/>
    </row>
    <row r="38" spans="1:8">
      <c r="A38" s="1932" t="s">
        <v>1200</v>
      </c>
      <c r="B38" s="1927"/>
      <c r="C38" s="1927"/>
      <c r="D38" s="1927"/>
      <c r="E38" s="1927"/>
      <c r="F38" s="1927"/>
      <c r="G38" s="1927"/>
      <c r="H38" s="1927"/>
    </row>
    <row r="39" spans="1:8">
      <c r="A39" s="1927"/>
      <c r="B39" s="1927"/>
      <c r="C39" s="1927"/>
      <c r="D39" s="1927"/>
      <c r="E39" s="1927"/>
      <c r="F39" s="1927"/>
      <c r="G39" s="1927"/>
      <c r="H39" s="1927"/>
    </row>
    <row r="40" spans="1:8">
      <c r="A40" s="1932" t="s">
        <v>1191</v>
      </c>
      <c r="B40" s="1927"/>
      <c r="C40" s="1927"/>
      <c r="D40" s="1927"/>
      <c r="E40" s="1927"/>
      <c r="F40" s="1927"/>
      <c r="G40" s="1927"/>
      <c r="H40" s="1927"/>
    </row>
    <row r="41" spans="1:8">
      <c r="A41" s="1932" t="s">
        <v>1192</v>
      </c>
      <c r="B41" s="1927"/>
      <c r="C41" s="1927"/>
      <c r="D41" s="1927"/>
      <c r="E41" s="1927"/>
      <c r="F41" s="1927"/>
      <c r="G41" s="1927"/>
      <c r="H41" s="1927"/>
    </row>
    <row r="42" spans="1:8">
      <c r="A42" s="1932" t="s">
        <v>1193</v>
      </c>
      <c r="B42" s="1927"/>
      <c r="C42" s="1927"/>
      <c r="D42" s="1927"/>
      <c r="E42" s="1927"/>
      <c r="F42" s="1927"/>
      <c r="G42" s="1927"/>
      <c r="H42" s="1927"/>
    </row>
    <row r="43" spans="1:8">
      <c r="A43" s="1932" t="s">
        <v>1194</v>
      </c>
      <c r="B43" s="1927"/>
      <c r="C43" s="1927"/>
      <c r="D43" s="1927"/>
      <c r="E43" s="1927"/>
      <c r="F43" s="1927"/>
      <c r="G43" s="1927"/>
      <c r="H43" s="1927"/>
    </row>
    <row r="44" spans="1:8">
      <c r="A44" s="1932" t="s">
        <v>1195</v>
      </c>
      <c r="B44" s="1927"/>
      <c r="C44" s="1927"/>
      <c r="D44" s="1927"/>
      <c r="E44" s="1927"/>
      <c r="F44" s="1927"/>
      <c r="G44" s="1927"/>
      <c r="H44" s="1927"/>
    </row>
    <row r="45" spans="1:8">
      <c r="A45" s="1932" t="s">
        <v>1196</v>
      </c>
      <c r="B45" s="1927"/>
      <c r="C45" s="1927"/>
      <c r="D45" s="1927"/>
      <c r="E45" s="1927"/>
      <c r="F45" s="1927"/>
      <c r="G45" s="1927"/>
      <c r="H45" s="1927"/>
    </row>
    <row r="46" spans="1:8">
      <c r="A46" s="1927"/>
      <c r="B46" s="1927"/>
      <c r="C46" s="1927"/>
      <c r="D46" s="1927"/>
      <c r="E46" s="1927"/>
      <c r="F46" s="1927"/>
      <c r="G46" s="1927"/>
      <c r="H46" s="1927"/>
    </row>
    <row r="47" spans="1:8" ht="15.75">
      <c r="A47" s="1933" t="s">
        <v>929</v>
      </c>
      <c r="B47" s="1927"/>
      <c r="C47" s="1927"/>
      <c r="D47" s="1927"/>
      <c r="E47" s="1927"/>
      <c r="F47" s="1927"/>
      <c r="G47" s="1927"/>
      <c r="H47" s="1927"/>
    </row>
    <row r="48" spans="1:8">
      <c r="A48" s="1927"/>
      <c r="B48" s="1927"/>
      <c r="C48" s="1927"/>
      <c r="D48" s="1927"/>
      <c r="E48" s="1927"/>
      <c r="F48" s="1927"/>
      <c r="G48" s="1927"/>
      <c r="H48" s="1927"/>
    </row>
    <row r="49" spans="1:8">
      <c r="A49" s="1932" t="s">
        <v>1187</v>
      </c>
      <c r="B49" s="1927"/>
      <c r="C49" s="1927"/>
      <c r="D49" s="1927"/>
      <c r="E49" s="1927"/>
      <c r="F49" s="1927"/>
      <c r="G49" s="1927"/>
      <c r="H49" s="1927"/>
    </row>
    <row r="50" spans="1:8">
      <c r="A50" s="1932" t="s">
        <v>1188</v>
      </c>
      <c r="B50" s="1927"/>
      <c r="C50" s="1927"/>
      <c r="D50" s="1927"/>
      <c r="E50" s="1927"/>
      <c r="F50" s="1927"/>
      <c r="G50" s="1927"/>
      <c r="H50" s="1927"/>
    </row>
    <row r="51" spans="1:8">
      <c r="A51" s="1932" t="s">
        <v>1189</v>
      </c>
      <c r="B51" s="1927"/>
      <c r="C51" s="1927"/>
      <c r="D51" s="1927"/>
      <c r="E51" s="1927"/>
      <c r="F51" s="1927"/>
      <c r="G51" s="1927"/>
      <c r="H51" s="1927"/>
    </row>
    <row r="52" spans="1:8">
      <c r="A52" s="1932" t="s">
        <v>1190</v>
      </c>
      <c r="B52" s="1927"/>
      <c r="C52" s="1927"/>
      <c r="D52" s="1927"/>
      <c r="E52" s="1927"/>
      <c r="F52" s="1927"/>
      <c r="G52" s="1927"/>
      <c r="H52" s="1927"/>
    </row>
    <row r="53" spans="1:8">
      <c r="A53" s="1927"/>
      <c r="B53" s="1927"/>
      <c r="C53" s="1927"/>
      <c r="D53" s="1927"/>
      <c r="E53" s="1927"/>
      <c r="F53" s="1927"/>
      <c r="G53" s="1927"/>
      <c r="H53" s="1927"/>
    </row>
    <row r="54" spans="1:8">
      <c r="A54" s="1932" t="s">
        <v>930</v>
      </c>
      <c r="B54" s="1927"/>
      <c r="C54" s="1927"/>
      <c r="D54" s="1927"/>
      <c r="E54" s="1927"/>
      <c r="F54" s="1927"/>
      <c r="G54" s="1927"/>
      <c r="H54" s="1927"/>
    </row>
    <row r="55" spans="1:8">
      <c r="A55" s="1927"/>
      <c r="B55" s="1927"/>
      <c r="C55" s="1927"/>
      <c r="D55" s="1927"/>
      <c r="E55" s="1927"/>
      <c r="F55" s="1927"/>
      <c r="G55" s="1927"/>
      <c r="H55" s="1927"/>
    </row>
    <row r="56" spans="1:8" ht="15.75">
      <c r="A56" s="1933" t="s">
        <v>931</v>
      </c>
      <c r="B56" s="1927"/>
      <c r="C56" s="1927"/>
      <c r="D56" s="1927"/>
      <c r="E56" s="1927"/>
      <c r="F56" s="1927"/>
      <c r="G56" s="1927"/>
      <c r="H56" s="1927"/>
    </row>
    <row r="57" spans="1:8">
      <c r="A57" s="1927"/>
      <c r="B57" s="1927"/>
      <c r="C57" s="1927"/>
      <c r="D57" s="1927"/>
      <c r="E57" s="1927"/>
      <c r="F57" s="1927"/>
      <c r="G57" s="1927"/>
      <c r="H57" s="1927"/>
    </row>
    <row r="58" spans="1:8">
      <c r="A58" s="1932" t="s">
        <v>1185</v>
      </c>
      <c r="B58" s="1927"/>
      <c r="C58" s="1927"/>
      <c r="D58" s="1927"/>
      <c r="E58" s="1927"/>
      <c r="F58" s="1927"/>
      <c r="G58" s="1927"/>
      <c r="H58" s="1927"/>
    </row>
    <row r="59" spans="1:8">
      <c r="A59" s="1932" t="s">
        <v>1186</v>
      </c>
      <c r="B59" s="1927"/>
      <c r="C59" s="1927"/>
      <c r="D59" s="1927"/>
      <c r="E59" s="1927"/>
      <c r="F59" s="1927"/>
      <c r="G59" s="1927"/>
      <c r="H59" s="1927"/>
    </row>
    <row r="60" spans="1:8">
      <c r="A60" s="1927"/>
      <c r="B60" s="1927"/>
      <c r="C60" s="1927"/>
      <c r="D60" s="1927"/>
      <c r="E60" s="1927"/>
      <c r="F60" s="1927"/>
      <c r="G60" s="1927"/>
      <c r="H60" s="1927"/>
    </row>
    <row r="61" spans="1:8" ht="15.75">
      <c r="A61" s="1933" t="s">
        <v>932</v>
      </c>
      <c r="B61" s="1927"/>
      <c r="C61" s="1927"/>
      <c r="D61" s="1927"/>
      <c r="E61" s="1927"/>
      <c r="F61" s="1927"/>
      <c r="G61" s="1927"/>
      <c r="H61" s="1927"/>
    </row>
    <row r="62" spans="1:8">
      <c r="A62" s="1927"/>
      <c r="B62" s="1927"/>
      <c r="C62" s="1927"/>
      <c r="D62" s="1927"/>
      <c r="E62" s="1927"/>
      <c r="F62" s="1927"/>
      <c r="G62" s="1927"/>
      <c r="H62" s="1927"/>
    </row>
    <row r="63" spans="1:8">
      <c r="A63" s="1932" t="s">
        <v>1183</v>
      </c>
      <c r="B63" s="1927"/>
      <c r="C63" s="1927"/>
      <c r="D63" s="1927"/>
      <c r="E63" s="1927"/>
      <c r="F63" s="1927"/>
      <c r="G63" s="1927"/>
      <c r="H63" s="1927"/>
    </row>
    <row r="64" spans="1:8">
      <c r="A64" s="1932" t="s">
        <v>1184</v>
      </c>
      <c r="B64" s="1927"/>
      <c r="C64" s="1927"/>
      <c r="D64" s="1927"/>
      <c r="E64" s="1927"/>
      <c r="F64" s="1927"/>
      <c r="G64" s="1927"/>
      <c r="H64" s="1927"/>
    </row>
    <row r="65" spans="1:8">
      <c r="A65" s="1927"/>
      <c r="B65" s="1927"/>
      <c r="C65" s="1927"/>
      <c r="D65" s="1927"/>
      <c r="E65" s="1927"/>
      <c r="F65" s="1927"/>
      <c r="G65" s="1927"/>
      <c r="H65" s="1927"/>
    </row>
    <row r="66" spans="1:8">
      <c r="A66" s="1932" t="s">
        <v>1181</v>
      </c>
      <c r="B66" s="1927"/>
      <c r="C66" s="1927"/>
      <c r="D66" s="1927"/>
      <c r="E66" s="1927"/>
      <c r="F66" s="1927"/>
      <c r="G66" s="1927"/>
      <c r="H66" s="1927"/>
    </row>
    <row r="67" spans="1:8">
      <c r="A67" s="1932" t="s">
        <v>1182</v>
      </c>
      <c r="B67" s="1927"/>
      <c r="C67" s="1927"/>
      <c r="D67" s="1927"/>
      <c r="E67" s="1927"/>
      <c r="F67" s="1927"/>
      <c r="G67" s="1927"/>
      <c r="H67" s="1927"/>
    </row>
    <row r="68" spans="1:8">
      <c r="A68" s="1927"/>
      <c r="B68" s="1927"/>
      <c r="C68" s="1927"/>
      <c r="D68" s="1927"/>
      <c r="E68" s="1927"/>
      <c r="F68" s="1927"/>
      <c r="G68" s="1927"/>
      <c r="H68" s="1927"/>
    </row>
    <row r="69" spans="1:8">
      <c r="A69" s="1932" t="s">
        <v>1179</v>
      </c>
      <c r="B69" s="1927"/>
      <c r="C69" s="1927"/>
      <c r="D69" s="1927"/>
      <c r="E69" s="1927"/>
      <c r="F69" s="1927"/>
      <c r="G69" s="1927"/>
      <c r="H69" s="1927"/>
    </row>
    <row r="70" spans="1:8">
      <c r="A70" s="1932" t="s">
        <v>1180</v>
      </c>
      <c r="B70" s="1927"/>
      <c r="C70" s="1927"/>
      <c r="D70" s="1927"/>
      <c r="E70" s="1927"/>
      <c r="F70" s="1927"/>
      <c r="G70" s="1927"/>
      <c r="H70" s="1927"/>
    </row>
    <row r="71" spans="1:8">
      <c r="A71" s="1927"/>
      <c r="B71" s="1927"/>
      <c r="C71" s="1927"/>
      <c r="D71" s="1927"/>
      <c r="E71" s="1927"/>
      <c r="F71" s="1927"/>
      <c r="G71" s="1927"/>
      <c r="H71" s="1927"/>
    </row>
    <row r="72" spans="1:8">
      <c r="A72" s="1932" t="s">
        <v>1176</v>
      </c>
      <c r="B72" s="1927"/>
      <c r="C72" s="1927"/>
      <c r="D72" s="1927"/>
      <c r="E72" s="1927"/>
      <c r="F72" s="1927"/>
      <c r="G72" s="1927"/>
      <c r="H72" s="1927"/>
    </row>
    <row r="73" spans="1:8">
      <c r="A73" s="1932" t="s">
        <v>1177</v>
      </c>
      <c r="B73" s="1927"/>
      <c r="C73" s="1927"/>
      <c r="D73" s="1927"/>
      <c r="E73" s="1927"/>
      <c r="F73" s="1927"/>
      <c r="G73" s="1927"/>
      <c r="H73" s="1927"/>
    </row>
    <row r="74" spans="1:8">
      <c r="A74" s="1932" t="s">
        <v>1178</v>
      </c>
      <c r="B74" s="1927"/>
      <c r="C74" s="1927"/>
      <c r="D74" s="1927"/>
      <c r="E74" s="1927"/>
      <c r="F74" s="1927"/>
      <c r="G74" s="1927"/>
      <c r="H74" s="1927"/>
    </row>
    <row r="75" spans="1:8">
      <c r="A75" s="1927"/>
      <c r="B75" s="1927"/>
      <c r="C75" s="1927"/>
      <c r="D75" s="1927"/>
      <c r="E75" s="1927"/>
      <c r="F75" s="1927"/>
      <c r="G75" s="1927"/>
      <c r="H75" s="1927"/>
    </row>
    <row r="76" spans="1:8">
      <c r="A76" s="1932" t="s">
        <v>933</v>
      </c>
      <c r="B76" s="1927"/>
      <c r="C76" s="1927"/>
      <c r="D76" s="1927"/>
      <c r="E76" s="1927"/>
      <c r="F76" s="1927"/>
      <c r="G76" s="1927"/>
      <c r="H76" s="1927"/>
    </row>
    <row r="77" spans="1:8">
      <c r="A77" s="1927"/>
      <c r="B77" s="1927"/>
      <c r="C77" s="1927"/>
      <c r="D77" s="1927"/>
      <c r="E77" s="1927"/>
      <c r="F77" s="1927"/>
      <c r="G77" s="1927"/>
      <c r="H77" s="1927"/>
    </row>
    <row r="78" spans="1:8">
      <c r="A78" s="1932" t="s">
        <v>1171</v>
      </c>
      <c r="B78" s="1927"/>
      <c r="C78" s="1927"/>
      <c r="D78" s="1927"/>
      <c r="E78" s="1927"/>
      <c r="F78" s="1927"/>
      <c r="G78" s="1927"/>
      <c r="H78" s="1927"/>
    </row>
    <row r="79" spans="1:8">
      <c r="A79" s="1932" t="s">
        <v>1172</v>
      </c>
      <c r="B79" s="1927"/>
      <c r="C79" s="1927"/>
      <c r="D79" s="1927"/>
      <c r="E79" s="1927"/>
      <c r="F79" s="1927"/>
      <c r="G79" s="1927"/>
      <c r="H79" s="1927"/>
    </row>
    <row r="80" spans="1:8">
      <c r="A80" s="1932" t="s">
        <v>1173</v>
      </c>
      <c r="B80" s="1927"/>
      <c r="C80" s="1927"/>
      <c r="D80" s="1927"/>
      <c r="E80" s="1927"/>
      <c r="F80" s="1927"/>
      <c r="G80" s="1927"/>
      <c r="H80" s="1927"/>
    </row>
    <row r="81" spans="1:8">
      <c r="A81" s="1932" t="s">
        <v>1174</v>
      </c>
      <c r="B81" s="1927"/>
      <c r="C81" s="1927"/>
      <c r="D81" s="1927"/>
      <c r="E81" s="1927"/>
      <c r="F81" s="1927"/>
      <c r="G81" s="1927"/>
      <c r="H81" s="1927"/>
    </row>
    <row r="82" spans="1:8">
      <c r="A82" s="1932" t="s">
        <v>1175</v>
      </c>
      <c r="B82" s="1927"/>
      <c r="C82" s="1927"/>
      <c r="D82" s="1927"/>
      <c r="E82" s="1927"/>
      <c r="F82" s="1927"/>
      <c r="G82" s="1927"/>
      <c r="H82" s="1927"/>
    </row>
    <row r="83" spans="1:8">
      <c r="A83" s="1932" t="s">
        <v>1058</v>
      </c>
      <c r="B83" s="1927"/>
      <c r="C83" s="1927"/>
      <c r="D83" s="1927"/>
      <c r="E83" s="1927"/>
      <c r="F83" s="1927"/>
      <c r="G83" s="1927"/>
      <c r="H83" s="1927"/>
    </row>
    <row r="84" spans="1:8">
      <c r="A84" s="1927"/>
      <c r="B84" s="1927"/>
      <c r="C84" s="1927"/>
      <c r="D84" s="1927"/>
      <c r="E84" s="1927"/>
      <c r="F84" s="1927"/>
      <c r="G84" s="1927"/>
      <c r="H84" s="1927"/>
    </row>
    <row r="85" spans="1:8">
      <c r="A85" s="1932" t="s">
        <v>1164</v>
      </c>
      <c r="B85" s="1927"/>
      <c r="C85" s="1927"/>
      <c r="D85" s="1927"/>
      <c r="E85" s="1927"/>
      <c r="F85" s="1927"/>
      <c r="G85" s="1927"/>
      <c r="H85" s="1927"/>
    </row>
    <row r="86" spans="1:8">
      <c r="A86" s="1932" t="s">
        <v>1165</v>
      </c>
      <c r="B86" s="1927"/>
      <c r="C86" s="1927"/>
      <c r="D86" s="1927"/>
      <c r="E86" s="1927"/>
      <c r="F86" s="1927"/>
      <c r="G86" s="1927"/>
      <c r="H86" s="1927"/>
    </row>
    <row r="87" spans="1:8">
      <c r="A87" s="1932" t="s">
        <v>1166</v>
      </c>
      <c r="B87" s="1927"/>
      <c r="C87" s="1927"/>
      <c r="D87" s="1927"/>
      <c r="E87" s="1927"/>
      <c r="F87" s="1927"/>
      <c r="G87" s="1927"/>
      <c r="H87" s="1927"/>
    </row>
    <row r="88" spans="1:8">
      <c r="A88" s="1932" t="s">
        <v>1167</v>
      </c>
      <c r="B88" s="1927"/>
      <c r="C88" s="1927"/>
      <c r="D88" s="1927"/>
      <c r="E88" s="1927"/>
      <c r="F88" s="1927"/>
      <c r="G88" s="1927"/>
      <c r="H88" s="1927"/>
    </row>
    <row r="89" spans="1:8">
      <c r="A89" s="1932" t="s">
        <v>1168</v>
      </c>
      <c r="B89" s="1927"/>
      <c r="C89" s="1927"/>
      <c r="D89" s="1927"/>
      <c r="E89" s="1927"/>
      <c r="F89" s="1927"/>
      <c r="G89" s="1927"/>
      <c r="H89" s="1927"/>
    </row>
    <row r="90" spans="1:8">
      <c r="A90" s="1932" t="s">
        <v>1169</v>
      </c>
      <c r="B90" s="1927"/>
      <c r="C90" s="1927"/>
      <c r="D90" s="1927"/>
      <c r="E90" s="1927"/>
      <c r="F90" s="1927"/>
      <c r="G90" s="1927"/>
      <c r="H90" s="1927"/>
    </row>
    <row r="91" spans="1:8">
      <c r="A91" s="1932" t="s">
        <v>1170</v>
      </c>
      <c r="B91" s="1927"/>
      <c r="C91" s="1927"/>
      <c r="D91" s="1927"/>
      <c r="E91" s="1927"/>
      <c r="F91" s="1927"/>
      <c r="G91" s="1927"/>
      <c r="H91" s="1927"/>
    </row>
    <row r="92" spans="1:8">
      <c r="A92" s="1927"/>
      <c r="B92" s="1927"/>
      <c r="C92" s="1927"/>
      <c r="D92" s="1927"/>
      <c r="E92" s="1927"/>
      <c r="F92" s="1927"/>
      <c r="G92" s="1927"/>
      <c r="H92" s="1927"/>
    </row>
    <row r="93" spans="1:8">
      <c r="A93" s="1932" t="s">
        <v>1162</v>
      </c>
      <c r="B93" s="1927"/>
      <c r="C93" s="1927"/>
      <c r="D93" s="1927"/>
      <c r="E93" s="1927"/>
      <c r="F93" s="1927"/>
      <c r="G93" s="1927"/>
      <c r="H93" s="1927"/>
    </row>
    <row r="94" spans="1:8">
      <c r="A94" s="1932" t="s">
        <v>1163</v>
      </c>
      <c r="B94" s="1927"/>
      <c r="C94" s="1927"/>
      <c r="D94" s="1927"/>
      <c r="E94" s="1927"/>
      <c r="F94" s="1927"/>
      <c r="G94" s="1927"/>
      <c r="H94" s="1927"/>
    </row>
    <row r="95" spans="1:8">
      <c r="A95" s="1927"/>
      <c r="B95" s="1927"/>
      <c r="C95" s="1927"/>
      <c r="D95" s="1927"/>
      <c r="E95" s="1927"/>
      <c r="F95" s="1927"/>
      <c r="G95" s="1927"/>
      <c r="H95" s="1927"/>
    </row>
    <row r="96" spans="1:8" ht="15.75">
      <c r="A96" s="1933" t="s">
        <v>934</v>
      </c>
      <c r="B96" s="1927"/>
      <c r="C96" s="1927"/>
      <c r="D96" s="1927"/>
      <c r="E96" s="1927"/>
      <c r="F96" s="1927"/>
      <c r="G96" s="1927"/>
      <c r="H96" s="1927"/>
    </row>
    <row r="97" spans="1:8">
      <c r="A97" s="1927"/>
      <c r="B97" s="1927"/>
      <c r="C97" s="1927"/>
      <c r="D97" s="1927"/>
      <c r="E97" s="1927"/>
      <c r="F97" s="1927"/>
      <c r="G97" s="1927"/>
      <c r="H97" s="1927"/>
    </row>
    <row r="98" spans="1:8">
      <c r="A98" s="1932" t="s">
        <v>1153</v>
      </c>
      <c r="B98" s="1927"/>
      <c r="C98" s="1927"/>
      <c r="D98" s="1927"/>
      <c r="E98" s="1927"/>
      <c r="F98" s="1927"/>
      <c r="G98" s="1927"/>
      <c r="H98" s="1927"/>
    </row>
    <row r="99" spans="1:8">
      <c r="A99" s="1932" t="s">
        <v>1154</v>
      </c>
      <c r="B99" s="1927"/>
      <c r="C99" s="1927"/>
      <c r="D99" s="1927"/>
      <c r="E99" s="1927"/>
      <c r="F99" s="1927"/>
      <c r="G99" s="1927"/>
      <c r="H99" s="1927"/>
    </row>
    <row r="100" spans="1:8">
      <c r="A100" s="1932" t="s">
        <v>1155</v>
      </c>
      <c r="B100" s="1927"/>
      <c r="C100" s="1927"/>
      <c r="D100" s="1927"/>
      <c r="E100" s="1927"/>
      <c r="F100" s="1927"/>
      <c r="G100" s="1927"/>
      <c r="H100" s="1927"/>
    </row>
    <row r="101" spans="1:8">
      <c r="A101" s="1932" t="s">
        <v>1156</v>
      </c>
      <c r="B101" s="1927"/>
      <c r="C101" s="1927"/>
      <c r="D101" s="1927"/>
      <c r="E101" s="1927"/>
      <c r="F101" s="1927"/>
      <c r="G101" s="1927"/>
      <c r="H101" s="1927"/>
    </row>
    <row r="102" spans="1:8">
      <c r="A102" s="1932" t="s">
        <v>1157</v>
      </c>
      <c r="B102" s="1927"/>
      <c r="C102" s="1927"/>
      <c r="D102" s="1927"/>
      <c r="E102" s="1927"/>
      <c r="F102" s="1927"/>
      <c r="G102" s="1927"/>
      <c r="H102" s="1927"/>
    </row>
    <row r="103" spans="1:8">
      <c r="A103" s="1932" t="s">
        <v>1158</v>
      </c>
      <c r="B103" s="1927"/>
      <c r="C103" s="1927"/>
      <c r="D103" s="1927"/>
      <c r="E103" s="1927"/>
      <c r="F103" s="1927"/>
      <c r="G103" s="1927"/>
      <c r="H103" s="1927"/>
    </row>
    <row r="104" spans="1:8">
      <c r="A104" s="1932" t="s">
        <v>1159</v>
      </c>
      <c r="B104" s="1927"/>
      <c r="C104" s="1927"/>
      <c r="D104" s="1927"/>
      <c r="E104" s="1927"/>
      <c r="F104" s="1927"/>
      <c r="G104" s="1927"/>
      <c r="H104" s="1927"/>
    </row>
    <row r="105" spans="1:8">
      <c r="A105" s="1932" t="s">
        <v>1160</v>
      </c>
      <c r="B105" s="1927"/>
      <c r="C105" s="1927"/>
      <c r="D105" s="1927"/>
      <c r="E105" s="1927"/>
      <c r="F105" s="1927"/>
      <c r="G105" s="1927"/>
      <c r="H105" s="1927"/>
    </row>
    <row r="106" spans="1:8">
      <c r="A106" s="1932" t="s">
        <v>1161</v>
      </c>
      <c r="B106" s="1927"/>
      <c r="C106" s="1927"/>
      <c r="D106" s="1927"/>
      <c r="E106" s="1927"/>
      <c r="F106" s="1927"/>
      <c r="G106" s="1927"/>
      <c r="H106" s="1927"/>
    </row>
    <row r="107" spans="1:8">
      <c r="A107" s="1927"/>
      <c r="B107" s="1927"/>
      <c r="C107" s="1927"/>
      <c r="D107" s="1927"/>
      <c r="E107" s="1927"/>
      <c r="F107" s="1927"/>
      <c r="G107" s="1927"/>
      <c r="H107" s="1927"/>
    </row>
    <row r="108" spans="1:8" ht="15.75">
      <c r="A108" s="1948" t="s">
        <v>935</v>
      </c>
      <c r="B108" s="1948"/>
      <c r="C108" s="1948"/>
      <c r="D108" s="1948"/>
      <c r="E108" s="1948"/>
      <c r="F108" s="1948"/>
      <c r="G108" s="1948"/>
      <c r="H108" s="1948"/>
    </row>
    <row r="109" spans="1:8">
      <c r="A109" s="1944" t="s">
        <v>936</v>
      </c>
      <c r="B109" s="1944"/>
      <c r="C109" s="1944"/>
      <c r="D109" s="1944"/>
      <c r="E109" s="1944"/>
      <c r="F109" s="1944"/>
      <c r="G109" s="1944"/>
      <c r="H109" s="1944"/>
    </row>
    <row r="110" spans="1:8">
      <c r="A110" s="1949"/>
      <c r="B110" s="1949"/>
      <c r="C110" s="1949"/>
      <c r="D110" s="1949"/>
      <c r="E110" s="1949"/>
      <c r="F110" s="1949"/>
      <c r="G110" s="1949"/>
      <c r="H110" s="1949"/>
    </row>
    <row r="111" spans="1:8">
      <c r="A111" s="1944" t="s">
        <v>1151</v>
      </c>
      <c r="B111" s="1944"/>
      <c r="C111" s="1944"/>
      <c r="D111" s="1944"/>
      <c r="E111" s="1944"/>
      <c r="F111" s="1944"/>
      <c r="G111" s="1944"/>
      <c r="H111" s="1944"/>
    </row>
    <row r="112" spans="1:8">
      <c r="A112" s="1932" t="s">
        <v>1152</v>
      </c>
      <c r="B112" s="1932"/>
      <c r="C112" s="1932"/>
      <c r="D112" s="1932"/>
      <c r="E112" s="1932"/>
      <c r="F112" s="1932"/>
      <c r="G112" s="1932"/>
      <c r="H112" s="1932"/>
    </row>
    <row r="113" spans="1:8">
      <c r="A113" s="1949"/>
      <c r="B113" s="1949"/>
      <c r="C113" s="1949"/>
      <c r="D113" s="1949"/>
      <c r="E113" s="1949"/>
      <c r="F113" s="1949"/>
      <c r="G113" s="1949"/>
      <c r="H113" s="1949"/>
    </row>
    <row r="114" spans="1:8">
      <c r="A114" s="1944" t="s">
        <v>1144</v>
      </c>
      <c r="B114" s="1944"/>
      <c r="C114" s="1944"/>
      <c r="D114" s="1944"/>
      <c r="E114" s="1944"/>
      <c r="F114" s="1944"/>
      <c r="G114" s="1944"/>
      <c r="H114" s="1944"/>
    </row>
    <row r="115" spans="1:8">
      <c r="A115" s="1932" t="s">
        <v>1145</v>
      </c>
      <c r="B115" s="1932"/>
      <c r="C115" s="1932"/>
      <c r="D115" s="1932"/>
      <c r="E115" s="1932"/>
      <c r="F115" s="1932"/>
      <c r="G115" s="1932"/>
      <c r="H115" s="1932"/>
    </row>
    <row r="116" spans="1:8">
      <c r="A116" s="1932" t="s">
        <v>1146</v>
      </c>
      <c r="B116" s="1932"/>
      <c r="C116" s="1932"/>
      <c r="D116" s="1932"/>
      <c r="E116" s="1932"/>
      <c r="F116" s="1932"/>
      <c r="G116" s="1932"/>
      <c r="H116" s="1932"/>
    </row>
    <row r="117" spans="1:8">
      <c r="A117" s="1932" t="s">
        <v>1147</v>
      </c>
      <c r="B117" s="1932"/>
      <c r="C117" s="1932"/>
      <c r="D117" s="1932"/>
      <c r="E117" s="1932"/>
      <c r="F117" s="1932"/>
      <c r="G117" s="1932"/>
      <c r="H117" s="1932"/>
    </row>
    <row r="118" spans="1:8">
      <c r="A118" s="1932" t="s">
        <v>1148</v>
      </c>
      <c r="B118" s="1932"/>
      <c r="C118" s="1932"/>
      <c r="D118" s="1932"/>
      <c r="E118" s="1932"/>
      <c r="F118" s="1932"/>
      <c r="G118" s="1932"/>
      <c r="H118" s="1932"/>
    </row>
    <row r="119" spans="1:8">
      <c r="A119" s="1932" t="s">
        <v>1149</v>
      </c>
      <c r="B119" s="1932"/>
      <c r="C119" s="1932"/>
      <c r="D119" s="1932"/>
      <c r="E119" s="1932"/>
      <c r="F119" s="1932"/>
      <c r="G119" s="1932"/>
      <c r="H119" s="1932"/>
    </row>
    <row r="120" spans="1:8">
      <c r="A120" s="1932" t="s">
        <v>1150</v>
      </c>
      <c r="B120" s="1932"/>
      <c r="C120" s="1932"/>
      <c r="D120" s="1932"/>
      <c r="E120" s="1932"/>
      <c r="F120" s="1932"/>
      <c r="G120" s="1932"/>
      <c r="H120" s="1932"/>
    </row>
    <row r="121" spans="1:8">
      <c r="A121" s="1950"/>
      <c r="B121" s="1950"/>
      <c r="C121" s="1950"/>
      <c r="D121" s="1950"/>
      <c r="E121" s="1950"/>
      <c r="F121" s="1950"/>
      <c r="G121" s="1950"/>
      <c r="H121" s="1950"/>
    </row>
    <row r="122" spans="1:8">
      <c r="A122" s="1934"/>
      <c r="B122" s="1945" t="s">
        <v>937</v>
      </c>
      <c r="C122" s="1946"/>
      <c r="D122" s="1945" t="s">
        <v>938</v>
      </c>
      <c r="E122" s="1947"/>
      <c r="F122" s="1946"/>
      <c r="G122" s="1945" t="s">
        <v>939</v>
      </c>
      <c r="H122" s="1946"/>
    </row>
    <row r="123" spans="1:8">
      <c r="A123" s="1934" t="s">
        <v>940</v>
      </c>
      <c r="B123" s="1934" t="s">
        <v>780</v>
      </c>
      <c r="C123" s="1934" t="s">
        <v>708</v>
      </c>
      <c r="D123" s="1934" t="s">
        <v>780</v>
      </c>
      <c r="E123" s="1934" t="s">
        <v>941</v>
      </c>
      <c r="F123" s="1934" t="s">
        <v>942</v>
      </c>
      <c r="G123" s="1934" t="s">
        <v>780</v>
      </c>
      <c r="H123" s="1934" t="s">
        <v>943</v>
      </c>
    </row>
    <row r="124" spans="1:8">
      <c r="A124" s="1934" t="s">
        <v>944</v>
      </c>
      <c r="B124" s="1934">
        <v>1175</v>
      </c>
      <c r="C124" s="1935">
        <v>0.37</v>
      </c>
      <c r="D124" s="1934">
        <v>315</v>
      </c>
      <c r="E124" s="1935">
        <v>0.41</v>
      </c>
      <c r="F124" s="1935">
        <v>0.27</v>
      </c>
      <c r="G124" s="1934">
        <v>555</v>
      </c>
      <c r="H124" s="1935">
        <v>0.39</v>
      </c>
    </row>
    <row r="125" spans="1:8">
      <c r="A125" s="1934" t="s">
        <v>945</v>
      </c>
      <c r="B125" s="1934">
        <v>1369</v>
      </c>
      <c r="C125" s="1935">
        <v>0.43</v>
      </c>
      <c r="D125" s="1934">
        <v>357</v>
      </c>
      <c r="E125" s="1935">
        <v>0.47</v>
      </c>
      <c r="F125" s="1935">
        <v>0.26</v>
      </c>
      <c r="G125" s="1934">
        <v>643</v>
      </c>
      <c r="H125" s="1935">
        <v>0.45</v>
      </c>
    </row>
    <row r="126" spans="1:8">
      <c r="A126" s="1934" t="s">
        <v>946</v>
      </c>
      <c r="B126" s="1934">
        <v>53</v>
      </c>
      <c r="C126" s="1935">
        <v>0.02</v>
      </c>
      <c r="D126" s="1934">
        <v>5</v>
      </c>
      <c r="E126" s="1935">
        <v>0.01</v>
      </c>
      <c r="F126" s="1935">
        <v>0.09</v>
      </c>
      <c r="G126" s="1934">
        <v>7</v>
      </c>
      <c r="H126" s="1935">
        <v>0</v>
      </c>
    </row>
    <row r="127" spans="1:8">
      <c r="A127" s="1934" t="s">
        <v>947</v>
      </c>
      <c r="B127" s="1934">
        <v>552</v>
      </c>
      <c r="C127" s="1935">
        <v>0.18</v>
      </c>
      <c r="D127" s="1934">
        <v>87</v>
      </c>
      <c r="E127" s="1935">
        <v>0.11</v>
      </c>
      <c r="F127" s="1935">
        <v>0.16</v>
      </c>
      <c r="G127" s="1934">
        <v>222</v>
      </c>
      <c r="H127" s="1935">
        <v>0.16</v>
      </c>
    </row>
    <row r="128" spans="1:8">
      <c r="A128" s="1934" t="s">
        <v>526</v>
      </c>
      <c r="B128" s="1936">
        <v>3149</v>
      </c>
      <c r="C128" s="1934"/>
      <c r="D128" s="1934">
        <v>764</v>
      </c>
      <c r="E128" s="1934"/>
      <c r="F128" s="1934"/>
      <c r="G128" s="1934">
        <v>1427</v>
      </c>
      <c r="H128" s="1934"/>
    </row>
    <row r="129" spans="1:8">
      <c r="A129" s="1943"/>
      <c r="B129" s="1943"/>
      <c r="C129" s="1943"/>
      <c r="D129" s="1943"/>
      <c r="E129" s="1943"/>
      <c r="F129" s="1943"/>
      <c r="G129" s="1943"/>
      <c r="H129" s="1943"/>
    </row>
    <row r="130" spans="1:8">
      <c r="A130" s="1944" t="s">
        <v>1140</v>
      </c>
      <c r="B130" s="1944"/>
      <c r="C130" s="1944"/>
      <c r="D130" s="1944"/>
      <c r="E130" s="1944"/>
      <c r="F130" s="1944"/>
      <c r="G130" s="1944"/>
      <c r="H130" s="1944"/>
    </row>
    <row r="131" spans="1:8">
      <c r="A131" s="1932" t="s">
        <v>1141</v>
      </c>
      <c r="B131" s="1932"/>
      <c r="C131" s="1932"/>
      <c r="D131" s="1932"/>
      <c r="E131" s="1932"/>
      <c r="F131" s="1932"/>
      <c r="G131" s="1932"/>
      <c r="H131" s="1932"/>
    </row>
    <row r="132" spans="1:8">
      <c r="A132" s="1932" t="s">
        <v>1142</v>
      </c>
      <c r="B132" s="1932"/>
      <c r="C132" s="1932"/>
      <c r="D132" s="1932"/>
      <c r="E132" s="1932"/>
      <c r="F132" s="1932"/>
      <c r="G132" s="1932"/>
      <c r="H132" s="1932"/>
    </row>
    <row r="133" spans="1:8">
      <c r="A133" s="1932" t="s">
        <v>1143</v>
      </c>
      <c r="B133" s="1932"/>
      <c r="C133" s="1932"/>
      <c r="D133" s="1932"/>
      <c r="E133" s="1932"/>
      <c r="F133" s="1932"/>
      <c r="G133" s="1932"/>
      <c r="H133" s="1932"/>
    </row>
    <row r="134" spans="1:8">
      <c r="A134" s="1927"/>
      <c r="B134" s="1927"/>
      <c r="C134" s="1927"/>
      <c r="D134" s="1927"/>
      <c r="E134" s="1927"/>
      <c r="F134" s="1927"/>
      <c r="G134" s="1927"/>
      <c r="H134" s="1927"/>
    </row>
    <row r="135" spans="1:8" ht="15.75">
      <c r="A135" s="1933" t="s">
        <v>948</v>
      </c>
      <c r="B135" s="1927"/>
      <c r="C135" s="1927"/>
      <c r="D135" s="1927"/>
      <c r="E135" s="1927"/>
      <c r="F135" s="1927"/>
      <c r="G135" s="1927"/>
      <c r="H135" s="1927"/>
    </row>
    <row r="136" spans="1:8">
      <c r="A136" s="1927"/>
      <c r="B136" s="1927"/>
      <c r="C136" s="1927"/>
      <c r="D136" s="1927"/>
      <c r="E136" s="1927"/>
      <c r="F136" s="1927"/>
      <c r="G136" s="1927"/>
      <c r="H136" s="1927"/>
    </row>
    <row r="137" spans="1:8">
      <c r="A137" s="1932" t="s">
        <v>1138</v>
      </c>
      <c r="B137" s="1927"/>
      <c r="C137" s="1927"/>
      <c r="D137" s="1927"/>
      <c r="E137" s="1927"/>
      <c r="F137" s="1927"/>
      <c r="G137" s="1927"/>
      <c r="H137" s="1927"/>
    </row>
    <row r="138" spans="1:8">
      <c r="A138" s="1932" t="s">
        <v>1139</v>
      </c>
      <c r="B138" s="1927"/>
      <c r="C138" s="1927"/>
      <c r="D138" s="1927"/>
      <c r="E138" s="1927"/>
      <c r="F138" s="1927"/>
      <c r="G138" s="1927"/>
      <c r="H138" s="1927"/>
    </row>
    <row r="139" spans="1:8">
      <c r="A139" s="1927"/>
      <c r="B139" s="1927"/>
      <c r="C139" s="1927"/>
      <c r="D139" s="1927"/>
      <c r="E139" s="1927"/>
      <c r="F139" s="1927"/>
      <c r="G139" s="1927"/>
      <c r="H139" s="1927"/>
    </row>
    <row r="140" spans="1:8">
      <c r="A140" s="1932" t="s">
        <v>1135</v>
      </c>
      <c r="B140" s="1927"/>
      <c r="C140" s="1927"/>
      <c r="D140" s="1927"/>
      <c r="E140" s="1927"/>
      <c r="F140" s="1927"/>
      <c r="G140" s="1927"/>
      <c r="H140" s="1927"/>
    </row>
    <row r="141" spans="1:8">
      <c r="A141" s="1932" t="s">
        <v>1136</v>
      </c>
      <c r="B141" s="1927"/>
      <c r="C141" s="1927"/>
      <c r="D141" s="1927"/>
      <c r="E141" s="1927"/>
      <c r="F141" s="1927"/>
      <c r="G141" s="1927"/>
      <c r="H141" s="1927"/>
    </row>
    <row r="142" spans="1:8">
      <c r="A142" s="1932" t="s">
        <v>1137</v>
      </c>
      <c r="B142" s="1927"/>
      <c r="C142" s="1927"/>
      <c r="D142" s="1927"/>
      <c r="E142" s="1927"/>
      <c r="F142" s="1927"/>
      <c r="G142" s="1927"/>
      <c r="H142" s="1927"/>
    </row>
    <row r="143" spans="1:8">
      <c r="A143" s="1927"/>
      <c r="B143" s="1927"/>
      <c r="C143" s="1927"/>
      <c r="D143" s="1927"/>
      <c r="E143" s="1927"/>
      <c r="F143" s="1927"/>
      <c r="G143" s="1927"/>
      <c r="H143" s="1927"/>
    </row>
    <row r="144" spans="1:8">
      <c r="A144" s="1932" t="s">
        <v>1132</v>
      </c>
      <c r="B144" s="1927"/>
      <c r="C144" s="1927"/>
      <c r="D144" s="1927"/>
      <c r="E144" s="1927"/>
      <c r="F144" s="1927"/>
      <c r="G144" s="1927"/>
      <c r="H144" s="1927"/>
    </row>
    <row r="145" spans="1:8">
      <c r="A145" s="1932" t="s">
        <v>1133</v>
      </c>
      <c r="B145" s="1927"/>
      <c r="C145" s="1927"/>
      <c r="D145" s="1927"/>
      <c r="E145" s="1927"/>
      <c r="F145" s="1927"/>
      <c r="G145" s="1927"/>
      <c r="H145" s="1927"/>
    </row>
    <row r="146" spans="1:8">
      <c r="A146" s="1932" t="s">
        <v>1134</v>
      </c>
      <c r="B146" s="1927"/>
      <c r="C146" s="1927"/>
      <c r="D146" s="1927"/>
      <c r="E146" s="1927"/>
      <c r="F146" s="1927"/>
      <c r="G146" s="1927"/>
      <c r="H146" s="1927"/>
    </row>
    <row r="147" spans="1:8">
      <c r="A147" s="1927"/>
      <c r="B147" s="1927"/>
      <c r="C147" s="1927"/>
      <c r="D147" s="1927"/>
      <c r="E147" s="1927"/>
      <c r="F147" s="1927"/>
      <c r="G147" s="1927"/>
      <c r="H147" s="1927"/>
    </row>
    <row r="148" spans="1:8">
      <c r="A148" s="1932" t="s">
        <v>1129</v>
      </c>
      <c r="B148" s="1927"/>
      <c r="C148" s="1927"/>
      <c r="D148" s="1927"/>
      <c r="E148" s="1927"/>
      <c r="F148" s="1927"/>
      <c r="G148" s="1927"/>
      <c r="H148" s="1927"/>
    </row>
    <row r="149" spans="1:8">
      <c r="A149" s="1932" t="s">
        <v>1130</v>
      </c>
      <c r="B149" s="1927"/>
      <c r="C149" s="1927"/>
      <c r="D149" s="1927"/>
      <c r="E149" s="1927"/>
      <c r="F149" s="1927"/>
      <c r="G149" s="1927"/>
      <c r="H149" s="1927"/>
    </row>
    <row r="150" spans="1:8">
      <c r="A150" s="1932" t="s">
        <v>1131</v>
      </c>
      <c r="B150" s="1927"/>
      <c r="C150" s="1927"/>
      <c r="D150" s="1927"/>
      <c r="E150" s="1927"/>
      <c r="F150" s="1927"/>
      <c r="G150" s="1927"/>
      <c r="H150" s="1927"/>
    </row>
    <row r="151" spans="1:8">
      <c r="A151" s="1927"/>
      <c r="B151" s="1927"/>
      <c r="C151" s="1927"/>
      <c r="D151" s="1927"/>
      <c r="E151" s="1927"/>
      <c r="F151" s="1927"/>
      <c r="G151" s="1927"/>
      <c r="H151" s="1927"/>
    </row>
    <row r="152" spans="1:8">
      <c r="A152" s="1932" t="s">
        <v>1127</v>
      </c>
      <c r="B152" s="1927"/>
      <c r="C152" s="1927"/>
      <c r="D152" s="1927"/>
      <c r="E152" s="1927"/>
      <c r="F152" s="1927"/>
      <c r="G152" s="1927"/>
      <c r="H152" s="1927"/>
    </row>
    <row r="153" spans="1:8">
      <c r="A153" s="1932" t="s">
        <v>1128</v>
      </c>
      <c r="B153" s="1927"/>
      <c r="C153" s="1927"/>
      <c r="D153" s="1927"/>
      <c r="E153" s="1927"/>
      <c r="F153" s="1927"/>
      <c r="G153" s="1927"/>
      <c r="H153" s="1927"/>
    </row>
    <row r="154" spans="1:8">
      <c r="A154" s="1927"/>
      <c r="B154" s="1927"/>
      <c r="C154" s="1927"/>
      <c r="D154" s="1927"/>
      <c r="E154" s="1927"/>
      <c r="F154" s="1927"/>
      <c r="G154" s="1927"/>
      <c r="H154" s="1927"/>
    </row>
    <row r="155" spans="1:8" ht="15.75">
      <c r="A155" s="1933" t="s">
        <v>949</v>
      </c>
      <c r="B155" s="1927"/>
      <c r="C155" s="1927"/>
      <c r="D155" s="1927"/>
      <c r="E155" s="1927"/>
      <c r="F155" s="1927"/>
      <c r="G155" s="1927"/>
      <c r="H155" s="1927"/>
    </row>
    <row r="156" spans="1:8">
      <c r="A156" s="1927"/>
      <c r="B156" s="1927"/>
      <c r="C156" s="1927"/>
      <c r="D156" s="1927"/>
      <c r="E156" s="1927"/>
      <c r="F156" s="1927"/>
      <c r="G156" s="1927"/>
      <c r="H156" s="1927"/>
    </row>
    <row r="157" spans="1:8">
      <c r="A157" s="1932" t="s">
        <v>1125</v>
      </c>
      <c r="B157" s="1927"/>
      <c r="C157" s="1927"/>
      <c r="D157" s="1927"/>
      <c r="E157" s="1927"/>
      <c r="F157" s="1927"/>
      <c r="G157" s="1927"/>
      <c r="H157" s="1927"/>
    </row>
    <row r="158" spans="1:8">
      <c r="A158" s="1932" t="s">
        <v>1126</v>
      </c>
      <c r="B158" s="1927"/>
      <c r="C158" s="1927"/>
      <c r="D158" s="1927"/>
      <c r="E158" s="1927"/>
      <c r="F158" s="1927"/>
      <c r="G158" s="1927"/>
      <c r="H158" s="1927"/>
    </row>
    <row r="159" spans="1:8">
      <c r="A159" s="1927"/>
      <c r="B159" s="1927"/>
      <c r="C159" s="1927"/>
      <c r="D159" s="1927"/>
      <c r="E159" s="1927"/>
      <c r="F159" s="1927"/>
      <c r="G159" s="1927"/>
      <c r="H159" s="1927"/>
    </row>
    <row r="160" spans="1:8">
      <c r="A160" s="1932" t="s">
        <v>1123</v>
      </c>
      <c r="B160" s="1927"/>
      <c r="C160" s="1927"/>
      <c r="D160" s="1927"/>
      <c r="E160" s="1927"/>
      <c r="F160" s="1927"/>
      <c r="G160" s="1927"/>
      <c r="H160" s="1927"/>
    </row>
    <row r="161" spans="1:8">
      <c r="A161" s="1932" t="s">
        <v>1124</v>
      </c>
      <c r="B161" s="1927"/>
      <c r="C161" s="1927"/>
      <c r="D161" s="1927"/>
      <c r="E161" s="1927"/>
      <c r="F161" s="1927"/>
      <c r="G161" s="1927"/>
      <c r="H161" s="1927"/>
    </row>
    <row r="162" spans="1:8">
      <c r="A162" s="1927"/>
      <c r="B162" s="1927"/>
      <c r="C162" s="1927"/>
      <c r="D162" s="1927"/>
      <c r="E162" s="1927"/>
      <c r="F162" s="1927"/>
      <c r="G162" s="1927"/>
      <c r="H162" s="1927"/>
    </row>
    <row r="163" spans="1:8">
      <c r="A163" s="1932" t="s">
        <v>1121</v>
      </c>
      <c r="B163" s="1927"/>
      <c r="C163" s="1927"/>
      <c r="D163" s="1927"/>
      <c r="E163" s="1927"/>
      <c r="F163" s="1927"/>
      <c r="G163" s="1927"/>
      <c r="H163" s="1927"/>
    </row>
    <row r="164" spans="1:8">
      <c r="A164" s="1932" t="s">
        <v>1122</v>
      </c>
      <c r="B164" s="1927"/>
      <c r="C164" s="1927"/>
      <c r="D164" s="1927"/>
      <c r="E164" s="1927"/>
      <c r="F164" s="1927"/>
      <c r="G164" s="1927"/>
      <c r="H164" s="1927"/>
    </row>
    <row r="165" spans="1:8">
      <c r="A165" s="1927"/>
      <c r="B165" s="1927"/>
      <c r="C165" s="1927"/>
      <c r="D165" s="1927"/>
      <c r="E165" s="1927"/>
      <c r="F165" s="1927"/>
      <c r="G165" s="1927"/>
      <c r="H165" s="1927"/>
    </row>
    <row r="166" spans="1:8">
      <c r="A166" s="1932" t="s">
        <v>1118</v>
      </c>
      <c r="B166" s="1927"/>
      <c r="C166" s="1927"/>
      <c r="D166" s="1927"/>
      <c r="E166" s="1927"/>
      <c r="F166" s="1927"/>
      <c r="G166" s="1927"/>
      <c r="H166" s="1927"/>
    </row>
    <row r="167" spans="1:8">
      <c r="A167" s="1932" t="s">
        <v>1119</v>
      </c>
      <c r="B167" s="1927"/>
      <c r="C167" s="1927"/>
      <c r="D167" s="1927"/>
      <c r="E167" s="1927"/>
      <c r="F167" s="1927"/>
      <c r="G167" s="1927"/>
      <c r="H167" s="1927"/>
    </row>
    <row r="168" spans="1:8">
      <c r="A168" s="1932" t="s">
        <v>1120</v>
      </c>
      <c r="B168" s="1927"/>
      <c r="C168" s="1927"/>
      <c r="D168" s="1927"/>
      <c r="E168" s="1927"/>
      <c r="F168" s="1927"/>
      <c r="G168" s="1927"/>
      <c r="H168" s="1927"/>
    </row>
    <row r="169" spans="1:8">
      <c r="A169" s="1927"/>
      <c r="B169" s="1927"/>
      <c r="C169" s="1927"/>
      <c r="D169" s="1927"/>
      <c r="E169" s="1927"/>
      <c r="F169" s="1927"/>
      <c r="G169" s="1927"/>
      <c r="H169" s="1927"/>
    </row>
    <row r="170" spans="1:8">
      <c r="A170" s="1927"/>
      <c r="B170" s="1927"/>
      <c r="C170" s="1927"/>
      <c r="D170" s="1927"/>
      <c r="E170" s="1927"/>
      <c r="F170" s="1927"/>
      <c r="G170" s="1927"/>
      <c r="H170" s="1927"/>
    </row>
    <row r="171" spans="1:8">
      <c r="A171" s="1932" t="s">
        <v>950</v>
      </c>
      <c r="B171" s="1927"/>
      <c r="C171" s="1927"/>
      <c r="D171" s="1927"/>
      <c r="E171" s="1927"/>
      <c r="F171" s="1927"/>
      <c r="G171" s="1927"/>
      <c r="H171" s="1927"/>
    </row>
    <row r="172" spans="1:8">
      <c r="A172" s="1927"/>
      <c r="B172" s="1927"/>
      <c r="C172" s="1927"/>
      <c r="D172" s="1927"/>
      <c r="E172" s="1927"/>
      <c r="F172" s="1927"/>
      <c r="G172" s="1927"/>
      <c r="H172" s="1927"/>
    </row>
    <row r="173" spans="1:8" ht="15.75">
      <c r="A173" s="1933" t="s">
        <v>951</v>
      </c>
      <c r="B173" s="1927"/>
      <c r="C173" s="1927"/>
      <c r="D173" s="1927"/>
      <c r="E173" s="1927"/>
      <c r="F173" s="1927"/>
      <c r="G173" s="1927"/>
      <c r="H173" s="1927"/>
    </row>
    <row r="174" spans="1:8">
      <c r="A174" s="1927"/>
      <c r="B174" s="1927"/>
      <c r="C174" s="1927"/>
      <c r="D174" s="1927"/>
      <c r="E174" s="1927"/>
      <c r="F174" s="1927"/>
      <c r="G174" s="1927"/>
      <c r="H174" s="1927"/>
    </row>
    <row r="175" spans="1:8">
      <c r="A175" s="1927"/>
      <c r="B175" s="1927"/>
      <c r="C175" s="1927"/>
      <c r="D175" s="1927"/>
      <c r="E175" s="1927"/>
      <c r="F175" s="1927"/>
      <c r="G175" s="1927"/>
      <c r="H175" s="1927"/>
    </row>
    <row r="176" spans="1:8">
      <c r="A176" s="1927"/>
      <c r="B176" s="1927"/>
      <c r="C176" s="1927"/>
      <c r="D176" s="1927"/>
      <c r="E176" s="1927"/>
      <c r="F176" s="1927"/>
      <c r="G176" s="1927"/>
      <c r="H176" s="1927"/>
    </row>
    <row r="177" spans="1:8">
      <c r="A177" s="1927"/>
      <c r="B177" s="1927"/>
      <c r="C177" s="1927"/>
      <c r="D177" s="1927"/>
      <c r="E177" s="1927"/>
      <c r="F177" s="1927"/>
      <c r="G177" s="1927"/>
      <c r="H177" s="1927"/>
    </row>
    <row r="178" spans="1:8">
      <c r="A178" s="1927"/>
      <c r="B178" s="1927"/>
      <c r="C178" s="1927"/>
      <c r="D178" s="1927"/>
      <c r="E178" s="1927"/>
      <c r="F178" s="1927"/>
      <c r="G178" s="1927"/>
      <c r="H178" s="1927"/>
    </row>
    <row r="179" spans="1:8">
      <c r="A179" s="1927"/>
      <c r="B179" s="1927"/>
      <c r="C179" s="1927"/>
      <c r="D179" s="1927"/>
      <c r="E179" s="1927"/>
      <c r="F179" s="1927"/>
      <c r="G179" s="1927"/>
      <c r="H179" s="1927"/>
    </row>
    <row r="180" spans="1:8">
      <c r="A180" s="1927"/>
      <c r="B180" s="1927"/>
      <c r="C180" s="1927"/>
      <c r="D180" s="1927"/>
      <c r="E180" s="1927"/>
      <c r="F180" s="1927"/>
      <c r="G180" s="1927"/>
      <c r="H180" s="1927"/>
    </row>
    <row r="181" spans="1:8">
      <c r="A181" s="1927"/>
      <c r="B181" s="1927"/>
      <c r="C181" s="1927"/>
      <c r="D181" s="1927"/>
      <c r="E181" s="1927"/>
      <c r="F181" s="1927"/>
      <c r="G181" s="1927"/>
      <c r="H181" s="1927"/>
    </row>
    <row r="182" spans="1:8">
      <c r="A182" s="1927"/>
      <c r="B182" s="1927"/>
      <c r="C182" s="1927"/>
      <c r="D182" s="1927"/>
      <c r="E182" s="1927"/>
      <c r="F182" s="1927"/>
      <c r="G182" s="1927"/>
      <c r="H182" s="1927"/>
    </row>
    <row r="183" spans="1:8">
      <c r="A183" s="1927"/>
      <c r="B183" s="1927"/>
      <c r="C183" s="1927"/>
      <c r="D183" s="1927"/>
      <c r="E183" s="1927"/>
      <c r="F183" s="1927"/>
      <c r="G183" s="1927"/>
      <c r="H183" s="1927"/>
    </row>
    <row r="184" spans="1:8">
      <c r="A184" s="1927"/>
      <c r="B184" s="1927"/>
      <c r="C184" s="1927"/>
      <c r="D184" s="1927"/>
      <c r="E184" s="1927"/>
      <c r="F184" s="1927"/>
      <c r="G184" s="1927"/>
      <c r="H184" s="1927"/>
    </row>
    <row r="185" spans="1:8">
      <c r="A185" s="1927"/>
      <c r="B185" s="1927"/>
      <c r="C185" s="1927"/>
      <c r="D185" s="1927"/>
      <c r="E185" s="1927"/>
      <c r="F185" s="1927"/>
      <c r="G185" s="1927"/>
      <c r="H185" s="1927"/>
    </row>
    <row r="186" spans="1:8">
      <c r="A186" s="1927"/>
      <c r="B186" s="1927"/>
      <c r="C186" s="1927"/>
      <c r="D186" s="1927"/>
      <c r="E186" s="1927"/>
      <c r="F186" s="1927"/>
      <c r="G186" s="1927"/>
      <c r="H186" s="1927"/>
    </row>
    <row r="187" spans="1:8">
      <c r="A187" s="1927"/>
      <c r="B187" s="1927"/>
      <c r="C187" s="1927"/>
      <c r="D187" s="1927"/>
      <c r="E187" s="1927"/>
      <c r="F187" s="1927"/>
      <c r="G187" s="1927"/>
      <c r="H187" s="1927"/>
    </row>
    <row r="188" spans="1:8">
      <c r="A188" s="1927"/>
      <c r="B188" s="1927"/>
      <c r="C188" s="1927"/>
      <c r="D188" s="1927"/>
      <c r="E188" s="1927"/>
      <c r="F188" s="1927"/>
      <c r="G188" s="1927"/>
      <c r="H188" s="1927"/>
    </row>
    <row r="189" spans="1:8">
      <c r="A189" s="1927"/>
      <c r="B189" s="1927"/>
      <c r="C189" s="1927"/>
      <c r="D189" s="1927"/>
      <c r="E189" s="1927"/>
      <c r="F189" s="1927"/>
      <c r="G189" s="1927"/>
      <c r="H189" s="1927"/>
    </row>
    <row r="190" spans="1:8">
      <c r="A190" s="1927"/>
      <c r="B190" s="1927"/>
      <c r="C190" s="1927"/>
      <c r="D190" s="1927"/>
      <c r="E190" s="1927"/>
      <c r="F190" s="1927"/>
      <c r="G190" s="1927"/>
      <c r="H190" s="1927"/>
    </row>
    <row r="191" spans="1:8">
      <c r="A191" s="1927"/>
      <c r="B191" s="1927"/>
      <c r="C191" s="1927"/>
      <c r="D191" s="1927"/>
      <c r="E191" s="1927"/>
      <c r="F191" s="1927"/>
      <c r="G191" s="1927"/>
      <c r="H191" s="1927"/>
    </row>
    <row r="192" spans="1:8">
      <c r="A192" s="1927"/>
      <c r="B192" s="1927"/>
      <c r="C192" s="1927"/>
      <c r="D192" s="1927"/>
      <c r="E192" s="1927"/>
      <c r="F192" s="1927"/>
      <c r="G192" s="1927"/>
      <c r="H192" s="1927"/>
    </row>
    <row r="193" spans="1:8">
      <c r="A193" s="1927"/>
      <c r="B193" s="1927"/>
      <c r="C193" s="1927"/>
      <c r="D193" s="1927"/>
      <c r="E193" s="1927"/>
      <c r="F193" s="1927"/>
      <c r="G193" s="1927"/>
      <c r="H193" s="1927"/>
    </row>
    <row r="194" spans="1:8">
      <c r="A194" s="1927"/>
      <c r="B194" s="1927"/>
      <c r="C194" s="1927"/>
      <c r="D194" s="1927"/>
      <c r="E194" s="1927"/>
      <c r="F194" s="1927"/>
      <c r="G194" s="1927"/>
      <c r="H194" s="1927"/>
    </row>
    <row r="195" spans="1:8">
      <c r="A195" s="1927"/>
      <c r="B195" s="1927"/>
      <c r="C195" s="1927"/>
      <c r="D195" s="1927"/>
      <c r="E195" s="1927"/>
      <c r="F195" s="1927"/>
      <c r="G195" s="1927"/>
      <c r="H195" s="1927"/>
    </row>
    <row r="196" spans="1:8">
      <c r="A196" s="1927"/>
      <c r="B196" s="1927"/>
      <c r="C196" s="1927"/>
      <c r="D196" s="1927"/>
      <c r="E196" s="1927"/>
      <c r="F196" s="1927"/>
      <c r="G196" s="1927"/>
      <c r="H196" s="1927"/>
    </row>
    <row r="197" spans="1:8">
      <c r="A197" s="1927"/>
      <c r="B197" s="1927"/>
      <c r="C197" s="1927"/>
      <c r="D197" s="1927"/>
      <c r="E197" s="1927"/>
      <c r="F197" s="1927"/>
      <c r="G197" s="1927"/>
      <c r="H197" s="1927"/>
    </row>
    <row r="198" spans="1:8">
      <c r="A198" s="1927"/>
      <c r="B198" s="1927"/>
      <c r="C198" s="1927"/>
      <c r="D198" s="1927"/>
      <c r="E198" s="1927"/>
      <c r="F198" s="1927"/>
      <c r="G198" s="1927"/>
      <c r="H198" s="1927"/>
    </row>
    <row r="199" spans="1:8">
      <c r="A199" s="1927"/>
      <c r="B199" s="1927"/>
      <c r="C199" s="1927"/>
      <c r="D199" s="1927"/>
      <c r="E199" s="1927"/>
      <c r="F199" s="1927"/>
      <c r="G199" s="1927"/>
      <c r="H199" s="1927"/>
    </row>
    <row r="200" spans="1:8" ht="15.75">
      <c r="A200" s="1933" t="s">
        <v>952</v>
      </c>
      <c r="B200" s="1927"/>
      <c r="C200" s="1927"/>
      <c r="D200" s="1927"/>
      <c r="E200" s="1927"/>
      <c r="F200" s="1927"/>
      <c r="G200" s="1927"/>
      <c r="H200" s="1927"/>
    </row>
    <row r="201" spans="1:8">
      <c r="A201" s="1927"/>
      <c r="B201" s="1927"/>
      <c r="C201" s="1927"/>
      <c r="D201" s="1927"/>
      <c r="E201" s="1927"/>
      <c r="F201" s="1927"/>
      <c r="G201" s="1927"/>
      <c r="H201" s="1927"/>
    </row>
    <row r="202" spans="1:8">
      <c r="A202" s="1932" t="s">
        <v>1113</v>
      </c>
      <c r="B202" s="1927"/>
      <c r="C202" s="1927"/>
      <c r="D202" s="1927"/>
      <c r="E202" s="1927"/>
      <c r="F202" s="1927"/>
      <c r="G202" s="1927"/>
      <c r="H202" s="1927"/>
    </row>
    <row r="203" spans="1:8">
      <c r="A203" s="1932" t="s">
        <v>1114</v>
      </c>
      <c r="B203" s="1927"/>
      <c r="C203" s="1927"/>
      <c r="D203" s="1927"/>
      <c r="E203" s="1927"/>
      <c r="F203" s="1927"/>
      <c r="G203" s="1927"/>
      <c r="H203" s="1927"/>
    </row>
    <row r="204" spans="1:8">
      <c r="A204" s="1932" t="s">
        <v>1115</v>
      </c>
      <c r="B204" s="1927"/>
      <c r="C204" s="1927"/>
      <c r="D204" s="1927"/>
      <c r="E204" s="1927"/>
      <c r="F204" s="1927"/>
      <c r="G204" s="1927"/>
      <c r="H204" s="1927"/>
    </row>
    <row r="205" spans="1:8">
      <c r="A205" s="1932" t="s">
        <v>1116</v>
      </c>
      <c r="B205" s="1927"/>
      <c r="C205" s="1927"/>
      <c r="D205" s="1927"/>
      <c r="E205" s="1927"/>
      <c r="F205" s="1927"/>
      <c r="G205" s="1927"/>
      <c r="H205" s="1927"/>
    </row>
    <row r="206" spans="1:8">
      <c r="A206" s="1932" t="s">
        <v>1117</v>
      </c>
      <c r="B206" s="1927"/>
      <c r="C206" s="1927"/>
      <c r="D206" s="1927"/>
      <c r="E206" s="1927"/>
      <c r="F206" s="1927"/>
      <c r="G206" s="1927"/>
      <c r="H206" s="1927"/>
    </row>
    <row r="207" spans="1:8">
      <c r="A207" s="1927"/>
      <c r="B207" s="1927"/>
      <c r="C207" s="1927"/>
      <c r="D207" s="1927"/>
      <c r="E207" s="1927"/>
      <c r="F207" s="1927"/>
      <c r="G207" s="1927"/>
      <c r="H207" s="1927"/>
    </row>
    <row r="208" spans="1:8">
      <c r="A208" s="1932" t="s">
        <v>1110</v>
      </c>
      <c r="B208" s="1927"/>
      <c r="C208" s="1927"/>
      <c r="D208" s="1927"/>
      <c r="E208" s="1927"/>
      <c r="F208" s="1927"/>
      <c r="G208" s="1927"/>
      <c r="H208" s="1927"/>
    </row>
    <row r="209" spans="1:8">
      <c r="A209" s="1932" t="s">
        <v>1111</v>
      </c>
      <c r="B209" s="1927"/>
      <c r="C209" s="1927"/>
      <c r="D209" s="1927"/>
      <c r="E209" s="1927"/>
      <c r="F209" s="1927"/>
      <c r="G209" s="1927"/>
      <c r="H209" s="1927"/>
    </row>
    <row r="210" spans="1:8">
      <c r="A210" s="1932" t="s">
        <v>1112</v>
      </c>
      <c r="B210" s="1927"/>
      <c r="C210" s="1927"/>
      <c r="D210" s="1927"/>
      <c r="E210" s="1927"/>
      <c r="F210" s="1927"/>
      <c r="G210" s="1927"/>
      <c r="H210" s="1927"/>
    </row>
    <row r="211" spans="1:8" ht="15.75">
      <c r="A211" s="1933" t="s">
        <v>953</v>
      </c>
      <c r="B211" s="1927"/>
      <c r="C211" s="1927"/>
      <c r="D211" s="1927"/>
      <c r="E211" s="1927"/>
      <c r="F211" s="1927"/>
      <c r="G211" s="1927"/>
      <c r="H211" s="1927"/>
    </row>
    <row r="212" spans="1:8">
      <c r="A212" s="1927"/>
      <c r="B212" s="1927"/>
      <c r="C212" s="1927"/>
      <c r="D212" s="1927"/>
      <c r="E212" s="1927"/>
      <c r="F212" s="1927"/>
      <c r="G212" s="1927"/>
      <c r="H212" s="1927"/>
    </row>
    <row r="213" spans="1:8">
      <c r="A213" s="1932" t="s">
        <v>1108</v>
      </c>
      <c r="B213" s="1927"/>
      <c r="C213" s="1927"/>
      <c r="D213" s="1927"/>
      <c r="E213" s="1927"/>
      <c r="F213" s="1927"/>
      <c r="G213" s="1927"/>
      <c r="H213" s="1927"/>
    </row>
    <row r="214" spans="1:8">
      <c r="A214" s="1932" t="s">
        <v>1109</v>
      </c>
      <c r="B214" s="1927"/>
      <c r="C214" s="1927"/>
      <c r="D214" s="1927"/>
      <c r="E214" s="1927"/>
      <c r="F214" s="1927"/>
      <c r="G214" s="1927"/>
      <c r="H214" s="1927"/>
    </row>
    <row r="215" spans="1:8">
      <c r="A215" s="1927"/>
      <c r="B215" s="1927"/>
      <c r="C215" s="1927"/>
      <c r="D215" s="1927"/>
      <c r="E215" s="1927"/>
      <c r="F215" s="1927"/>
      <c r="G215" s="1927"/>
      <c r="H215" s="1927"/>
    </row>
    <row r="216" spans="1:8">
      <c r="A216" s="1932" t="s">
        <v>1101</v>
      </c>
      <c r="B216" s="1927"/>
      <c r="C216" s="1927"/>
      <c r="D216" s="1927"/>
      <c r="E216" s="1927"/>
      <c r="F216" s="1927"/>
      <c r="G216" s="1927"/>
      <c r="H216" s="1927"/>
    </row>
    <row r="217" spans="1:8">
      <c r="A217" s="1932" t="s">
        <v>1102</v>
      </c>
      <c r="B217" s="1927"/>
      <c r="C217" s="1927"/>
      <c r="D217" s="1927"/>
      <c r="E217" s="1927"/>
      <c r="F217" s="1927"/>
      <c r="G217" s="1927"/>
      <c r="H217" s="1927"/>
    </row>
    <row r="218" spans="1:8">
      <c r="A218" s="1932" t="s">
        <v>1103</v>
      </c>
      <c r="B218" s="1927"/>
      <c r="C218" s="1927"/>
      <c r="D218" s="1927"/>
      <c r="E218" s="1927"/>
      <c r="F218" s="1927"/>
      <c r="G218" s="1927"/>
      <c r="H218" s="1927"/>
    </row>
    <row r="219" spans="1:8">
      <c r="A219" s="1932" t="s">
        <v>1104</v>
      </c>
      <c r="B219" s="1927"/>
      <c r="C219" s="1927"/>
      <c r="D219" s="1927"/>
      <c r="E219" s="1927"/>
      <c r="F219" s="1927"/>
      <c r="G219" s="1927"/>
      <c r="H219" s="1927"/>
    </row>
    <row r="220" spans="1:8">
      <c r="A220" s="1932" t="s">
        <v>1105</v>
      </c>
      <c r="B220" s="1927"/>
      <c r="C220" s="1927"/>
      <c r="D220" s="1927"/>
      <c r="E220" s="1927"/>
      <c r="F220" s="1927"/>
      <c r="G220" s="1927"/>
      <c r="H220" s="1927"/>
    </row>
    <row r="221" spans="1:8">
      <c r="A221" s="1932" t="s">
        <v>1106</v>
      </c>
      <c r="B221" s="1927"/>
      <c r="C221" s="1927"/>
      <c r="D221" s="1927"/>
      <c r="E221" s="1927"/>
      <c r="F221" s="1927"/>
      <c r="G221" s="1927"/>
      <c r="H221" s="1927"/>
    </row>
    <row r="222" spans="1:8">
      <c r="A222" s="1932" t="s">
        <v>1107</v>
      </c>
      <c r="B222" s="1927"/>
      <c r="C222" s="1927"/>
      <c r="D222" s="1927"/>
      <c r="E222" s="1927"/>
      <c r="F222" s="1927"/>
      <c r="G222" s="1927"/>
      <c r="H222" s="1927"/>
    </row>
    <row r="223" spans="1:8">
      <c r="A223" s="1927"/>
      <c r="B223" s="1927"/>
      <c r="C223" s="1927"/>
      <c r="D223" s="1927"/>
      <c r="E223" s="1927"/>
      <c r="F223" s="1927"/>
      <c r="G223" s="1927"/>
      <c r="H223" s="1927"/>
    </row>
    <row r="224" spans="1:8">
      <c r="A224" s="1932" t="s">
        <v>1098</v>
      </c>
      <c r="B224" s="1927"/>
      <c r="C224" s="1927"/>
      <c r="D224" s="1927"/>
      <c r="E224" s="1927"/>
      <c r="F224" s="1927"/>
      <c r="G224" s="1927"/>
      <c r="H224" s="1927"/>
    </row>
    <row r="225" spans="1:8">
      <c r="A225" s="1932" t="s">
        <v>1099</v>
      </c>
      <c r="B225" s="1927"/>
      <c r="C225" s="1927"/>
      <c r="D225" s="1927"/>
      <c r="E225" s="1927"/>
      <c r="F225" s="1927"/>
      <c r="G225" s="1927"/>
      <c r="H225" s="1927"/>
    </row>
    <row r="226" spans="1:8">
      <c r="A226" s="1932" t="s">
        <v>1100</v>
      </c>
      <c r="B226" s="1927"/>
      <c r="C226" s="1927"/>
      <c r="D226" s="1927"/>
      <c r="E226" s="1927"/>
      <c r="F226" s="1927"/>
      <c r="G226" s="1927"/>
      <c r="H226" s="1927"/>
    </row>
    <row r="227" spans="1:8">
      <c r="A227" s="1927"/>
      <c r="B227" s="1927"/>
      <c r="C227" s="1927"/>
      <c r="D227" s="1927"/>
      <c r="E227" s="1927"/>
      <c r="F227" s="1927"/>
      <c r="G227" s="1927"/>
      <c r="H227" s="1927"/>
    </row>
    <row r="228" spans="1:8">
      <c r="A228" s="1932" t="s">
        <v>1093</v>
      </c>
      <c r="B228" s="1927"/>
      <c r="C228" s="1927"/>
      <c r="D228" s="1927"/>
      <c r="E228" s="1927"/>
      <c r="F228" s="1927"/>
      <c r="G228" s="1927"/>
      <c r="H228" s="1927"/>
    </row>
    <row r="229" spans="1:8">
      <c r="A229" s="1932" t="s">
        <v>1094</v>
      </c>
      <c r="B229" s="1927"/>
      <c r="C229" s="1927"/>
      <c r="D229" s="1927"/>
      <c r="E229" s="1927"/>
      <c r="F229" s="1927"/>
      <c r="G229" s="1927"/>
      <c r="H229" s="1927"/>
    </row>
    <row r="230" spans="1:8">
      <c r="A230" s="1932" t="s">
        <v>1095</v>
      </c>
      <c r="B230" s="1927"/>
      <c r="C230" s="1927"/>
      <c r="D230" s="1927"/>
      <c r="E230" s="1927"/>
      <c r="F230" s="1927"/>
      <c r="G230" s="1927"/>
      <c r="H230" s="1927"/>
    </row>
    <row r="231" spans="1:8">
      <c r="A231" s="1932" t="s">
        <v>1096</v>
      </c>
      <c r="B231" s="1927"/>
      <c r="C231" s="1927"/>
      <c r="D231" s="1927"/>
      <c r="E231" s="1927"/>
      <c r="F231" s="1927"/>
      <c r="G231" s="1927"/>
      <c r="H231" s="1927"/>
    </row>
    <row r="232" spans="1:8">
      <c r="A232" s="1932" t="s">
        <v>1097</v>
      </c>
      <c r="B232" s="1927"/>
      <c r="C232" s="1927"/>
      <c r="D232" s="1927"/>
      <c r="E232" s="1927"/>
      <c r="F232" s="1927"/>
      <c r="G232" s="1927"/>
      <c r="H232" s="1927"/>
    </row>
    <row r="233" spans="1:8">
      <c r="A233" s="1927"/>
      <c r="B233" s="1927"/>
      <c r="C233" s="1927"/>
      <c r="D233" s="1927"/>
      <c r="E233" s="1927"/>
      <c r="F233" s="1927"/>
      <c r="G233" s="1927"/>
      <c r="H233" s="1927"/>
    </row>
    <row r="234" spans="1:8">
      <c r="A234" s="1932" t="s">
        <v>1087</v>
      </c>
      <c r="B234" s="1927"/>
      <c r="C234" s="1927"/>
      <c r="D234" s="1927"/>
      <c r="E234" s="1927"/>
      <c r="F234" s="1927"/>
      <c r="G234" s="1927"/>
      <c r="H234" s="1927"/>
    </row>
    <row r="235" spans="1:8">
      <c r="A235" s="1932" t="s">
        <v>1088</v>
      </c>
      <c r="B235" s="1927"/>
      <c r="C235" s="1927"/>
      <c r="D235" s="1927"/>
      <c r="E235" s="1927"/>
      <c r="F235" s="1927"/>
      <c r="G235" s="1927"/>
      <c r="H235" s="1927"/>
    </row>
    <row r="236" spans="1:8">
      <c r="A236" s="1932" t="s">
        <v>1089</v>
      </c>
      <c r="B236" s="1927"/>
      <c r="C236" s="1927"/>
      <c r="D236" s="1927"/>
      <c r="E236" s="1927"/>
      <c r="F236" s="1927"/>
      <c r="G236" s="1927"/>
      <c r="H236" s="1927"/>
    </row>
    <row r="237" spans="1:8">
      <c r="A237" s="1932" t="s">
        <v>1090</v>
      </c>
      <c r="B237" s="1927"/>
      <c r="C237" s="1927"/>
      <c r="D237" s="1927"/>
      <c r="E237" s="1927"/>
      <c r="F237" s="1927"/>
      <c r="G237" s="1927"/>
      <c r="H237" s="1927"/>
    </row>
    <row r="238" spans="1:8">
      <c r="A238" s="1932" t="s">
        <v>1091</v>
      </c>
      <c r="B238" s="1927"/>
      <c r="C238" s="1927"/>
      <c r="D238" s="1927"/>
      <c r="E238" s="1927"/>
      <c r="F238" s="1927"/>
      <c r="G238" s="1927"/>
      <c r="H238" s="1927"/>
    </row>
    <row r="239" spans="1:8">
      <c r="A239" s="1932" t="s">
        <v>1092</v>
      </c>
      <c r="B239" s="1927"/>
      <c r="C239" s="1927"/>
      <c r="D239" s="1927"/>
      <c r="E239" s="1927"/>
      <c r="F239" s="1927"/>
      <c r="G239" s="1927"/>
      <c r="H239" s="1927"/>
    </row>
    <row r="240" spans="1:8">
      <c r="A240" s="1927"/>
      <c r="B240" s="1927"/>
      <c r="C240" s="1927"/>
      <c r="D240" s="1927"/>
      <c r="E240" s="1927"/>
      <c r="F240" s="1927"/>
      <c r="G240" s="1927"/>
      <c r="H240" s="1927"/>
    </row>
    <row r="241" spans="1:8">
      <c r="A241" s="1932" t="s">
        <v>1077</v>
      </c>
      <c r="B241" s="1927"/>
      <c r="C241" s="1927"/>
      <c r="D241" s="1927"/>
      <c r="E241" s="1927"/>
      <c r="F241" s="1927"/>
      <c r="G241" s="1927"/>
      <c r="H241" s="1927"/>
    </row>
    <row r="242" spans="1:8">
      <c r="A242" s="1932" t="s">
        <v>1078</v>
      </c>
      <c r="B242" s="1927"/>
      <c r="C242" s="1927"/>
      <c r="D242" s="1927"/>
      <c r="E242" s="1927"/>
      <c r="F242" s="1927"/>
      <c r="G242" s="1927"/>
      <c r="H242" s="1927"/>
    </row>
    <row r="243" spans="1:8">
      <c r="A243" s="1932" t="s">
        <v>1079</v>
      </c>
      <c r="B243" s="1927"/>
      <c r="C243" s="1927"/>
      <c r="D243" s="1927"/>
      <c r="E243" s="1927"/>
      <c r="F243" s="1927"/>
      <c r="G243" s="1927"/>
      <c r="H243" s="1927"/>
    </row>
    <row r="244" spans="1:8">
      <c r="A244" s="1932" t="s">
        <v>1080</v>
      </c>
      <c r="B244" s="1927"/>
      <c r="C244" s="1927"/>
      <c r="D244" s="1927"/>
      <c r="E244" s="1927"/>
      <c r="F244" s="1927"/>
      <c r="G244" s="1927"/>
      <c r="H244" s="1927"/>
    </row>
    <row r="245" spans="1:8">
      <c r="A245" s="1932" t="s">
        <v>1081</v>
      </c>
      <c r="B245" s="1927"/>
      <c r="C245" s="1927"/>
      <c r="D245" s="1927"/>
      <c r="E245" s="1927"/>
      <c r="F245" s="1927"/>
      <c r="G245" s="1927"/>
      <c r="H245" s="1927"/>
    </row>
    <row r="246" spans="1:8">
      <c r="A246" s="1932" t="s">
        <v>1082</v>
      </c>
      <c r="B246" s="1927"/>
      <c r="C246" s="1927"/>
      <c r="D246" s="1927"/>
      <c r="E246" s="1927"/>
      <c r="F246" s="1927"/>
      <c r="G246" s="1927"/>
      <c r="H246" s="1927"/>
    </row>
    <row r="247" spans="1:8">
      <c r="A247" s="1932" t="s">
        <v>1083</v>
      </c>
      <c r="B247" s="1927"/>
      <c r="C247" s="1927"/>
      <c r="D247" s="1927"/>
      <c r="E247" s="1927"/>
      <c r="F247" s="1927"/>
      <c r="G247" s="1927"/>
      <c r="H247" s="1927"/>
    </row>
    <row r="248" spans="1:8">
      <c r="A248" s="1932" t="s">
        <v>1084</v>
      </c>
      <c r="B248" s="1927"/>
      <c r="C248" s="1927"/>
      <c r="D248" s="1927"/>
      <c r="E248" s="1927"/>
      <c r="F248" s="1927"/>
      <c r="G248" s="1927"/>
      <c r="H248" s="1927"/>
    </row>
    <row r="249" spans="1:8">
      <c r="A249" s="1932" t="s">
        <v>1085</v>
      </c>
      <c r="B249" s="1927"/>
      <c r="C249" s="1927"/>
      <c r="D249" s="1927"/>
      <c r="E249" s="1927"/>
      <c r="F249" s="1927"/>
      <c r="G249" s="1927"/>
      <c r="H249" s="1927"/>
    </row>
    <row r="250" spans="1:8">
      <c r="A250" s="1932" t="s">
        <v>1086</v>
      </c>
      <c r="B250" s="1927"/>
      <c r="C250" s="1927"/>
      <c r="D250" s="1927"/>
      <c r="E250" s="1927"/>
      <c r="F250" s="1927"/>
      <c r="G250" s="1927"/>
      <c r="H250" s="1927"/>
    </row>
    <row r="251" spans="1:8">
      <c r="A251" s="1927"/>
      <c r="B251" s="1927"/>
      <c r="C251" s="1927"/>
      <c r="D251" s="1927"/>
      <c r="E251" s="1927"/>
      <c r="F251" s="1927"/>
      <c r="G251" s="1927"/>
      <c r="H251" s="1927"/>
    </row>
    <row r="252" spans="1:8">
      <c r="A252" s="1932" t="s">
        <v>1075</v>
      </c>
      <c r="B252" s="1927"/>
      <c r="C252" s="1927"/>
      <c r="D252" s="1927"/>
      <c r="E252" s="1927"/>
      <c r="F252" s="1927"/>
      <c r="G252" s="1927"/>
      <c r="H252" s="1927"/>
    </row>
    <row r="253" spans="1:8">
      <c r="A253" s="1932" t="s">
        <v>1076</v>
      </c>
      <c r="B253" s="1927"/>
      <c r="C253" s="1927"/>
      <c r="D253" s="1927"/>
      <c r="E253" s="1927"/>
      <c r="F253" s="1927"/>
      <c r="G253" s="1927"/>
      <c r="H253" s="1927"/>
    </row>
    <row r="254" spans="1:8">
      <c r="A254" s="1927"/>
      <c r="B254" s="1927"/>
      <c r="C254" s="1927"/>
      <c r="D254" s="1927"/>
      <c r="E254" s="1927"/>
      <c r="F254" s="1927"/>
      <c r="G254" s="1927"/>
      <c r="H254" s="1927"/>
    </row>
    <row r="255" spans="1:8">
      <c r="A255" s="1932" t="s">
        <v>1059</v>
      </c>
      <c r="B255" s="1927"/>
      <c r="C255" s="1927"/>
      <c r="D255" s="1927"/>
      <c r="E255" s="1927"/>
      <c r="F255" s="1927"/>
      <c r="G255" s="1927"/>
      <c r="H255" s="1927"/>
    </row>
    <row r="256" spans="1:8">
      <c r="A256" s="1932" t="s">
        <v>1060</v>
      </c>
      <c r="B256" s="1927"/>
      <c r="C256" s="1927"/>
      <c r="D256" s="1927"/>
      <c r="E256" s="1927"/>
      <c r="F256" s="1927"/>
      <c r="G256" s="1927"/>
      <c r="H256" s="1927"/>
    </row>
    <row r="257" spans="1:8">
      <c r="A257" s="1932" t="s">
        <v>1061</v>
      </c>
      <c r="B257" s="1927"/>
      <c r="C257" s="1927"/>
      <c r="D257" s="1927"/>
      <c r="E257" s="1927"/>
      <c r="F257" s="1927"/>
      <c r="G257" s="1927"/>
      <c r="H257" s="1927"/>
    </row>
    <row r="258" spans="1:8">
      <c r="A258" s="1932" t="s">
        <v>1062</v>
      </c>
      <c r="B258" s="1927"/>
      <c r="C258" s="1927"/>
      <c r="D258" s="1927"/>
      <c r="E258" s="1927"/>
      <c r="F258" s="1927"/>
      <c r="G258" s="1927"/>
      <c r="H258" s="1927"/>
    </row>
    <row r="259" spans="1:8">
      <c r="A259" s="1932" t="s">
        <v>1063</v>
      </c>
      <c r="B259" s="1927"/>
      <c r="C259" s="1927"/>
      <c r="D259" s="1927"/>
      <c r="E259" s="1927"/>
      <c r="F259" s="1927"/>
      <c r="G259" s="1927"/>
      <c r="H259" s="1927"/>
    </row>
    <row r="260" spans="1:8">
      <c r="A260" s="1932" t="s">
        <v>1064</v>
      </c>
      <c r="B260" s="1927"/>
      <c r="C260" s="1927"/>
      <c r="D260" s="1927"/>
      <c r="E260" s="1927"/>
      <c r="F260" s="1927"/>
      <c r="G260" s="1927"/>
      <c r="H260" s="1927"/>
    </row>
    <row r="261" spans="1:8">
      <c r="A261" s="1932" t="s">
        <v>1065</v>
      </c>
      <c r="B261" s="1927"/>
      <c r="C261" s="1927"/>
      <c r="D261" s="1927"/>
      <c r="E261" s="1927"/>
      <c r="F261" s="1927"/>
      <c r="G261" s="1927"/>
      <c r="H261" s="1927"/>
    </row>
    <row r="262" spans="1:8">
      <c r="A262" s="1932" t="s">
        <v>1066</v>
      </c>
      <c r="B262" s="1927"/>
      <c r="C262" s="1927"/>
      <c r="D262" s="1927"/>
      <c r="E262" s="1927"/>
      <c r="F262" s="1927"/>
      <c r="G262" s="1927"/>
      <c r="H262" s="1927"/>
    </row>
    <row r="263" spans="1:8">
      <c r="A263" s="1932" t="s">
        <v>1067</v>
      </c>
      <c r="B263" s="1927"/>
      <c r="C263" s="1927"/>
      <c r="D263" s="1927"/>
      <c r="E263" s="1927"/>
      <c r="F263" s="1927"/>
      <c r="G263" s="1927"/>
      <c r="H263" s="1927"/>
    </row>
    <row r="264" spans="1:8">
      <c r="A264" s="1932" t="s">
        <v>1068</v>
      </c>
      <c r="B264" s="1927"/>
      <c r="C264" s="1927"/>
      <c r="D264" s="1927"/>
      <c r="E264" s="1927"/>
      <c r="F264" s="1927"/>
      <c r="G264" s="1927"/>
      <c r="H264" s="1927"/>
    </row>
    <row r="265" spans="1:8">
      <c r="A265" s="1932" t="s">
        <v>1069</v>
      </c>
      <c r="B265" s="1927"/>
      <c r="C265" s="1927"/>
      <c r="D265" s="1927"/>
      <c r="E265" s="1927"/>
      <c r="F265" s="1927"/>
      <c r="G265" s="1927"/>
      <c r="H265" s="1927"/>
    </row>
    <row r="266" spans="1:8">
      <c r="A266" s="1932" t="s">
        <v>1070</v>
      </c>
      <c r="B266" s="1927"/>
      <c r="C266" s="1927"/>
      <c r="D266" s="1927"/>
      <c r="E266" s="1927"/>
      <c r="F266" s="1927"/>
      <c r="G266" s="1927"/>
      <c r="H266" s="1927"/>
    </row>
    <row r="267" spans="1:8">
      <c r="A267" s="1932" t="s">
        <v>1071</v>
      </c>
      <c r="B267" s="1927"/>
      <c r="C267" s="1927"/>
      <c r="D267" s="1927"/>
      <c r="E267" s="1927"/>
      <c r="F267" s="1927"/>
      <c r="G267" s="1927"/>
      <c r="H267" s="1927"/>
    </row>
    <row r="268" spans="1:8">
      <c r="A268" s="1932" t="s">
        <v>1072</v>
      </c>
      <c r="B268" s="1927"/>
      <c r="C268" s="1927"/>
      <c r="D268" s="1927"/>
      <c r="E268" s="1927"/>
      <c r="F268" s="1927"/>
      <c r="G268" s="1927"/>
      <c r="H268" s="1927"/>
    </row>
    <row r="269" spans="1:8">
      <c r="A269" s="1932" t="s">
        <v>1073</v>
      </c>
      <c r="B269" s="1927"/>
      <c r="C269" s="1927"/>
      <c r="D269" s="1927"/>
      <c r="E269" s="1927"/>
      <c r="F269" s="1927"/>
      <c r="G269" s="1927"/>
      <c r="H269" s="1927"/>
    </row>
    <row r="270" spans="1:8">
      <c r="A270" s="1932" t="s">
        <v>1074</v>
      </c>
      <c r="B270" s="1927"/>
      <c r="C270" s="1927"/>
      <c r="D270" s="1927"/>
      <c r="E270" s="1927"/>
      <c r="F270" s="1927"/>
      <c r="G270" s="1927"/>
      <c r="H270" s="1927"/>
    </row>
    <row r="271" spans="1:8">
      <c r="A271" s="1927"/>
      <c r="B271" s="1927"/>
      <c r="C271" s="1927"/>
      <c r="D271" s="1927"/>
      <c r="E271" s="1927"/>
      <c r="F271" s="1927"/>
      <c r="G271" s="1927"/>
      <c r="H271" s="1927"/>
    </row>
    <row r="272" spans="1:8">
      <c r="A272" s="1932" t="s">
        <v>1052</v>
      </c>
      <c r="B272" s="1927"/>
      <c r="C272" s="1927"/>
      <c r="D272" s="1927"/>
      <c r="E272" s="1927"/>
      <c r="F272" s="1927"/>
      <c r="G272" s="1927"/>
      <c r="H272" s="1927"/>
    </row>
    <row r="273" spans="1:8">
      <c r="A273" s="1932" t="s">
        <v>1053</v>
      </c>
      <c r="B273" s="1927"/>
      <c r="C273" s="1927"/>
      <c r="D273" s="1927"/>
      <c r="E273" s="1927"/>
      <c r="F273" s="1927"/>
      <c r="G273" s="1927"/>
      <c r="H273" s="1927"/>
    </row>
    <row r="274" spans="1:8">
      <c r="A274" s="1932" t="s">
        <v>1054</v>
      </c>
      <c r="B274" s="1927"/>
      <c r="C274" s="1927"/>
      <c r="D274" s="1927"/>
      <c r="E274" s="1927"/>
      <c r="F274" s="1927"/>
      <c r="G274" s="1927"/>
      <c r="H274" s="1927"/>
    </row>
    <row r="275" spans="1:8">
      <c r="A275" s="1932" t="s">
        <v>1055</v>
      </c>
      <c r="B275" s="1927"/>
      <c r="C275" s="1927"/>
      <c r="D275" s="1927"/>
      <c r="E275" s="1927"/>
      <c r="F275" s="1927"/>
      <c r="G275" s="1927"/>
      <c r="H275" s="1927"/>
    </row>
    <row r="276" spans="1:8">
      <c r="A276" s="1932" t="s">
        <v>1056</v>
      </c>
      <c r="B276" s="1927"/>
      <c r="C276" s="1927"/>
      <c r="D276" s="1927"/>
      <c r="E276" s="1927"/>
      <c r="F276" s="1927"/>
      <c r="G276" s="1927"/>
      <c r="H276" s="1927"/>
    </row>
    <row r="277" spans="1:8">
      <c r="A277" s="1932" t="s">
        <v>1057</v>
      </c>
      <c r="B277" s="1927"/>
      <c r="C277" s="1927"/>
      <c r="D277" s="1927"/>
      <c r="E277" s="1927"/>
      <c r="F277" s="1927"/>
      <c r="G277" s="1927"/>
      <c r="H277" s="1927"/>
    </row>
    <row r="278" spans="1:8">
      <c r="A278" s="1932" t="s">
        <v>1058</v>
      </c>
      <c r="B278" s="1927"/>
      <c r="C278" s="1927"/>
      <c r="D278" s="1927"/>
      <c r="E278" s="1927"/>
      <c r="F278" s="1927"/>
      <c r="G278" s="1927"/>
      <c r="H278" s="1927"/>
    </row>
    <row r="279" spans="1:8">
      <c r="A279" s="1927"/>
      <c r="B279" s="1927"/>
      <c r="C279" s="1927"/>
      <c r="D279" s="1927"/>
      <c r="E279" s="1927"/>
      <c r="F279" s="1927"/>
      <c r="G279" s="1927"/>
      <c r="H279" s="1927"/>
    </row>
    <row r="280" spans="1:8">
      <c r="A280" s="1932" t="s">
        <v>1043</v>
      </c>
      <c r="B280" s="1927"/>
      <c r="C280" s="1927"/>
      <c r="D280" s="1927"/>
      <c r="E280" s="1927"/>
      <c r="F280" s="1927"/>
      <c r="G280" s="1927"/>
      <c r="H280" s="1927"/>
    </row>
    <row r="281" spans="1:8">
      <c r="A281" s="1932" t="s">
        <v>1044</v>
      </c>
      <c r="B281" s="1927"/>
      <c r="C281" s="1927"/>
      <c r="D281" s="1927"/>
      <c r="E281" s="1927"/>
      <c r="F281" s="1927"/>
      <c r="G281" s="1927"/>
      <c r="H281" s="1927"/>
    </row>
    <row r="282" spans="1:8">
      <c r="A282" s="1932" t="s">
        <v>1045</v>
      </c>
      <c r="B282" s="1927"/>
      <c r="C282" s="1927"/>
      <c r="D282" s="1927"/>
      <c r="E282" s="1927"/>
      <c r="F282" s="1927"/>
      <c r="G282" s="1927"/>
      <c r="H282" s="1927"/>
    </row>
    <row r="283" spans="1:8">
      <c r="A283" s="1932" t="s">
        <v>1046</v>
      </c>
      <c r="B283" s="1927"/>
      <c r="C283" s="1927"/>
      <c r="D283" s="1927"/>
      <c r="E283" s="1927"/>
      <c r="F283" s="1927"/>
      <c r="G283" s="1927"/>
      <c r="H283" s="1927"/>
    </row>
    <row r="284" spans="1:8">
      <c r="A284" s="1932" t="s">
        <v>1047</v>
      </c>
      <c r="B284" s="1927"/>
      <c r="C284" s="1927"/>
      <c r="D284" s="1927"/>
      <c r="E284" s="1927"/>
      <c r="F284" s="1927"/>
      <c r="G284" s="1927"/>
      <c r="H284" s="1927"/>
    </row>
    <row r="285" spans="1:8">
      <c r="A285" s="1932" t="s">
        <v>1048</v>
      </c>
      <c r="B285" s="1927"/>
      <c r="C285" s="1927"/>
      <c r="D285" s="1927"/>
      <c r="E285" s="1927"/>
      <c r="F285" s="1927"/>
      <c r="G285" s="1927"/>
      <c r="H285" s="1927"/>
    </row>
    <row r="286" spans="1:8">
      <c r="A286" s="1932" t="s">
        <v>1049</v>
      </c>
      <c r="B286" s="1927"/>
      <c r="C286" s="1927"/>
      <c r="D286" s="1927"/>
      <c r="E286" s="1927"/>
      <c r="F286" s="1927"/>
      <c r="G286" s="1927"/>
      <c r="H286" s="1927"/>
    </row>
    <row r="287" spans="1:8">
      <c r="A287" s="1932" t="s">
        <v>1050</v>
      </c>
      <c r="B287" s="1927"/>
      <c r="C287" s="1927"/>
      <c r="D287" s="1927"/>
      <c r="E287" s="1927"/>
      <c r="F287" s="1927"/>
      <c r="G287" s="1927"/>
      <c r="H287" s="1927"/>
    </row>
    <row r="288" spans="1:8">
      <c r="A288" s="1932" t="s">
        <v>1051</v>
      </c>
      <c r="B288" s="1927"/>
      <c r="C288" s="1927"/>
      <c r="D288" s="1927"/>
      <c r="E288" s="1927"/>
      <c r="F288" s="1927"/>
      <c r="G288" s="1927"/>
      <c r="H288" s="1927"/>
    </row>
    <row r="289" spans="1:8">
      <c r="A289" s="1927"/>
      <c r="B289" s="1927"/>
      <c r="C289" s="1927"/>
      <c r="D289" s="1927"/>
      <c r="E289" s="1927"/>
      <c r="F289" s="1927"/>
      <c r="G289" s="1927"/>
      <c r="H289" s="1927"/>
    </row>
    <row r="290" spans="1:8">
      <c r="A290" s="1932" t="s">
        <v>1036</v>
      </c>
      <c r="B290" s="1927"/>
      <c r="C290" s="1927"/>
      <c r="D290" s="1927"/>
      <c r="E290" s="1927"/>
      <c r="F290" s="1927"/>
      <c r="G290" s="1927"/>
      <c r="H290" s="1927"/>
    </row>
    <row r="291" spans="1:8">
      <c r="A291" s="1932" t="s">
        <v>1037</v>
      </c>
      <c r="B291" s="1927"/>
      <c r="C291" s="1927"/>
      <c r="D291" s="1927"/>
      <c r="E291" s="1927"/>
      <c r="F291" s="1927"/>
      <c r="G291" s="1927"/>
      <c r="H291" s="1927"/>
    </row>
    <row r="292" spans="1:8">
      <c r="A292" s="1932" t="s">
        <v>1038</v>
      </c>
      <c r="B292" s="1927"/>
      <c r="C292" s="1927"/>
      <c r="D292" s="1927"/>
      <c r="E292" s="1927"/>
      <c r="F292" s="1927"/>
      <c r="G292" s="1927"/>
      <c r="H292" s="1927"/>
    </row>
    <row r="293" spans="1:8">
      <c r="A293" s="1932" t="s">
        <v>1039</v>
      </c>
      <c r="B293" s="1927"/>
      <c r="C293" s="1927"/>
      <c r="D293" s="1927"/>
      <c r="E293" s="1927"/>
      <c r="F293" s="1927"/>
      <c r="G293" s="1927"/>
      <c r="H293" s="1927"/>
    </row>
    <row r="294" spans="1:8">
      <c r="A294" s="1932" t="s">
        <v>1040</v>
      </c>
      <c r="B294" s="1927"/>
      <c r="C294" s="1927"/>
      <c r="D294" s="1927"/>
      <c r="E294" s="1927"/>
      <c r="F294" s="1927"/>
      <c r="G294" s="1927"/>
      <c r="H294" s="1927"/>
    </row>
    <row r="295" spans="1:8">
      <c r="A295" s="1932" t="s">
        <v>1041</v>
      </c>
      <c r="B295" s="1927"/>
      <c r="C295" s="1927"/>
      <c r="D295" s="1927"/>
      <c r="E295" s="1927"/>
      <c r="F295" s="1927"/>
      <c r="G295" s="1927"/>
      <c r="H295" s="1927"/>
    </row>
    <row r="296" spans="1:8">
      <c r="A296" s="1932" t="s">
        <v>1042</v>
      </c>
      <c r="B296" s="1927"/>
      <c r="C296" s="1927"/>
      <c r="D296" s="1927"/>
      <c r="E296" s="1927"/>
      <c r="F296" s="1927"/>
      <c r="G296" s="1927"/>
      <c r="H296" s="1927"/>
    </row>
    <row r="297" spans="1:8">
      <c r="A297" s="1927"/>
      <c r="B297" s="1927"/>
      <c r="C297" s="1927"/>
      <c r="D297" s="1927"/>
      <c r="E297" s="1927"/>
      <c r="F297" s="1927"/>
      <c r="G297" s="1927"/>
      <c r="H297" s="1927"/>
    </row>
    <row r="298" spans="1:8">
      <c r="A298" s="1932" t="s">
        <v>1033</v>
      </c>
      <c r="B298" s="1927"/>
      <c r="C298" s="1927"/>
      <c r="D298" s="1927"/>
      <c r="E298" s="1927"/>
      <c r="F298" s="1927"/>
      <c r="G298" s="1927"/>
      <c r="H298" s="1927"/>
    </row>
    <row r="299" spans="1:8">
      <c r="A299" s="1932" t="s">
        <v>1034</v>
      </c>
      <c r="B299" s="1927"/>
      <c r="C299" s="1927"/>
      <c r="D299" s="1927"/>
      <c r="E299" s="1927"/>
      <c r="F299" s="1927"/>
      <c r="G299" s="1927"/>
      <c r="H299" s="1927"/>
    </row>
    <row r="300" spans="1:8">
      <c r="A300" s="1932" t="s">
        <v>1035</v>
      </c>
      <c r="B300" s="1927"/>
      <c r="C300" s="1927"/>
      <c r="D300" s="1927"/>
      <c r="E300" s="1927"/>
      <c r="F300" s="1927"/>
      <c r="G300" s="1927"/>
      <c r="H300" s="1927"/>
    </row>
    <row r="301" spans="1:8">
      <c r="A301" s="1927"/>
      <c r="B301" s="1927"/>
      <c r="C301" s="1927"/>
      <c r="D301" s="1927"/>
      <c r="E301" s="1927"/>
      <c r="F301" s="1927"/>
      <c r="G301" s="1927"/>
      <c r="H301" s="1927"/>
    </row>
    <row r="302" spans="1:8">
      <c r="A302" s="1932" t="s">
        <v>1031</v>
      </c>
      <c r="B302" s="1927"/>
      <c r="C302" s="1927"/>
      <c r="D302" s="1927"/>
      <c r="E302" s="1927"/>
      <c r="F302" s="1927"/>
      <c r="G302" s="1927"/>
      <c r="H302" s="1927"/>
    </row>
    <row r="303" spans="1:8">
      <c r="A303" s="1932" t="s">
        <v>1032</v>
      </c>
      <c r="B303" s="1927"/>
      <c r="C303" s="1927"/>
      <c r="D303" s="1927"/>
      <c r="E303" s="1927"/>
      <c r="F303" s="1927"/>
      <c r="G303" s="1927"/>
      <c r="H303" s="1927"/>
    </row>
    <row r="304" spans="1:8">
      <c r="A304" s="1927"/>
      <c r="B304" s="1927"/>
      <c r="C304" s="1927"/>
      <c r="D304" s="1927"/>
      <c r="E304" s="1927"/>
      <c r="F304" s="1927"/>
      <c r="G304" s="1927"/>
      <c r="H304" s="1927"/>
    </row>
    <row r="305" spans="1:8">
      <c r="A305" s="1932" t="s">
        <v>1018</v>
      </c>
      <c r="B305" s="1927"/>
      <c r="C305" s="1927"/>
      <c r="D305" s="1927"/>
      <c r="E305" s="1927"/>
      <c r="F305" s="1927"/>
      <c r="G305" s="1927"/>
      <c r="H305" s="1927"/>
    </row>
    <row r="306" spans="1:8">
      <c r="A306" s="1932" t="s">
        <v>1019</v>
      </c>
      <c r="B306" s="1927"/>
      <c r="C306" s="1927"/>
      <c r="D306" s="1927"/>
      <c r="E306" s="1927"/>
      <c r="F306" s="1927"/>
      <c r="G306" s="1927"/>
      <c r="H306" s="1927"/>
    </row>
    <row r="307" spans="1:8">
      <c r="A307" s="1932" t="s">
        <v>1020</v>
      </c>
      <c r="B307" s="1927"/>
      <c r="C307" s="1927"/>
      <c r="D307" s="1927"/>
      <c r="E307" s="1927"/>
      <c r="F307" s="1927"/>
      <c r="G307" s="1927"/>
      <c r="H307" s="1927"/>
    </row>
    <row r="308" spans="1:8">
      <c r="A308" s="1932" t="s">
        <v>1021</v>
      </c>
      <c r="B308" s="1927"/>
      <c r="C308" s="1927"/>
      <c r="D308" s="1927"/>
      <c r="E308" s="1927"/>
      <c r="F308" s="1927"/>
      <c r="G308" s="1927"/>
      <c r="H308" s="1927"/>
    </row>
    <row r="309" spans="1:8">
      <c r="A309" s="1932" t="s">
        <v>1022</v>
      </c>
      <c r="B309" s="1927"/>
      <c r="C309" s="1927"/>
      <c r="D309" s="1927"/>
      <c r="E309" s="1927"/>
      <c r="F309" s="1927"/>
      <c r="G309" s="1927"/>
      <c r="H309" s="1927"/>
    </row>
    <row r="310" spans="1:8">
      <c r="A310" s="1932" t="s">
        <v>1023</v>
      </c>
      <c r="B310" s="1927"/>
      <c r="C310" s="1927"/>
      <c r="D310" s="1927"/>
      <c r="E310" s="1927"/>
      <c r="F310" s="1927"/>
      <c r="G310" s="1927"/>
      <c r="H310" s="1927"/>
    </row>
    <row r="311" spans="1:8">
      <c r="A311" s="1932" t="s">
        <v>1024</v>
      </c>
      <c r="B311" s="1927"/>
      <c r="C311" s="1927"/>
      <c r="D311" s="1927"/>
      <c r="E311" s="1927"/>
      <c r="F311" s="1927"/>
      <c r="G311" s="1927"/>
      <c r="H311" s="1927"/>
    </row>
    <row r="312" spans="1:8">
      <c r="A312" s="1932" t="s">
        <v>1025</v>
      </c>
      <c r="B312" s="1927"/>
      <c r="C312" s="1927"/>
      <c r="D312" s="1927"/>
      <c r="E312" s="1927"/>
      <c r="F312" s="1927"/>
      <c r="G312" s="1927"/>
      <c r="H312" s="1927"/>
    </row>
    <row r="313" spans="1:8">
      <c r="A313" s="1932" t="s">
        <v>1026</v>
      </c>
      <c r="B313" s="1927"/>
      <c r="C313" s="1927"/>
      <c r="D313" s="1927"/>
      <c r="E313" s="1927"/>
      <c r="F313" s="1927"/>
      <c r="G313" s="1927"/>
      <c r="H313" s="1927"/>
    </row>
    <row r="314" spans="1:8">
      <c r="A314" s="1932" t="s">
        <v>1027</v>
      </c>
      <c r="B314" s="1927"/>
      <c r="C314" s="1927"/>
      <c r="D314" s="1927"/>
      <c r="E314" s="1927"/>
      <c r="F314" s="1927"/>
      <c r="G314" s="1927"/>
      <c r="H314" s="1927"/>
    </row>
    <row r="315" spans="1:8">
      <c r="A315" s="1932" t="s">
        <v>1028</v>
      </c>
      <c r="B315" s="1927"/>
      <c r="C315" s="1927"/>
      <c r="D315" s="1927"/>
      <c r="E315" s="1927"/>
      <c r="F315" s="1927"/>
      <c r="G315" s="1927"/>
      <c r="H315" s="1927"/>
    </row>
    <row r="316" spans="1:8">
      <c r="A316" s="1932" t="s">
        <v>1029</v>
      </c>
      <c r="B316" s="1927"/>
      <c r="C316" s="1927"/>
      <c r="D316" s="1927"/>
      <c r="E316" s="1927"/>
      <c r="F316" s="1927"/>
      <c r="G316" s="1927"/>
      <c r="H316" s="1927"/>
    </row>
    <row r="317" spans="1:8">
      <c r="A317" s="1932" t="s">
        <v>1030</v>
      </c>
      <c r="B317" s="1927"/>
      <c r="C317" s="1927"/>
      <c r="D317" s="1927"/>
      <c r="E317" s="1927"/>
      <c r="F317" s="1927"/>
      <c r="G317" s="1927"/>
      <c r="H317" s="1927"/>
    </row>
    <row r="318" spans="1:8">
      <c r="A318" s="1927"/>
      <c r="B318" s="1927"/>
      <c r="C318" s="1927"/>
      <c r="D318" s="1927"/>
      <c r="E318" s="1927"/>
      <c r="F318" s="1927"/>
      <c r="G318" s="1927"/>
      <c r="H318" s="1927"/>
    </row>
    <row r="319" spans="1:8">
      <c r="A319" s="1932" t="s">
        <v>1010</v>
      </c>
      <c r="B319" s="1927"/>
      <c r="C319" s="1927"/>
      <c r="D319" s="1927"/>
      <c r="E319" s="1927"/>
      <c r="F319" s="1927"/>
      <c r="G319" s="1927"/>
      <c r="H319" s="1927"/>
    </row>
    <row r="320" spans="1:8">
      <c r="A320" s="1932" t="s">
        <v>1011</v>
      </c>
      <c r="B320" s="1927"/>
      <c r="C320" s="1927"/>
      <c r="D320" s="1927"/>
      <c r="E320" s="1927"/>
      <c r="F320" s="1927"/>
      <c r="G320" s="1927"/>
      <c r="H320" s="1927"/>
    </row>
    <row r="321" spans="1:8">
      <c r="A321" s="1932" t="s">
        <v>1012</v>
      </c>
      <c r="B321" s="1927"/>
      <c r="C321" s="1927"/>
      <c r="D321" s="1927"/>
      <c r="E321" s="1927"/>
      <c r="F321" s="1927"/>
      <c r="G321" s="1927"/>
      <c r="H321" s="1927"/>
    </row>
    <row r="322" spans="1:8">
      <c r="A322" s="1932" t="s">
        <v>1013</v>
      </c>
      <c r="B322" s="1927"/>
      <c r="C322" s="1927"/>
      <c r="D322" s="1927"/>
      <c r="E322" s="1927"/>
      <c r="F322" s="1927"/>
      <c r="G322" s="1927"/>
      <c r="H322" s="1927"/>
    </row>
    <row r="323" spans="1:8">
      <c r="A323" s="1932" t="s">
        <v>1014</v>
      </c>
      <c r="B323" s="1927"/>
      <c r="C323" s="1927"/>
      <c r="D323" s="1927"/>
      <c r="E323" s="1927"/>
      <c r="F323" s="1927"/>
      <c r="G323" s="1927"/>
      <c r="H323" s="1927"/>
    </row>
    <row r="324" spans="1:8">
      <c r="A324" s="1932" t="s">
        <v>1015</v>
      </c>
      <c r="B324" s="1927"/>
      <c r="C324" s="1927"/>
      <c r="D324" s="1927"/>
      <c r="E324" s="1927"/>
      <c r="F324" s="1927"/>
      <c r="G324" s="1927"/>
      <c r="H324" s="1927"/>
    </row>
    <row r="325" spans="1:8">
      <c r="A325" s="1932" t="s">
        <v>1016</v>
      </c>
      <c r="B325" s="1927"/>
      <c r="C325" s="1927"/>
      <c r="D325" s="1927"/>
      <c r="E325" s="1927"/>
      <c r="F325" s="1927"/>
      <c r="G325" s="1927"/>
      <c r="H325" s="1927"/>
    </row>
    <row r="326" spans="1:8">
      <c r="A326" s="1932" t="s">
        <v>1017</v>
      </c>
      <c r="B326" s="1927"/>
      <c r="C326" s="1927"/>
      <c r="D326" s="1927"/>
      <c r="E326" s="1927"/>
      <c r="F326" s="1927"/>
      <c r="G326" s="1927"/>
      <c r="H326" s="1927"/>
    </row>
    <row r="327" spans="1:8">
      <c r="A327" s="1927"/>
      <c r="B327" s="1927"/>
      <c r="C327" s="1927"/>
      <c r="D327" s="1927"/>
      <c r="E327" s="1927"/>
      <c r="F327" s="1927"/>
      <c r="G327" s="1927"/>
      <c r="H327" s="1927"/>
    </row>
    <row r="328" spans="1:8">
      <c r="A328" s="1932" t="s">
        <v>975</v>
      </c>
      <c r="B328" s="1927"/>
      <c r="C328" s="1927"/>
      <c r="D328" s="1927"/>
      <c r="E328" s="1927"/>
      <c r="F328" s="1927"/>
      <c r="G328" s="1927"/>
      <c r="H328" s="1927"/>
    </row>
    <row r="329" spans="1:8">
      <c r="A329" s="1932" t="s">
        <v>976</v>
      </c>
      <c r="B329" s="1927"/>
      <c r="C329" s="1927"/>
      <c r="D329" s="1927"/>
      <c r="E329" s="1927"/>
      <c r="F329" s="1927"/>
      <c r="G329" s="1927"/>
      <c r="H329" s="1927"/>
    </row>
    <row r="330" spans="1:8">
      <c r="A330" s="1932" t="s">
        <v>977</v>
      </c>
      <c r="B330" s="1927"/>
      <c r="C330" s="1927"/>
      <c r="D330" s="1927"/>
      <c r="E330" s="1927"/>
      <c r="F330" s="1927"/>
      <c r="G330" s="1927"/>
      <c r="H330" s="1927"/>
    </row>
    <row r="331" spans="1:8">
      <c r="A331" s="1932" t="s">
        <v>978</v>
      </c>
      <c r="B331" s="1927"/>
      <c r="C331" s="1927"/>
      <c r="D331" s="1927"/>
      <c r="E331" s="1927"/>
      <c r="F331" s="1927"/>
      <c r="G331" s="1927"/>
      <c r="H331" s="1927"/>
    </row>
    <row r="332" spans="1:8">
      <c r="A332" s="1932" t="s">
        <v>979</v>
      </c>
      <c r="B332" s="1927"/>
      <c r="C332" s="1927"/>
      <c r="D332" s="1927"/>
      <c r="E332" s="1927"/>
      <c r="F332" s="1927"/>
      <c r="G332" s="1927"/>
      <c r="H332" s="1927"/>
    </row>
    <row r="333" spans="1:8">
      <c r="A333" s="1932" t="s">
        <v>980</v>
      </c>
      <c r="B333" s="1927"/>
      <c r="C333" s="1927"/>
      <c r="D333" s="1927"/>
      <c r="E333" s="1927"/>
      <c r="F333" s="1927"/>
      <c r="G333" s="1927"/>
      <c r="H333" s="1927"/>
    </row>
    <row r="334" spans="1:8">
      <c r="A334" s="1932" t="s">
        <v>981</v>
      </c>
      <c r="B334" s="1927"/>
      <c r="C334" s="1927"/>
      <c r="D334" s="1927"/>
      <c r="E334" s="1927"/>
      <c r="F334" s="1927"/>
      <c r="G334" s="1927"/>
      <c r="H334" s="1927"/>
    </row>
    <row r="335" spans="1:8">
      <c r="A335" s="1932" t="s">
        <v>982</v>
      </c>
      <c r="B335" s="1927"/>
      <c r="C335" s="1927"/>
      <c r="D335" s="1927"/>
      <c r="E335" s="1927"/>
      <c r="F335" s="1927"/>
      <c r="G335" s="1927"/>
      <c r="H335" s="1927"/>
    </row>
    <row r="336" spans="1:8">
      <c r="A336" s="1932" t="s">
        <v>983</v>
      </c>
      <c r="B336" s="1927"/>
      <c r="C336" s="1927"/>
      <c r="D336" s="1927"/>
      <c r="E336" s="1927"/>
      <c r="F336" s="1927"/>
      <c r="G336" s="1927"/>
      <c r="H336" s="1927"/>
    </row>
    <row r="337" spans="1:8">
      <c r="A337" s="1932" t="s">
        <v>984</v>
      </c>
      <c r="B337" s="1927"/>
      <c r="C337" s="1927"/>
      <c r="D337" s="1927"/>
      <c r="E337" s="1927"/>
      <c r="F337" s="1927"/>
      <c r="G337" s="1927"/>
      <c r="H337" s="1927"/>
    </row>
    <row r="338" spans="1:8">
      <c r="A338" s="1932" t="s">
        <v>985</v>
      </c>
      <c r="B338" s="1927"/>
      <c r="C338" s="1927"/>
      <c r="D338" s="1927"/>
      <c r="E338" s="1927"/>
      <c r="F338" s="1927"/>
      <c r="G338" s="1927"/>
      <c r="H338" s="1927"/>
    </row>
    <row r="339" spans="1:8">
      <c r="A339" s="1932" t="s">
        <v>986</v>
      </c>
      <c r="B339" s="1927"/>
      <c r="C339" s="1927"/>
      <c r="D339" s="1927"/>
      <c r="E339" s="1927"/>
      <c r="F339" s="1927"/>
      <c r="G339" s="1927"/>
      <c r="H339" s="1927"/>
    </row>
    <row r="340" spans="1:8">
      <c r="A340" s="1932" t="s">
        <v>987</v>
      </c>
      <c r="B340" s="1927"/>
      <c r="C340" s="1927"/>
      <c r="D340" s="1927"/>
      <c r="E340" s="1927"/>
      <c r="F340" s="1927"/>
      <c r="G340" s="1927"/>
      <c r="H340" s="1927"/>
    </row>
    <row r="341" spans="1:8">
      <c r="A341" s="1932" t="s">
        <v>988</v>
      </c>
      <c r="B341" s="1927"/>
      <c r="C341" s="1927"/>
      <c r="D341" s="1927"/>
      <c r="E341" s="1927"/>
      <c r="F341" s="1927"/>
      <c r="G341" s="1927"/>
      <c r="H341" s="1927"/>
    </row>
    <row r="342" spans="1:8">
      <c r="A342" s="1932" t="s">
        <v>989</v>
      </c>
      <c r="B342" s="1927"/>
      <c r="C342" s="1927"/>
      <c r="D342" s="1927"/>
      <c r="E342" s="1927"/>
      <c r="F342" s="1927"/>
      <c r="G342" s="1927"/>
      <c r="H342" s="1927"/>
    </row>
    <row r="343" spans="1:8">
      <c r="A343" s="1932" t="s">
        <v>990</v>
      </c>
      <c r="B343" s="1927"/>
      <c r="C343" s="1927"/>
      <c r="D343" s="1927"/>
      <c r="E343" s="1927"/>
      <c r="F343" s="1927"/>
      <c r="G343" s="1927"/>
      <c r="H343" s="1927"/>
    </row>
    <row r="344" spans="1:8">
      <c r="A344" s="1932" t="s">
        <v>991</v>
      </c>
      <c r="B344" s="1927"/>
      <c r="C344" s="1927"/>
      <c r="D344" s="1927"/>
      <c r="E344" s="1927"/>
      <c r="F344" s="1927"/>
      <c r="G344" s="1927"/>
      <c r="H344" s="1927"/>
    </row>
    <row r="345" spans="1:8">
      <c r="A345" s="1932" t="s">
        <v>992</v>
      </c>
      <c r="B345" s="1927"/>
      <c r="C345" s="1927"/>
      <c r="D345" s="1927"/>
      <c r="E345" s="1927"/>
      <c r="F345" s="1927"/>
      <c r="G345" s="1927"/>
      <c r="H345" s="1927"/>
    </row>
    <row r="346" spans="1:8">
      <c r="A346" s="1932" t="s">
        <v>993</v>
      </c>
      <c r="B346" s="1927"/>
      <c r="C346" s="1927"/>
      <c r="D346" s="1927"/>
      <c r="E346" s="1927"/>
      <c r="F346" s="1927"/>
      <c r="G346" s="1927"/>
      <c r="H346" s="1927"/>
    </row>
    <row r="347" spans="1:8">
      <c r="A347" s="1932" t="s">
        <v>994</v>
      </c>
      <c r="B347" s="1927"/>
      <c r="C347" s="1927"/>
      <c r="D347" s="1927"/>
      <c r="E347" s="1927"/>
      <c r="F347" s="1927"/>
      <c r="G347" s="1927"/>
      <c r="H347" s="1927"/>
    </row>
    <row r="348" spans="1:8">
      <c r="A348" s="1932" t="s">
        <v>995</v>
      </c>
      <c r="B348" s="1927"/>
      <c r="C348" s="1927"/>
      <c r="D348" s="1927"/>
      <c r="E348" s="1927"/>
      <c r="F348" s="1927"/>
      <c r="G348" s="1927"/>
      <c r="H348" s="1927"/>
    </row>
    <row r="349" spans="1:8">
      <c r="A349" s="1932" t="s">
        <v>996</v>
      </c>
      <c r="B349" s="1927"/>
      <c r="C349" s="1927"/>
      <c r="D349" s="1927"/>
      <c r="E349" s="1927"/>
      <c r="F349" s="1927"/>
      <c r="G349" s="1927"/>
      <c r="H349" s="1927"/>
    </row>
    <row r="350" spans="1:8">
      <c r="A350" s="1932" t="s">
        <v>997</v>
      </c>
      <c r="B350" s="1927"/>
      <c r="C350" s="1927"/>
      <c r="D350" s="1927"/>
      <c r="E350" s="1927"/>
      <c r="F350" s="1927"/>
      <c r="G350" s="1927"/>
      <c r="H350" s="1927"/>
    </row>
    <row r="351" spans="1:8">
      <c r="A351" s="1932" t="s">
        <v>998</v>
      </c>
      <c r="B351" s="1927"/>
      <c r="C351" s="1927"/>
      <c r="D351" s="1927"/>
      <c r="E351" s="1927"/>
      <c r="F351" s="1927"/>
      <c r="G351" s="1927"/>
      <c r="H351" s="1927"/>
    </row>
    <row r="352" spans="1:8">
      <c r="A352" s="1932" t="s">
        <v>999</v>
      </c>
      <c r="B352" s="1927"/>
      <c r="C352" s="1927"/>
      <c r="D352" s="1927"/>
      <c r="E352" s="1927"/>
      <c r="F352" s="1927"/>
      <c r="G352" s="1927"/>
      <c r="H352" s="1927"/>
    </row>
    <row r="353" spans="1:8">
      <c r="A353" s="1932" t="s">
        <v>1000</v>
      </c>
      <c r="B353" s="1927"/>
      <c r="C353" s="1927"/>
      <c r="D353" s="1927"/>
      <c r="E353" s="1927"/>
      <c r="F353" s="1927"/>
      <c r="G353" s="1927"/>
      <c r="H353" s="1927"/>
    </row>
    <row r="354" spans="1:8">
      <c r="A354" s="1932" t="s">
        <v>1001</v>
      </c>
      <c r="B354" s="1927"/>
      <c r="C354" s="1927"/>
      <c r="D354" s="1927"/>
      <c r="E354" s="1927"/>
      <c r="F354" s="1927"/>
      <c r="G354" s="1927"/>
      <c r="H354" s="1927"/>
    </row>
    <row r="355" spans="1:8">
      <c r="A355" s="1932" t="s">
        <v>1002</v>
      </c>
      <c r="B355" s="1927"/>
      <c r="C355" s="1927"/>
      <c r="D355" s="1927"/>
      <c r="E355" s="1927"/>
      <c r="F355" s="1927"/>
      <c r="G355" s="1927"/>
      <c r="H355" s="1927"/>
    </row>
    <row r="356" spans="1:8">
      <c r="A356" s="1932" t="s">
        <v>1003</v>
      </c>
      <c r="B356" s="1927"/>
      <c r="C356" s="1927"/>
      <c r="D356" s="1927"/>
      <c r="E356" s="1927"/>
      <c r="F356" s="1927"/>
      <c r="G356" s="1927"/>
      <c r="H356" s="1927"/>
    </row>
    <row r="357" spans="1:8">
      <c r="A357" s="1932" t="s">
        <v>1004</v>
      </c>
      <c r="B357" s="1927"/>
      <c r="C357" s="1927"/>
      <c r="D357" s="1927"/>
      <c r="E357" s="1927"/>
      <c r="F357" s="1927"/>
      <c r="G357" s="1927"/>
      <c r="H357" s="1927"/>
    </row>
    <row r="358" spans="1:8">
      <c r="A358" s="1932" t="s">
        <v>1005</v>
      </c>
      <c r="B358" s="1927"/>
      <c r="C358" s="1927"/>
      <c r="D358" s="1927"/>
      <c r="E358" s="1927"/>
      <c r="F358" s="1927"/>
      <c r="G358" s="1927"/>
      <c r="H358" s="1927"/>
    </row>
    <row r="359" spans="1:8">
      <c r="A359" s="1932" t="s">
        <v>1006</v>
      </c>
      <c r="B359" s="1927"/>
      <c r="C359" s="1927"/>
      <c r="D359" s="1927"/>
      <c r="E359" s="1927"/>
      <c r="F359" s="1927"/>
      <c r="G359" s="1927"/>
      <c r="H359" s="1927"/>
    </row>
    <row r="360" spans="1:8">
      <c r="A360" s="1932" t="s">
        <v>1007</v>
      </c>
      <c r="B360" s="1927"/>
      <c r="C360" s="1927"/>
      <c r="D360" s="1927"/>
      <c r="E360" s="1927"/>
      <c r="F360" s="1927"/>
      <c r="G360" s="1927"/>
      <c r="H360" s="1927"/>
    </row>
    <row r="361" spans="1:8">
      <c r="A361" s="1932" t="s">
        <v>1008</v>
      </c>
      <c r="B361" s="1927"/>
      <c r="C361" s="1927"/>
      <c r="D361" s="1927"/>
      <c r="E361" s="1927"/>
      <c r="F361" s="1927"/>
      <c r="G361" s="1927"/>
      <c r="H361" s="1927"/>
    </row>
    <row r="362" spans="1:8">
      <c r="A362" s="1932" t="s">
        <v>1009</v>
      </c>
      <c r="B362" s="1927"/>
      <c r="C362" s="1927"/>
      <c r="D362" s="1927"/>
      <c r="E362" s="1927"/>
      <c r="F362" s="1927"/>
      <c r="G362" s="1927"/>
      <c r="H362" s="1927"/>
    </row>
    <row r="363" spans="1:8">
      <c r="A363" s="1927"/>
      <c r="B363" s="1927"/>
      <c r="C363" s="1927"/>
      <c r="D363" s="1927"/>
      <c r="E363" s="1927"/>
      <c r="F363" s="1927"/>
      <c r="G363" s="1927"/>
      <c r="H363" s="1927"/>
    </row>
    <row r="364" spans="1:8">
      <c r="A364" s="1932" t="s">
        <v>967</v>
      </c>
      <c r="B364" s="1927"/>
      <c r="C364" s="1927"/>
      <c r="D364" s="1927"/>
      <c r="E364" s="1927"/>
      <c r="F364" s="1927"/>
      <c r="G364" s="1927"/>
      <c r="H364" s="1927"/>
    </row>
    <row r="365" spans="1:8">
      <c r="A365" s="1932" t="s">
        <v>971</v>
      </c>
      <c r="B365" s="1927"/>
      <c r="C365" s="1927"/>
      <c r="D365" s="1927"/>
      <c r="E365" s="1927"/>
      <c r="F365" s="1927"/>
      <c r="G365" s="1927"/>
      <c r="H365" s="1927"/>
    </row>
    <row r="366" spans="1:8">
      <c r="A366" s="1932" t="s">
        <v>972</v>
      </c>
      <c r="B366" s="1927"/>
      <c r="C366" s="1927"/>
      <c r="D366" s="1927"/>
      <c r="E366" s="1927"/>
      <c r="F366" s="1927"/>
      <c r="G366" s="1927"/>
      <c r="H366" s="1927"/>
    </row>
    <row r="367" spans="1:8">
      <c r="A367" s="1932" t="s">
        <v>973</v>
      </c>
      <c r="B367" s="1927"/>
      <c r="C367" s="1927"/>
      <c r="D367" s="1927"/>
      <c r="E367" s="1927"/>
      <c r="F367" s="1927"/>
      <c r="G367" s="1927"/>
      <c r="H367" s="1927"/>
    </row>
    <row r="368" spans="1:8">
      <c r="A368" s="1932" t="s">
        <v>974</v>
      </c>
      <c r="B368" s="1927"/>
      <c r="C368" s="1927"/>
      <c r="D368" s="1927"/>
      <c r="E368" s="1927"/>
      <c r="F368" s="1927"/>
      <c r="G368" s="1927"/>
      <c r="H368" s="1927"/>
    </row>
    <row r="369" spans="1:8">
      <c r="A369" s="1927"/>
      <c r="B369" s="1927"/>
      <c r="C369" s="1927"/>
      <c r="D369" s="1927"/>
      <c r="E369" s="1927"/>
      <c r="F369" s="1927"/>
      <c r="G369" s="1927"/>
      <c r="H369" s="1927"/>
    </row>
    <row r="370" spans="1:8">
      <c r="A370" s="1932" t="s">
        <v>967</v>
      </c>
      <c r="B370" s="1927"/>
      <c r="C370" s="1927"/>
      <c r="D370" s="1927"/>
      <c r="E370" s="1927"/>
      <c r="F370" s="1927"/>
      <c r="G370" s="1927"/>
      <c r="H370" s="1927"/>
    </row>
    <row r="371" spans="1:8">
      <c r="A371" s="1932" t="s">
        <v>968</v>
      </c>
      <c r="B371" s="1927"/>
      <c r="C371" s="1927"/>
      <c r="D371" s="1927"/>
      <c r="E371" s="1927"/>
      <c r="F371" s="1927"/>
      <c r="G371" s="1927"/>
      <c r="H371" s="1927"/>
    </row>
    <row r="372" spans="1:8">
      <c r="A372" s="1932" t="s">
        <v>969</v>
      </c>
      <c r="B372" s="1927"/>
      <c r="C372" s="1927"/>
      <c r="D372" s="1927"/>
      <c r="E372" s="1927"/>
      <c r="F372" s="1927"/>
      <c r="G372" s="1927"/>
      <c r="H372" s="1927"/>
    </row>
    <row r="373" spans="1:8">
      <c r="A373" s="1932" t="s">
        <v>970</v>
      </c>
      <c r="B373" s="1927"/>
      <c r="C373" s="1927"/>
      <c r="D373" s="1927"/>
      <c r="E373" s="1927"/>
      <c r="F373" s="1927"/>
      <c r="G373" s="1927"/>
      <c r="H373" s="1927"/>
    </row>
    <row r="374" spans="1:8">
      <c r="A374" s="1927"/>
      <c r="B374" s="1927"/>
      <c r="C374" s="1927"/>
      <c r="D374" s="1927"/>
      <c r="E374" s="1927"/>
      <c r="F374" s="1927"/>
      <c r="G374" s="1927"/>
      <c r="H374" s="1927"/>
    </row>
    <row r="375" spans="1:8">
      <c r="A375" s="1932" t="s">
        <v>961</v>
      </c>
      <c r="B375" s="1927"/>
      <c r="C375" s="1927"/>
      <c r="D375" s="1927"/>
      <c r="E375" s="1927"/>
      <c r="F375" s="1927"/>
      <c r="G375" s="1927"/>
      <c r="H375" s="1927"/>
    </row>
    <row r="376" spans="1:8">
      <c r="A376" s="1932" t="s">
        <v>962</v>
      </c>
      <c r="B376" s="1927"/>
      <c r="C376" s="1927"/>
      <c r="D376" s="1927"/>
      <c r="E376" s="1927"/>
      <c r="F376" s="1927"/>
      <c r="G376" s="1927"/>
      <c r="H376" s="1927"/>
    </row>
    <row r="377" spans="1:8">
      <c r="A377" s="1932" t="s">
        <v>963</v>
      </c>
      <c r="B377" s="1927"/>
      <c r="C377" s="1927"/>
      <c r="D377" s="1927"/>
      <c r="E377" s="1927"/>
      <c r="F377" s="1927"/>
      <c r="G377" s="1927"/>
      <c r="H377" s="1927"/>
    </row>
    <row r="378" spans="1:8">
      <c r="A378" s="1932" t="s">
        <v>964</v>
      </c>
      <c r="B378" s="1927"/>
      <c r="C378" s="1927"/>
      <c r="D378" s="1927"/>
      <c r="E378" s="1927"/>
      <c r="F378" s="1927"/>
      <c r="G378" s="1927"/>
      <c r="H378" s="1927"/>
    </row>
    <row r="379" spans="1:8">
      <c r="A379" s="1932" t="s">
        <v>965</v>
      </c>
      <c r="B379" s="1927"/>
      <c r="C379" s="1927"/>
      <c r="D379" s="1927"/>
      <c r="E379" s="1927"/>
      <c r="F379" s="1927"/>
      <c r="G379" s="1927"/>
      <c r="H379" s="1927"/>
    </row>
    <row r="380" spans="1:8">
      <c r="A380" s="1932" t="s">
        <v>966</v>
      </c>
      <c r="B380" s="1927"/>
      <c r="C380" s="1927"/>
      <c r="D380" s="1927"/>
      <c r="E380" s="1927"/>
      <c r="F380" s="1927"/>
      <c r="G380" s="1927"/>
      <c r="H380" s="1927"/>
    </row>
    <row r="381" spans="1:8">
      <c r="A381" s="1927"/>
      <c r="B381" s="1927"/>
      <c r="C381" s="1927"/>
      <c r="D381" s="1927"/>
      <c r="E381" s="1927"/>
      <c r="F381" s="1927"/>
      <c r="G381" s="1927"/>
      <c r="H381" s="1927"/>
    </row>
    <row r="382" spans="1:8">
      <c r="A382" s="1932" t="s">
        <v>956</v>
      </c>
      <c r="B382" s="1927"/>
      <c r="C382" s="1927"/>
      <c r="D382" s="1927"/>
      <c r="E382" s="1927"/>
      <c r="F382" s="1927"/>
      <c r="G382" s="1927"/>
      <c r="H382" s="1927"/>
    </row>
    <row r="383" spans="1:8">
      <c r="A383" s="1932" t="s">
        <v>957</v>
      </c>
      <c r="B383" s="1927"/>
      <c r="C383" s="1927"/>
      <c r="D383" s="1927"/>
      <c r="E383" s="1927"/>
      <c r="F383" s="1927"/>
      <c r="G383" s="1927"/>
      <c r="H383" s="1927"/>
    </row>
    <row r="384" spans="1:8">
      <c r="A384" s="1932" t="s">
        <v>958</v>
      </c>
      <c r="B384" s="1927"/>
      <c r="C384" s="1927"/>
      <c r="D384" s="1927"/>
      <c r="E384" s="1927"/>
      <c r="F384" s="1927"/>
      <c r="G384" s="1927"/>
      <c r="H384" s="1927"/>
    </row>
    <row r="385" spans="1:8">
      <c r="A385" s="1932" t="s">
        <v>959</v>
      </c>
      <c r="B385" s="1927"/>
      <c r="C385" s="1927"/>
      <c r="D385" s="1927"/>
      <c r="E385" s="1927"/>
      <c r="F385" s="1927"/>
      <c r="G385" s="1927"/>
      <c r="H385" s="1927"/>
    </row>
    <row r="386" spans="1:8">
      <c r="A386" s="1932" t="s">
        <v>960</v>
      </c>
      <c r="B386" s="1927"/>
      <c r="C386" s="1927"/>
      <c r="D386" s="1927"/>
      <c r="E386" s="1927"/>
      <c r="F386" s="1927"/>
      <c r="G386" s="1927"/>
      <c r="H386" s="1927"/>
    </row>
    <row r="387" spans="1:8">
      <c r="A387" s="1927"/>
      <c r="B387" s="1927"/>
      <c r="C387" s="1927"/>
      <c r="D387" s="1927"/>
      <c r="E387" s="1927"/>
      <c r="F387" s="1927"/>
      <c r="G387" s="1927"/>
      <c r="H387" s="1927"/>
    </row>
    <row r="388" spans="1:8">
      <c r="A388" s="1932" t="s">
        <v>954</v>
      </c>
      <c r="B388" s="1927"/>
      <c r="C388" s="1927"/>
      <c r="D388" s="1927"/>
      <c r="E388" s="1927"/>
      <c r="F388" s="1927"/>
      <c r="G388" s="1927"/>
      <c r="H388" s="1927"/>
    </row>
    <row r="389" spans="1:8">
      <c r="A389" s="1932" t="s">
        <v>955</v>
      </c>
      <c r="B389" s="1927"/>
      <c r="C389" s="1927"/>
      <c r="D389" s="1927"/>
      <c r="E389" s="1927"/>
      <c r="F389" s="1927"/>
      <c r="G389" s="1927"/>
      <c r="H389" s="1927"/>
    </row>
    <row r="391" spans="1:8">
      <c r="A391" s="1928" t="s">
        <v>1210</v>
      </c>
    </row>
  </sheetData>
  <mergeCells count="12">
    <mergeCell ref="A114:H114"/>
    <mergeCell ref="A121:H121"/>
    <mergeCell ref="A108:H108"/>
    <mergeCell ref="A109:H109"/>
    <mergeCell ref="A110:H110"/>
    <mergeCell ref="A111:H111"/>
    <mergeCell ref="A113:H113"/>
    <mergeCell ref="A129:H129"/>
    <mergeCell ref="A130:H130"/>
    <mergeCell ref="B122:C122"/>
    <mergeCell ref="D122:F122"/>
    <mergeCell ref="G122:H122"/>
  </mergeCells>
  <pageMargins left="0.5" right="0.5" top="0.5" bottom="0.5" header="0.5" footer="0.5"/>
  <pageSetup orientation="portrait" horizont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theme="9"/>
    <pageSetUpPr fitToPage="1"/>
  </sheetPr>
  <dimension ref="A1:Q89"/>
  <sheetViews>
    <sheetView showGridLines="0" workbookViewId="0">
      <selection activeCell="K3" sqref="K3"/>
    </sheetView>
  </sheetViews>
  <sheetFormatPr defaultRowHeight="12.75" outlineLevelRow="1" outlineLevelCol="1"/>
  <cols>
    <col min="1" max="1" width="1.7109375" customWidth="1"/>
    <col min="2" max="2" width="25" customWidth="1"/>
    <col min="3" max="9" width="8.5703125" customWidth="1" outlineLevel="1"/>
    <col min="10" max="10" width="8.5703125" customWidth="1"/>
    <col min="11" max="12" width="7.7109375" customWidth="1"/>
    <col min="16" max="16" width="9.5703125" customWidth="1"/>
    <col min="17" max="17" width="17.7109375" bestFit="1" customWidth="1"/>
  </cols>
  <sheetData>
    <row r="1" spans="1:15">
      <c r="A1" s="33" t="s">
        <v>2</v>
      </c>
      <c r="B1" s="34"/>
      <c r="C1" s="34"/>
      <c r="D1" s="34"/>
      <c r="E1" s="34"/>
      <c r="F1" s="34"/>
      <c r="G1" s="34"/>
      <c r="H1" s="34"/>
      <c r="I1" s="34"/>
      <c r="J1" s="34"/>
      <c r="K1" s="35"/>
      <c r="L1" s="1121"/>
      <c r="M1" s="34"/>
      <c r="N1" s="34"/>
      <c r="O1" s="34" t="s">
        <v>3</v>
      </c>
    </row>
    <row r="2" spans="1:15">
      <c r="A2" s="33"/>
      <c r="B2" s="34"/>
      <c r="C2" s="34"/>
      <c r="D2" s="34"/>
      <c r="E2" s="34"/>
      <c r="F2" s="34"/>
      <c r="G2" s="34"/>
      <c r="H2" s="34"/>
      <c r="I2" s="34"/>
      <c r="J2" s="36"/>
      <c r="K2" s="35"/>
      <c r="L2" s="35"/>
      <c r="M2" s="34"/>
      <c r="N2" s="34"/>
      <c r="O2" s="34" t="s">
        <v>329</v>
      </c>
    </row>
    <row r="3" spans="1:15" ht="13.5" thickBot="1">
      <c r="A3" s="33"/>
      <c r="B3" s="34"/>
      <c r="C3" s="34"/>
      <c r="D3" s="34"/>
      <c r="E3" s="34"/>
      <c r="F3" s="34"/>
      <c r="G3" s="34"/>
      <c r="H3" s="34"/>
      <c r="I3" s="34"/>
      <c r="J3" s="34"/>
      <c r="K3" s="35"/>
      <c r="L3" s="35"/>
      <c r="M3" s="34"/>
      <c r="N3" s="34"/>
      <c r="O3" s="34" t="s">
        <v>4</v>
      </c>
    </row>
    <row r="4" spans="1:15" ht="13.5" thickBot="1">
      <c r="A4" s="34"/>
      <c r="B4" s="1486" t="s">
        <v>329</v>
      </c>
      <c r="C4" s="34"/>
      <c r="D4" s="34"/>
      <c r="E4" s="34"/>
      <c r="F4" s="34"/>
      <c r="G4" s="34"/>
      <c r="H4" s="34"/>
      <c r="I4" s="34"/>
      <c r="J4" s="34"/>
      <c r="K4" s="35"/>
      <c r="L4" s="35"/>
      <c r="M4" s="35"/>
      <c r="N4" s="34"/>
      <c r="O4" s="34"/>
    </row>
    <row r="5" spans="1:15" ht="13.5" customHeight="1">
      <c r="A5" s="34"/>
      <c r="B5" s="34"/>
      <c r="C5" s="34"/>
      <c r="D5" s="34"/>
      <c r="E5" s="34"/>
      <c r="F5" s="34"/>
      <c r="G5" s="34"/>
      <c r="H5" s="34"/>
      <c r="I5" s="34"/>
      <c r="J5" s="34"/>
      <c r="K5" s="1409"/>
      <c r="L5" s="1409"/>
      <c r="M5" s="1284"/>
      <c r="N5" s="1284"/>
      <c r="O5" s="1284"/>
    </row>
    <row r="6" spans="1:15">
      <c r="A6" s="939"/>
      <c r="B6" s="939" t="s">
        <v>655</v>
      </c>
      <c r="C6" s="940" t="s">
        <v>584</v>
      </c>
      <c r="D6" s="940" t="s">
        <v>585</v>
      </c>
      <c r="E6" s="940" t="s">
        <v>586</v>
      </c>
      <c r="F6" s="940" t="s">
        <v>587</v>
      </c>
      <c r="G6" s="940" t="s">
        <v>588</v>
      </c>
      <c r="H6" s="940" t="s">
        <v>589</v>
      </c>
      <c r="I6" s="940" t="s">
        <v>590</v>
      </c>
      <c r="J6" s="940" t="s">
        <v>591</v>
      </c>
      <c r="K6" s="1408" t="s">
        <v>592</v>
      </c>
      <c r="L6" s="1408" t="s">
        <v>292</v>
      </c>
      <c r="M6" s="903"/>
      <c r="N6" s="903"/>
      <c r="O6" s="903"/>
    </row>
    <row r="7" spans="1:15">
      <c r="A7" s="34"/>
      <c r="B7" s="34"/>
      <c r="C7" s="1">
        <v>2010</v>
      </c>
      <c r="D7" s="1">
        <v>2011</v>
      </c>
      <c r="E7" s="1">
        <v>2012</v>
      </c>
      <c r="F7" s="1">
        <v>2013</v>
      </c>
      <c r="G7" s="1">
        <v>2014</v>
      </c>
      <c r="H7" s="1">
        <v>2015</v>
      </c>
      <c r="I7" s="1">
        <v>2016</v>
      </c>
      <c r="J7" s="1819">
        <v>2017</v>
      </c>
      <c r="K7" s="37">
        <v>2018</v>
      </c>
      <c r="L7" s="37">
        <v>2019</v>
      </c>
      <c r="M7" s="35"/>
      <c r="N7" s="35"/>
      <c r="O7" s="35"/>
    </row>
    <row r="8" spans="1:15">
      <c r="A8" s="34"/>
      <c r="B8" s="34" t="s">
        <v>293</v>
      </c>
      <c r="C8" s="914">
        <v>40543</v>
      </c>
      <c r="D8" s="914">
        <v>40908</v>
      </c>
      <c r="E8" s="914">
        <v>41274</v>
      </c>
      <c r="F8" s="914">
        <v>41639</v>
      </c>
      <c r="G8" s="914">
        <v>42004</v>
      </c>
      <c r="H8" s="914">
        <v>42369</v>
      </c>
      <c r="I8" s="914">
        <v>42735</v>
      </c>
      <c r="J8" s="1820">
        <v>43100</v>
      </c>
      <c r="K8" s="38">
        <v>43465</v>
      </c>
      <c r="L8" s="38">
        <v>43830</v>
      </c>
      <c r="M8" s="35"/>
      <c r="N8" s="1821" t="s">
        <v>904</v>
      </c>
      <c r="O8" s="1821" t="s">
        <v>907</v>
      </c>
    </row>
    <row r="9" spans="1:15">
      <c r="A9" s="34"/>
      <c r="B9" s="34" t="s">
        <v>241</v>
      </c>
      <c r="C9" s="918">
        <f>'Revenue Drivers'!AZ10</f>
        <v>663.3</v>
      </c>
      <c r="D9" s="918">
        <f>'Revenue Drivers'!BE10</f>
        <v>749.5</v>
      </c>
      <c r="E9" s="918">
        <f>'Revenue Drivers'!BJ10</f>
        <v>785.7</v>
      </c>
      <c r="F9" s="918">
        <f t="shared" ref="F9:L9" si="0">E9*(1+F10)</f>
        <v>768.6</v>
      </c>
      <c r="G9" s="918">
        <f t="shared" si="0"/>
        <v>795.6</v>
      </c>
      <c r="H9" s="918">
        <f t="shared" si="0"/>
        <v>792.3</v>
      </c>
      <c r="I9" s="918">
        <f t="shared" si="0"/>
        <v>764.9</v>
      </c>
      <c r="J9" s="919">
        <f t="shared" si="0"/>
        <v>836.7</v>
      </c>
      <c r="K9" s="920">
        <f t="shared" si="0"/>
        <v>944.99867962499991</v>
      </c>
      <c r="L9" s="920">
        <f t="shared" si="0"/>
        <v>1040.8791003661299</v>
      </c>
      <c r="M9" s="42"/>
      <c r="N9" s="943">
        <f>(L9/I9)^(1/3)-1</f>
        <v>0.10814997890642175</v>
      </c>
      <c r="O9" s="943">
        <f>(L9/G9)^(1/5)-1</f>
        <v>5.5215356397022131E-2</v>
      </c>
    </row>
    <row r="10" spans="1:15">
      <c r="A10" s="35"/>
      <c r="B10" s="40" t="s">
        <v>294</v>
      </c>
      <c r="C10" s="921"/>
      <c r="D10" s="921">
        <f>D9/C9-1</f>
        <v>0.12995627921001063</v>
      </c>
      <c r="E10" s="921">
        <f>E9/D9-1</f>
        <v>4.8298865910607169E-2</v>
      </c>
      <c r="F10" s="921">
        <f t="shared" ref="F10:L10" si="1">IF($B$4="Bear",F54,(IF($B$4="Bull",F56,F55)))</f>
        <v>-2.1764032073310458E-2</v>
      </c>
      <c r="G10" s="921">
        <f t="shared" si="1"/>
        <v>3.5128805620608938E-2</v>
      </c>
      <c r="H10" s="921">
        <f t="shared" si="1"/>
        <v>-4.1478129713424794E-3</v>
      </c>
      <c r="I10" s="921">
        <f>IF($B$4="Bear",I54,(IF($B$4="Bull",I56,I55)))</f>
        <v>-3.4582860027767226E-2</v>
      </c>
      <c r="J10" s="1287">
        <f t="shared" si="1"/>
        <v>9.3868479539809258E-2</v>
      </c>
      <c r="K10" s="917">
        <f t="shared" si="1"/>
        <v>0.1294354961455717</v>
      </c>
      <c r="L10" s="917">
        <f t="shared" si="1"/>
        <v>0.10146090445245681</v>
      </c>
      <c r="M10" s="1121"/>
      <c r="N10" s="903"/>
      <c r="O10" s="906"/>
    </row>
    <row r="11" spans="1:15">
      <c r="A11" s="34"/>
      <c r="B11" s="34" t="s">
        <v>242</v>
      </c>
      <c r="C11" s="918">
        <f>C13-C9</f>
        <v>2171.2999999999993</v>
      </c>
      <c r="D11" s="918">
        <f>D13-D9</f>
        <v>2320.6999999999998</v>
      </c>
      <c r="E11" s="918">
        <f>E13-E9</f>
        <v>2318</v>
      </c>
      <c r="F11" s="918">
        <f t="shared" ref="F11:L11" si="2">E11*(1+F12)</f>
        <v>1857.3000000000002</v>
      </c>
      <c r="G11" s="918">
        <f t="shared" si="2"/>
        <v>1807.5</v>
      </c>
      <c r="H11" s="918">
        <f t="shared" si="2"/>
        <v>2303</v>
      </c>
      <c r="I11" s="918">
        <f t="shared" si="2"/>
        <v>3176.1</v>
      </c>
      <c r="J11" s="919">
        <f t="shared" si="2"/>
        <v>4173.9000000000005</v>
      </c>
      <c r="K11" s="920">
        <f t="shared" si="2"/>
        <v>5369.5280454030326</v>
      </c>
      <c r="L11" s="920">
        <f t="shared" si="2"/>
        <v>6595.0602351684529</v>
      </c>
      <c r="M11" s="42"/>
      <c r="N11" s="943">
        <f>(L11/I11)^(1/3)-1</f>
        <v>0.27577728759196263</v>
      </c>
      <c r="O11" s="943">
        <f>(L11/G11)^(1/5)-1</f>
        <v>0.29547218317666957</v>
      </c>
    </row>
    <row r="12" spans="1:15">
      <c r="A12" s="35"/>
      <c r="B12" s="40" t="s">
        <v>294</v>
      </c>
      <c r="C12" s="921"/>
      <c r="D12" s="921">
        <f>D11/C11-1</f>
        <v>6.8806705660203749E-2</v>
      </c>
      <c r="E12" s="921">
        <f>E11/D11-1</f>
        <v>-1.1634420648941601E-3</v>
      </c>
      <c r="F12" s="921">
        <f t="shared" ref="F12:K12" si="3">IF($B$4="Bear",F58,(IF($B$4="Bull",F60,F59)))</f>
        <v>-0.19874892148403789</v>
      </c>
      <c r="G12" s="921">
        <f t="shared" si="3"/>
        <v>-2.6813115813277388E-2</v>
      </c>
      <c r="H12" s="921">
        <f t="shared" si="3"/>
        <v>0.27413554633471637</v>
      </c>
      <c r="I12" s="921">
        <f>IF($B$4="Bear",I58,(IF($B$4="Bull",I60,I59)))</f>
        <v>0.37911419887103781</v>
      </c>
      <c r="J12" s="1287">
        <f t="shared" si="3"/>
        <v>0.31415887409086629</v>
      </c>
      <c r="K12" s="917">
        <f t="shared" si="3"/>
        <v>0.28645344771150039</v>
      </c>
      <c r="L12" s="917">
        <f>IF($B$4="Bear",L58,(IF($B$4="Bull",L60,L59)))</f>
        <v>0.22823834411566657</v>
      </c>
      <c r="M12" s="1121"/>
      <c r="N12" s="903"/>
      <c r="O12" s="906"/>
    </row>
    <row r="13" spans="1:15">
      <c r="A13" s="34"/>
      <c r="B13" s="34" t="s">
        <v>64</v>
      </c>
      <c r="C13" s="918">
        <f>'Revenue Drivers'!AZ7</f>
        <v>2834.5999999999995</v>
      </c>
      <c r="D13" s="918">
        <f>'Revenue Drivers'!BE7</f>
        <v>3070.2</v>
      </c>
      <c r="E13" s="918">
        <f>'Revenue Drivers'!BJ7</f>
        <v>3103.7</v>
      </c>
      <c r="F13" s="918">
        <f t="shared" ref="F13:K13" si="4">F11+F9</f>
        <v>2625.9</v>
      </c>
      <c r="G13" s="918">
        <f t="shared" si="4"/>
        <v>2603.1</v>
      </c>
      <c r="H13" s="918">
        <f t="shared" si="4"/>
        <v>3095.3</v>
      </c>
      <c r="I13" s="918">
        <f t="shared" si="4"/>
        <v>3941</v>
      </c>
      <c r="J13" s="919">
        <f t="shared" si="4"/>
        <v>5010.6000000000004</v>
      </c>
      <c r="K13" s="920">
        <f t="shared" si="4"/>
        <v>6314.5267250280322</v>
      </c>
      <c r="L13" s="920">
        <f>L11+L9</f>
        <v>7635.9393355345828</v>
      </c>
      <c r="M13" s="42"/>
      <c r="N13" s="943">
        <f>(L13/I13)^(1/3)-1</f>
        <v>0.24667144340780189</v>
      </c>
      <c r="O13" s="943">
        <f>(L13/G13)^(1/5)-1</f>
        <v>0.24015030224881473</v>
      </c>
    </row>
    <row r="14" spans="1:15">
      <c r="A14" s="35"/>
      <c r="B14" s="40" t="s">
        <v>294</v>
      </c>
      <c r="C14" s="921"/>
      <c r="D14" s="921">
        <f>D13/C13-1</f>
        <v>8.3115783532068166E-2</v>
      </c>
      <c r="E14" s="921">
        <f t="shared" ref="E14:L14" si="5">E13/D13-1</f>
        <v>1.0911341280698261E-2</v>
      </c>
      <c r="F14" s="921">
        <f t="shared" si="5"/>
        <v>-0.15394529110416588</v>
      </c>
      <c r="G14" s="921">
        <f t="shared" si="5"/>
        <v>-8.6827373471952685E-3</v>
      </c>
      <c r="H14" s="921">
        <f t="shared" si="5"/>
        <v>0.18908224808881724</v>
      </c>
      <c r="I14" s="921">
        <f t="shared" si="5"/>
        <v>0.27322068943236522</v>
      </c>
      <c r="J14" s="1287">
        <f t="shared" si="5"/>
        <v>0.2714031971580817</v>
      </c>
      <c r="K14" s="921">
        <f t="shared" si="5"/>
        <v>0.26023364966830953</v>
      </c>
      <c r="L14" s="921">
        <f t="shared" si="5"/>
        <v>0.2092655028711885</v>
      </c>
      <c r="M14" s="942"/>
      <c r="N14" s="943"/>
      <c r="O14" s="906"/>
    </row>
    <row r="15" spans="1:15">
      <c r="A15" s="35"/>
      <c r="B15" s="1328" t="s">
        <v>911</v>
      </c>
      <c r="C15" s="918">
        <f>'Revenue Drivers'!AZ17</f>
        <v>402</v>
      </c>
      <c r="D15" s="918">
        <f>'Revenue Drivers'!BE17</f>
        <v>594.69999999999993</v>
      </c>
      <c r="E15" s="918">
        <f>'Revenue Drivers'!BJ17</f>
        <v>803.8</v>
      </c>
      <c r="F15" s="918">
        <f t="shared" ref="F15:L15" si="6">E15*(1+F16)</f>
        <v>1015.9999999999999</v>
      </c>
      <c r="G15" s="918">
        <f t="shared" si="6"/>
        <v>1170.3</v>
      </c>
      <c r="H15" s="918">
        <f t="shared" si="6"/>
        <v>1358.7</v>
      </c>
      <c r="I15" s="918">
        <f t="shared" si="6"/>
        <v>1631.4</v>
      </c>
      <c r="J15" s="919">
        <f t="shared" si="6"/>
        <v>2030.4000000000003</v>
      </c>
      <c r="K15" s="920">
        <f t="shared" si="6"/>
        <v>2346.7442507176288</v>
      </c>
      <c r="L15" s="920">
        <f t="shared" si="6"/>
        <v>2704.0311100578638</v>
      </c>
      <c r="M15" s="42"/>
      <c r="N15" s="943">
        <f>(L15/I15)^(1/3)-1</f>
        <v>0.18345134791207451</v>
      </c>
      <c r="O15" s="943">
        <f>(L15/G15)^(1/5)-1</f>
        <v>0.18234139722839005</v>
      </c>
    </row>
    <row r="16" spans="1:15">
      <c r="A16" s="35"/>
      <c r="B16" s="40" t="s">
        <v>294</v>
      </c>
      <c r="C16" s="921"/>
      <c r="D16" s="921">
        <f>D15/C15-1</f>
        <v>0.47935323383084549</v>
      </c>
      <c r="E16" s="921">
        <f>E15/D15-1</f>
        <v>0.35160585168992786</v>
      </c>
      <c r="F16" s="921">
        <f>IF($B$4="Bear",F62,(IF($B$4="Bull",F64,F63)))</f>
        <v>0.26399601891017666</v>
      </c>
      <c r="G16" s="921">
        <f t="shared" ref="G16:K16" si="7">IF($B$4="Bear",G62,(IF($B$4="Bull",G64,G63)))</f>
        <v>0.15187007874015745</v>
      </c>
      <c r="H16" s="921">
        <f t="shared" si="7"/>
        <v>0.16098436298385033</v>
      </c>
      <c r="I16" s="921">
        <f t="shared" si="7"/>
        <v>0.20070655773901525</v>
      </c>
      <c r="J16" s="1287">
        <f>IF($B$4="Bear",J62,(IF($B$4="Bull",J64,J63)))</f>
        <v>0.24457521147480699</v>
      </c>
      <c r="K16" s="917">
        <f t="shared" si="7"/>
        <v>0.15580390598779958</v>
      </c>
      <c r="L16" s="917">
        <f>IF($B$4="Bear",L62,(IF($B$4="Bull",L64,L63)))</f>
        <v>0.15224788948816115</v>
      </c>
      <c r="M16" s="942"/>
      <c r="N16" s="903"/>
      <c r="O16" s="906"/>
    </row>
    <row r="17" spans="1:15">
      <c r="A17" s="34"/>
      <c r="B17" s="34" t="s">
        <v>659</v>
      </c>
      <c r="C17" s="918">
        <f>'Revenue Drivers'!AZ21</f>
        <v>563.40000000000009</v>
      </c>
      <c r="D17" s="918">
        <f>'Revenue Drivers'!BE21</f>
        <v>551.40000000000009</v>
      </c>
      <c r="E17" s="918">
        <f>'Revenue Drivers'!BJ21</f>
        <v>497.8</v>
      </c>
      <c r="F17" s="918">
        <f>'Revenue Drivers'!BO21</f>
        <v>413.19999999999993</v>
      </c>
      <c r="G17" s="918">
        <f>'Revenue Drivers'!BT21</f>
        <v>373.6</v>
      </c>
      <c r="H17" s="918">
        <f>'Revenue Drivers'!BY21</f>
        <v>341.6</v>
      </c>
      <c r="I17" s="918">
        <f>'Revenue Drivers'!CD21</f>
        <v>282</v>
      </c>
      <c r="J17" s="919">
        <f>'Revenue Drivers'!CI21</f>
        <v>260.5</v>
      </c>
      <c r="K17" s="918">
        <f>'Revenue Drivers'!CN21</f>
        <v>233.91099847197978</v>
      </c>
      <c r="L17" s="918">
        <f>'Revenue Drivers'!CS21</f>
        <v>194.27388852828591</v>
      </c>
      <c r="M17" s="42"/>
      <c r="N17" s="943">
        <f>(L17/I17)^(1/3)-1</f>
        <v>-0.11680803726214539</v>
      </c>
      <c r="O17" s="943">
        <f>(L17/G17)^(1/5)-1</f>
        <v>-0.12259215515810218</v>
      </c>
    </row>
    <row r="18" spans="1:15">
      <c r="A18" s="35"/>
      <c r="B18" s="903" t="s">
        <v>191</v>
      </c>
      <c r="C18" s="915">
        <f t="shared" ref="C18:K18" si="8">C13+C17+C15</f>
        <v>3799.9999999999995</v>
      </c>
      <c r="D18" s="915">
        <f t="shared" si="8"/>
        <v>4216.3</v>
      </c>
      <c r="E18" s="915">
        <f t="shared" si="8"/>
        <v>4405.3</v>
      </c>
      <c r="F18" s="915">
        <f t="shared" si="8"/>
        <v>4055.1</v>
      </c>
      <c r="G18" s="915">
        <f t="shared" si="8"/>
        <v>4147</v>
      </c>
      <c r="H18" s="915">
        <f t="shared" si="8"/>
        <v>4795.6000000000004</v>
      </c>
      <c r="I18" s="915">
        <f t="shared" si="8"/>
        <v>5854.4</v>
      </c>
      <c r="J18" s="1398">
        <f t="shared" si="8"/>
        <v>7301.5000000000009</v>
      </c>
      <c r="K18" s="915">
        <f t="shared" si="8"/>
        <v>8895.1819742176413</v>
      </c>
      <c r="L18" s="915">
        <f>L13+L17+L15</f>
        <v>10534.244334120733</v>
      </c>
      <c r="N18" s="943">
        <f>(L18/I18)^(1/3)-1</f>
        <v>0.21629894968157393</v>
      </c>
      <c r="O18" s="943">
        <f>(L18/G18)^(1/5)-1</f>
        <v>0.20496344076402195</v>
      </c>
    </row>
    <row r="19" spans="1:15">
      <c r="A19" s="35"/>
      <c r="B19" s="904" t="s">
        <v>294</v>
      </c>
      <c r="C19" s="916"/>
      <c r="D19" s="916">
        <f t="shared" ref="D19:L19" si="9">D18/C18-1</f>
        <v>0.10955263157894746</v>
      </c>
      <c r="E19" s="916">
        <f t="shared" si="9"/>
        <v>4.4826032303204144E-2</v>
      </c>
      <c r="F19" s="916">
        <f t="shared" si="9"/>
        <v>-7.9495153565024013E-2</v>
      </c>
      <c r="G19" s="916">
        <f t="shared" si="9"/>
        <v>2.26628196591947E-2</v>
      </c>
      <c r="H19" s="916">
        <f t="shared" si="9"/>
        <v>0.15640221847118418</v>
      </c>
      <c r="I19" s="916">
        <f t="shared" si="9"/>
        <v>0.22078572024355636</v>
      </c>
      <c r="J19" s="1288">
        <f t="shared" si="9"/>
        <v>0.24718160699644742</v>
      </c>
      <c r="K19" s="916">
        <f t="shared" si="9"/>
        <v>0.2182677496702925</v>
      </c>
      <c r="L19" s="916">
        <f t="shared" si="9"/>
        <v>0.18426406167449461</v>
      </c>
      <c r="M19" s="35"/>
      <c r="N19" s="903"/>
      <c r="O19" s="906"/>
    </row>
    <row r="20" spans="1:15">
      <c r="A20" s="34"/>
      <c r="B20" s="34"/>
      <c r="C20" s="37"/>
      <c r="D20" s="37"/>
      <c r="E20" s="37"/>
      <c r="F20" s="37"/>
      <c r="G20" s="37"/>
      <c r="H20" s="37"/>
      <c r="I20" s="37"/>
      <c r="J20" s="913"/>
      <c r="K20" s="37"/>
      <c r="L20" s="28"/>
      <c r="M20" s="34"/>
      <c r="N20" s="33"/>
      <c r="O20" s="18"/>
    </row>
    <row r="21" spans="1:15">
      <c r="A21" s="34"/>
      <c r="B21" s="34" t="s">
        <v>446</v>
      </c>
      <c r="C21" s="918">
        <f t="shared" ref="C21:K21" si="10">C18*(1-C22)</f>
        <v>328.61599999999987</v>
      </c>
      <c r="D21" s="918">
        <f t="shared" si="10"/>
        <v>360.87659481464317</v>
      </c>
      <c r="E21" s="918">
        <f t="shared" si="10"/>
        <v>393.23587590552131</v>
      </c>
      <c r="F21" s="918">
        <f t="shared" si="10"/>
        <v>467.44086187254038</v>
      </c>
      <c r="G21" s="918">
        <f t="shared" si="10"/>
        <v>529.17170577263607</v>
      </c>
      <c r="H21" s="918">
        <f t="shared" si="10"/>
        <v>640.92889479348526</v>
      </c>
      <c r="I21" s="918">
        <f t="shared" si="10"/>
        <v>741.30120131251044</v>
      </c>
      <c r="J21" s="919">
        <f t="shared" si="10"/>
        <v>910.39037657304971</v>
      </c>
      <c r="K21" s="920">
        <f t="shared" si="10"/>
        <v>1050.6689733538542</v>
      </c>
      <c r="L21" s="920">
        <f>L18*(1-L22)</f>
        <v>1191.0953769055111</v>
      </c>
      <c r="M21" s="34"/>
      <c r="N21" s="33"/>
      <c r="O21" s="18"/>
    </row>
    <row r="22" spans="1:15">
      <c r="A22" s="34"/>
      <c r="B22" s="910" t="s">
        <v>448</v>
      </c>
      <c r="C22" s="921">
        <f>Model!AZ41</f>
        <v>0.91352210526315791</v>
      </c>
      <c r="D22" s="921">
        <f>Model!BE41</f>
        <v>0.91440917515009768</v>
      </c>
      <c r="E22" s="921">
        <f>Model!BJ41</f>
        <v>0.91073573288867471</v>
      </c>
      <c r="F22" s="921">
        <f t="shared" ref="F22:K22" si="11">IF($B$4="Bear",F66,(IF($B$4="Bull",F68,F67)))</f>
        <v>0.8847276610015683</v>
      </c>
      <c r="G22" s="921">
        <f t="shared" si="11"/>
        <v>0.87239650210450059</v>
      </c>
      <c r="H22" s="921">
        <f t="shared" si="11"/>
        <v>0.86635063500010734</v>
      </c>
      <c r="I22" s="921">
        <f t="shared" si="11"/>
        <v>0.87337708367851352</v>
      </c>
      <c r="J22" s="1287">
        <f t="shared" si="11"/>
        <v>0.87531460979619946</v>
      </c>
      <c r="K22" s="917">
        <f t="shared" si="11"/>
        <v>0.88188336378061971</v>
      </c>
      <c r="L22" s="917">
        <f>IF($B$4="Bear",L66,(IF($B$4="Bull",L68,L67)))</f>
        <v>0.88693110401402808</v>
      </c>
      <c r="M22" s="34"/>
      <c r="N22" s="33"/>
      <c r="O22" s="905"/>
    </row>
    <row r="23" spans="1:15" ht="6.75" customHeight="1">
      <c r="A23" s="34"/>
      <c r="B23" s="34"/>
      <c r="C23" s="37"/>
      <c r="D23" s="37"/>
      <c r="E23" s="37"/>
      <c r="F23" s="37"/>
      <c r="G23" s="37"/>
      <c r="H23" s="37"/>
      <c r="I23" s="37"/>
      <c r="J23" s="913"/>
      <c r="K23" s="37"/>
      <c r="L23" s="37"/>
      <c r="M23" s="34"/>
      <c r="N23" s="33"/>
      <c r="O23" s="18"/>
    </row>
    <row r="24" spans="1:15">
      <c r="A24" s="34"/>
      <c r="B24" s="40"/>
      <c r="C24" s="927"/>
      <c r="D24" s="927"/>
      <c r="E24" s="927"/>
      <c r="F24" s="927"/>
      <c r="G24" s="927"/>
      <c r="H24" s="927"/>
      <c r="I24" s="927"/>
      <c r="J24" s="913"/>
      <c r="K24" s="37"/>
      <c r="L24" s="37"/>
      <c r="M24" s="34"/>
      <c r="N24" s="33"/>
      <c r="O24" s="18"/>
    </row>
    <row r="25" spans="1:15">
      <c r="A25" s="907"/>
      <c r="B25" s="908" t="s">
        <v>221</v>
      </c>
      <c r="C25" s="923">
        <f>Model!AZ65</f>
        <v>2078.7739999999999</v>
      </c>
      <c r="D25" s="923">
        <f>Model!BE65</f>
        <v>2268.1800000000003</v>
      </c>
      <c r="E25" s="923">
        <f>Model!BJ65</f>
        <v>2413.0640000000003</v>
      </c>
      <c r="F25" s="923">
        <f t="shared" ref="F25:K25" si="12">F18*F26</f>
        <v>2652.3174302630673</v>
      </c>
      <c r="G25" s="923">
        <f t="shared" si="12"/>
        <v>2731.9501794642715</v>
      </c>
      <c r="H25" s="923">
        <f t="shared" si="12"/>
        <v>2769.4423971918741</v>
      </c>
      <c r="I25" s="923">
        <f t="shared" si="12"/>
        <v>3133.3779434718663</v>
      </c>
      <c r="J25" s="1289">
        <f t="shared" si="12"/>
        <v>3617.2545229373954</v>
      </c>
      <c r="K25" s="924">
        <f t="shared" si="12"/>
        <v>4168.052127279203</v>
      </c>
      <c r="L25" s="924">
        <f>L18*L26</f>
        <v>4848.7143348020609</v>
      </c>
      <c r="M25" s="907"/>
      <c r="N25" s="943">
        <f>(L25/I25)^(1/3)-1</f>
        <v>0.15665703959403454</v>
      </c>
      <c r="O25" s="943">
        <f>(L25/G25)^(1/5)-1</f>
        <v>0.12158131252481641</v>
      </c>
    </row>
    <row r="26" spans="1:15">
      <c r="A26" s="907"/>
      <c r="B26" s="909" t="s">
        <v>339</v>
      </c>
      <c r="C26" s="925">
        <f>Model!AZ172</f>
        <v>0.54704578947368421</v>
      </c>
      <c r="D26" s="925">
        <f>Model!BE172</f>
        <v>0.53796043790489112</v>
      </c>
      <c r="E26" s="925">
        <f>Model!BJ172</f>
        <v>0.54796571138164774</v>
      </c>
      <c r="F26" s="925">
        <f t="shared" ref="F26:K26" si="13">IF($B$4="Bear",F70,(IF($B$4="Bull",F72,F71)))</f>
        <v>0.65406954952111351</v>
      </c>
      <c r="G26" s="925">
        <f t="shared" si="13"/>
        <v>0.6587774727427711</v>
      </c>
      <c r="H26" s="925">
        <f t="shared" si="13"/>
        <v>0.57749653790805611</v>
      </c>
      <c r="I26" s="925">
        <f t="shared" si="13"/>
        <v>0.53521760444654731</v>
      </c>
      <c r="J26" s="1290">
        <f>IF($B$4="Bear",J70,(IF($B$4="Bull",J72,J71)))</f>
        <v>0.49541252111722178</v>
      </c>
      <c r="K26" s="926">
        <f t="shared" si="13"/>
        <v>0.46857412691051731</v>
      </c>
      <c r="L26" s="926">
        <f>IF($B$4="Bear",L70,(IF($B$4="Bull",L72,L71)))</f>
        <v>0.46028117262259904</v>
      </c>
      <c r="M26" s="907"/>
      <c r="N26" s="1326"/>
      <c r="O26" s="1670"/>
    </row>
    <row r="27" spans="1:15" ht="5.25" customHeight="1">
      <c r="A27" s="34"/>
      <c r="B27" s="40"/>
      <c r="C27" s="37"/>
      <c r="D27" s="37"/>
      <c r="E27" s="37"/>
      <c r="F27" s="37"/>
      <c r="G27" s="37"/>
      <c r="H27" s="37"/>
      <c r="I27" s="37"/>
      <c r="J27" s="913"/>
      <c r="K27" s="37"/>
      <c r="L27" s="37"/>
      <c r="M27" s="34"/>
      <c r="N27" s="33"/>
      <c r="O27" s="18"/>
    </row>
    <row r="28" spans="1:15">
      <c r="A28" s="34"/>
      <c r="B28" s="41" t="s">
        <v>157</v>
      </c>
      <c r="C28" s="927">
        <f t="shared" ref="C28:K28" si="14">C18-C21-C25</f>
        <v>1392.6099999999997</v>
      </c>
      <c r="D28" s="927">
        <f t="shared" si="14"/>
        <v>1587.2434051853566</v>
      </c>
      <c r="E28" s="927">
        <f t="shared" si="14"/>
        <v>1599.0001240944785</v>
      </c>
      <c r="F28" s="927">
        <f t="shared" si="14"/>
        <v>935.34170786439199</v>
      </c>
      <c r="G28" s="927">
        <f t="shared" si="14"/>
        <v>885.87811476309253</v>
      </c>
      <c r="H28" s="927">
        <f t="shared" si="14"/>
        <v>1385.2287080146407</v>
      </c>
      <c r="I28" s="927">
        <f t="shared" si="14"/>
        <v>1979.7208552156226</v>
      </c>
      <c r="J28" s="928">
        <f t="shared" si="14"/>
        <v>2773.8551004895562</v>
      </c>
      <c r="K28" s="922">
        <f t="shared" si="14"/>
        <v>3676.4608735845841</v>
      </c>
      <c r="L28" s="922">
        <f>L18-L21-L25</f>
        <v>4494.4346224131614</v>
      </c>
      <c r="M28" s="34"/>
      <c r="N28" s="33"/>
      <c r="O28" s="18"/>
    </row>
    <row r="29" spans="1:15">
      <c r="A29" s="34"/>
      <c r="B29" s="39" t="s">
        <v>158</v>
      </c>
      <c r="C29" s="929">
        <f t="shared" ref="C29:K29" si="15">C28/C18</f>
        <v>0.36647631578947365</v>
      </c>
      <c r="D29" s="929">
        <f t="shared" si="15"/>
        <v>0.37645409605231045</v>
      </c>
      <c r="E29" s="929">
        <f t="shared" si="15"/>
        <v>0.36297190295654741</v>
      </c>
      <c r="F29" s="929">
        <f t="shared" si="15"/>
        <v>0.23065811148045473</v>
      </c>
      <c r="G29" s="929">
        <f t="shared" si="15"/>
        <v>0.21361902936172958</v>
      </c>
      <c r="H29" s="929">
        <f t="shared" si="15"/>
        <v>0.28885409709205118</v>
      </c>
      <c r="I29" s="929">
        <f t="shared" si="15"/>
        <v>0.33815947923196615</v>
      </c>
      <c r="J29" s="1291">
        <f t="shared" si="15"/>
        <v>0.37990208867897773</v>
      </c>
      <c r="K29" s="930">
        <f t="shared" si="15"/>
        <v>0.4133092368701024</v>
      </c>
      <c r="L29" s="930">
        <f>L28/L18</f>
        <v>0.42664993139142909</v>
      </c>
      <c r="M29" s="43"/>
      <c r="N29" s="943">
        <f>(L29/I29)^(1/3)-1</f>
        <v>8.0562864248268751E-2</v>
      </c>
      <c r="O29" s="943">
        <f>(L29/G29)^(1/5)-1</f>
        <v>0.14838192569537734</v>
      </c>
    </row>
    <row r="30" spans="1:15" ht="6" customHeight="1">
      <c r="A30" s="34"/>
      <c r="B30" s="40"/>
      <c r="C30" s="37"/>
      <c r="D30" s="37"/>
      <c r="E30" s="37"/>
      <c r="F30" s="37"/>
      <c r="G30" s="37"/>
      <c r="H30" s="37"/>
      <c r="I30" s="37"/>
      <c r="J30" s="913"/>
      <c r="K30" s="37"/>
      <c r="L30" s="37"/>
      <c r="M30" s="34"/>
      <c r="N30" s="33"/>
      <c r="O30" s="18"/>
    </row>
    <row r="31" spans="1:15">
      <c r="A31" s="34"/>
      <c r="B31" s="41" t="s">
        <v>534</v>
      </c>
      <c r="C31" s="927">
        <f>Model!AZ76</f>
        <v>-43.812999999999995</v>
      </c>
      <c r="D31" s="927">
        <f>Model!BE76</f>
        <v>-69.90100000000001</v>
      </c>
      <c r="E31" s="927">
        <f>Model!BJ76</f>
        <v>-70.878</v>
      </c>
      <c r="F31" s="927">
        <f>Model!BO76</f>
        <v>-61.645000000000003</v>
      </c>
      <c r="G31" s="927">
        <f>Model!BT76</f>
        <v>-52.464999999999996</v>
      </c>
      <c r="H31" s="927">
        <f>Model!BY76</f>
        <v>-51.69</v>
      </c>
      <c r="I31" s="927">
        <f>Model!CD76</f>
        <v>-56.913999999999994</v>
      </c>
      <c r="J31" s="928">
        <f>Model!CI76</f>
        <v>-38.006999999999998</v>
      </c>
      <c r="K31" s="922">
        <f>Model!CN76</f>
        <v>-13.284718498885278</v>
      </c>
      <c r="L31" s="922">
        <f>Model!CS76</f>
        <v>-42.196288645828737</v>
      </c>
      <c r="M31" s="34"/>
      <c r="N31" s="33"/>
      <c r="O31" s="18"/>
    </row>
    <row r="32" spans="1:15">
      <c r="A32" s="34"/>
      <c r="B32" s="40"/>
      <c r="C32" s="37"/>
      <c r="D32" s="37"/>
      <c r="E32" s="37"/>
      <c r="F32" s="37"/>
      <c r="G32" s="37"/>
      <c r="H32" s="37"/>
      <c r="I32" s="37"/>
      <c r="J32" s="913"/>
      <c r="K32" s="37"/>
      <c r="L32" s="37"/>
      <c r="M32" s="34"/>
      <c r="N32" s="33"/>
      <c r="O32" s="18"/>
    </row>
    <row r="33" spans="1:17">
      <c r="A33" s="34"/>
      <c r="B33" s="44" t="s">
        <v>222</v>
      </c>
      <c r="C33" s="931">
        <f>Model!AZ82</f>
        <v>0.24720602877972003</v>
      </c>
      <c r="D33" s="931">
        <f>Model!BE82</f>
        <v>0.21993285458945605</v>
      </c>
      <c r="E33" s="931">
        <f>Model!BJ82</f>
        <v>0.22493783750501101</v>
      </c>
      <c r="F33" s="931">
        <f>Model!BK82</f>
        <v>0.20970601172043349</v>
      </c>
      <c r="G33" s="931">
        <f>Model!BL82</f>
        <v>0.2087843015696709</v>
      </c>
      <c r="H33" s="931">
        <f>Model!BY82</f>
        <v>0.20996345742411218</v>
      </c>
      <c r="I33" s="931">
        <f>Model!CD82</f>
        <v>0.20994561624949223</v>
      </c>
      <c r="J33" s="1292">
        <f>Model!CI82</f>
        <v>0.20996874828663853</v>
      </c>
      <c r="K33" s="932">
        <f>Model!CN82</f>
        <v>0.10894486415639434</v>
      </c>
      <c r="L33" s="932">
        <f>Model!CS82</f>
        <v>0.18000000000000002</v>
      </c>
      <c r="M33" s="34"/>
      <c r="N33" s="33"/>
      <c r="O33" s="1671"/>
    </row>
    <row r="34" spans="1:17" ht="6" customHeight="1">
      <c r="A34" s="34"/>
      <c r="B34" s="41"/>
      <c r="C34" s="37"/>
      <c r="D34" s="37"/>
      <c r="E34" s="37"/>
      <c r="F34" s="37"/>
      <c r="G34" s="37"/>
      <c r="H34" s="37"/>
      <c r="I34" s="37"/>
      <c r="J34" s="913"/>
      <c r="K34" s="37"/>
      <c r="L34" s="37"/>
      <c r="M34" s="34"/>
      <c r="N34" s="33"/>
      <c r="O34" s="18"/>
    </row>
    <row r="35" spans="1:17">
      <c r="A35" s="35"/>
      <c r="B35" s="46" t="s">
        <v>538</v>
      </c>
      <c r="C35" s="933">
        <f t="shared" ref="C35:J35" si="16">(C18-C21-C25+C31)*(1-C33)</f>
        <v>1015.3662499999997</v>
      </c>
      <c r="D35" s="933">
        <f t="shared" si="16"/>
        <v>1183.6289586233099</v>
      </c>
      <c r="E35" s="933">
        <f t="shared" si="16"/>
        <v>1184.3896380571023</v>
      </c>
      <c r="F35" s="933">
        <f t="shared" si="16"/>
        <v>690.4772558048777</v>
      </c>
      <c r="G35" s="933">
        <f t="shared" si="16"/>
        <v>659.40953967827625</v>
      </c>
      <c r="H35" s="933">
        <f t="shared" si="16"/>
        <v>1053.544310271003</v>
      </c>
      <c r="I35" s="933">
        <f t="shared" si="16"/>
        <v>1519.1219850686305</v>
      </c>
      <c r="J35" s="934">
        <f t="shared" si="16"/>
        <v>2161.4054993273862</v>
      </c>
      <c r="K35" s="933">
        <f>(K18-K21-K25+K31)*(1-K33)</f>
        <v>3264.091926488944</v>
      </c>
      <c r="L35" s="933">
        <f>(L18-L21-L25+L31)*(1-L33)</f>
        <v>3650.8354336892126</v>
      </c>
      <c r="M35" s="35"/>
      <c r="N35" s="903"/>
      <c r="O35" s="911"/>
    </row>
    <row r="36" spans="1:17" ht="6" customHeight="1">
      <c r="A36" s="35"/>
      <c r="B36" s="41"/>
      <c r="C36" s="37"/>
      <c r="D36" s="37"/>
      <c r="E36" s="37"/>
      <c r="F36" s="37"/>
      <c r="G36" s="37"/>
      <c r="H36" s="37"/>
      <c r="I36" s="37"/>
      <c r="J36" s="913"/>
      <c r="K36" s="37"/>
      <c r="L36" s="37"/>
      <c r="M36" s="35"/>
      <c r="N36" s="903"/>
      <c r="O36" s="18"/>
    </row>
    <row r="37" spans="1:17">
      <c r="A37" s="35"/>
      <c r="B37" s="41" t="s">
        <v>46</v>
      </c>
      <c r="C37" s="1285">
        <f>Model!AZ114</f>
        <v>525.25150000000008</v>
      </c>
      <c r="D37" s="1285">
        <f>Model!BE114</f>
        <v>503.15224999999998</v>
      </c>
      <c r="E37" s="1285">
        <f>Model!BJ114</f>
        <v>500.91649999999998</v>
      </c>
      <c r="F37" s="1285">
        <f t="shared" ref="F37:K37" si="17">IF($B$4="Bear",F74,(IF($B$4="Bull",F76,F75)))</f>
        <v>511.36699999999996</v>
      </c>
      <c r="G37" s="1285">
        <f t="shared" si="17"/>
        <v>507.57225</v>
      </c>
      <c r="H37" s="1285">
        <f t="shared" si="17"/>
        <v>506.23224999999996</v>
      </c>
      <c r="I37" s="1285">
        <f>IF($B$4="Bear",I74,(IF($B$4="Bull",I76,I75)))</f>
        <v>503.81150000000002</v>
      </c>
      <c r="J37" s="1293">
        <f t="shared" si="17"/>
        <v>500.41750000000002</v>
      </c>
      <c r="K37" s="1286">
        <f t="shared" si="17"/>
        <v>497.89072801639503</v>
      </c>
      <c r="L37" s="1286">
        <f>IF($B$4="Bear",L74,(IF($B$4="Bull",L76,L75)))</f>
        <v>495.6381387651295</v>
      </c>
      <c r="M37" s="35"/>
      <c r="N37" s="903"/>
      <c r="O37" s="18"/>
    </row>
    <row r="38" spans="1:17">
      <c r="A38" s="34"/>
      <c r="B38" s="41"/>
      <c r="C38" s="918"/>
      <c r="D38" s="918"/>
      <c r="E38" s="918"/>
      <c r="F38" s="918"/>
      <c r="G38" s="918"/>
      <c r="H38" s="918"/>
      <c r="I38" s="918"/>
      <c r="J38" s="919"/>
      <c r="K38" s="920"/>
      <c r="L38" s="920"/>
      <c r="M38" s="34"/>
      <c r="N38" s="1672"/>
      <c r="O38" s="18"/>
    </row>
    <row r="39" spans="1:17">
      <c r="A39" s="35"/>
      <c r="B39" s="912" t="s">
        <v>195</v>
      </c>
      <c r="C39" s="935">
        <f t="shared" ref="C39:K39" si="18">C35/C37</f>
        <v>1.9331049030797618</v>
      </c>
      <c r="D39" s="935">
        <f t="shared" si="18"/>
        <v>2.3524270409668446</v>
      </c>
      <c r="E39" s="935">
        <f t="shared" si="18"/>
        <v>2.3644452479746669</v>
      </c>
      <c r="F39" s="935">
        <f t="shared" si="18"/>
        <v>1.3502577518785486</v>
      </c>
      <c r="G39" s="935">
        <f t="shared" si="18"/>
        <v>1.299144190168545</v>
      </c>
      <c r="H39" s="935">
        <f t="shared" si="18"/>
        <v>2.0811481494333939</v>
      </c>
      <c r="I39" s="935">
        <f t="shared" si="18"/>
        <v>3.0152586534222232</v>
      </c>
      <c r="J39" s="936">
        <f t="shared" si="18"/>
        <v>4.3192044629282274</v>
      </c>
      <c r="K39" s="935">
        <f t="shared" si="18"/>
        <v>6.5558399520576343</v>
      </c>
      <c r="L39" s="935">
        <f>L35/L37</f>
        <v>7.36592918935815</v>
      </c>
      <c r="M39" s="42"/>
      <c r="N39" s="943">
        <f>(L39/I39)^(1/3)-1</f>
        <v>0.34679342966364679</v>
      </c>
      <c r="O39" s="943">
        <f>(L39/G39)^(1/5)-1</f>
        <v>0.4148618509265829</v>
      </c>
    </row>
    <row r="40" spans="1:17">
      <c r="A40" s="35"/>
      <c r="B40" s="46"/>
      <c r="C40" s="937"/>
      <c r="D40" s="937"/>
      <c r="E40" s="937"/>
      <c r="F40" s="937"/>
      <c r="G40" s="937"/>
      <c r="H40" s="937"/>
      <c r="I40" s="937"/>
      <c r="J40" s="938"/>
      <c r="K40" s="1091"/>
      <c r="L40" s="944"/>
      <c r="M40" s="35"/>
      <c r="N40" s="35"/>
      <c r="O40" s="35"/>
    </row>
    <row r="41" spans="1:17" outlineLevel="1">
      <c r="A41" s="35"/>
      <c r="B41" s="46"/>
      <c r="C41" s="937"/>
      <c r="D41" s="937"/>
      <c r="E41" s="937"/>
      <c r="F41" s="937"/>
      <c r="G41" s="937"/>
      <c r="H41" s="937"/>
      <c r="I41" s="937"/>
      <c r="J41" s="938"/>
      <c r="K41" s="911"/>
      <c r="L41" s="911"/>
      <c r="M41" s="35"/>
      <c r="N41" s="35"/>
      <c r="O41" s="35"/>
    </row>
    <row r="42" spans="1:17" outlineLevel="1">
      <c r="A42" s="35"/>
      <c r="B42" s="46" t="s">
        <v>764</v>
      </c>
      <c r="C42" s="937"/>
      <c r="D42" s="937"/>
      <c r="E42" s="937">
        <f>CF!BJ114/Model!BJ84</f>
        <v>1.084678101856692</v>
      </c>
      <c r="F42" s="937">
        <f>CF!BO114/Model!BO84</f>
        <v>1.4654018280537557</v>
      </c>
      <c r="G42" s="937">
        <f>CF!BT114/Model!BT84</f>
        <v>1.793009273823887</v>
      </c>
      <c r="H42" s="937">
        <f>CF!BY114/Model!BY84</f>
        <v>1.2580662508739697</v>
      </c>
      <c r="I42" s="937">
        <f>CF!CD114/Model!CD84</f>
        <v>1.3434585290243599</v>
      </c>
      <c r="J42" s="938">
        <f>CF!CI114/Model!CI84</f>
        <v>1.2791472026248967</v>
      </c>
      <c r="K42" s="937">
        <f>CF!CN114/Model!CN84</f>
        <v>1.1308645788273164</v>
      </c>
      <c r="L42" s="937">
        <f>CF!CS114/Model!CS84</f>
        <v>1.1418473002113012</v>
      </c>
      <c r="M42" s="35"/>
      <c r="N42" s="35"/>
      <c r="O42" s="35"/>
    </row>
    <row r="43" spans="1:17" outlineLevel="1">
      <c r="A43" s="35"/>
      <c r="B43" s="46" t="s">
        <v>142</v>
      </c>
      <c r="C43" s="937"/>
      <c r="D43" s="937"/>
      <c r="E43" s="937">
        <f t="shared" ref="E43:L43" si="19">E42*E35</f>
        <v>1284.6815044665123</v>
      </c>
      <c r="F43" s="937">
        <f t="shared" si="19"/>
        <v>1011.8266328860085</v>
      </c>
      <c r="G43" s="937">
        <f t="shared" si="19"/>
        <v>1182.3274198910897</v>
      </c>
      <c r="H43" s="937">
        <f t="shared" si="19"/>
        <v>1325.428540552243</v>
      </c>
      <c r="I43" s="937">
        <f t="shared" si="19"/>
        <v>2040.8773874688679</v>
      </c>
      <c r="J43" s="938">
        <f t="shared" si="19"/>
        <v>2764.7557982026942</v>
      </c>
      <c r="K43" s="937">
        <f t="shared" si="19"/>
        <v>3691.2459417025634</v>
      </c>
      <c r="L43" s="937">
        <f t="shared" si="19"/>
        <v>4168.6965834737821</v>
      </c>
      <c r="M43" s="35"/>
      <c r="N43" s="35"/>
      <c r="O43" s="35"/>
    </row>
    <row r="44" spans="1:17" ht="13.5" outlineLevel="1" thickBot="1">
      <c r="A44" s="35"/>
      <c r="B44" s="46"/>
      <c r="C44" s="937"/>
      <c r="D44" s="937"/>
      <c r="E44" s="937"/>
      <c r="F44" s="937"/>
      <c r="G44" s="937"/>
      <c r="H44" s="937"/>
      <c r="I44" s="937"/>
      <c r="J44" s="938"/>
      <c r="K44" s="45"/>
      <c r="L44" s="911"/>
      <c r="M44" s="35"/>
      <c r="N44" s="35"/>
      <c r="O44" s="35"/>
    </row>
    <row r="45" spans="1:17" ht="13.5" thickBot="1">
      <c r="A45" s="35"/>
      <c r="B45" s="46" t="s">
        <v>373</v>
      </c>
      <c r="C45" s="937"/>
      <c r="D45" s="937"/>
      <c r="E45" s="937"/>
      <c r="F45" s="937"/>
      <c r="G45" s="937"/>
      <c r="H45" s="937"/>
      <c r="I45" s="937"/>
      <c r="J45" s="938"/>
      <c r="K45" s="1122"/>
      <c r="L45" s="1713">
        <v>31.95</v>
      </c>
      <c r="M45" s="35"/>
      <c r="N45" s="35"/>
      <c r="O45" s="35"/>
    </row>
    <row r="46" spans="1:17" ht="13.5" thickBot="1">
      <c r="A46" s="35"/>
      <c r="B46" s="46" t="s">
        <v>371</v>
      </c>
      <c r="C46" s="937"/>
      <c r="D46" s="937"/>
      <c r="E46" s="937"/>
      <c r="F46" s="937"/>
      <c r="G46" s="937"/>
      <c r="H46" s="937"/>
      <c r="I46" s="937"/>
      <c r="J46" s="938"/>
      <c r="K46" s="1121"/>
      <c r="L46" s="911"/>
      <c r="M46" s="35"/>
      <c r="N46" s="35"/>
      <c r="O46" s="35"/>
    </row>
    <row r="47" spans="1:17" ht="13.5" thickBot="1">
      <c r="A47" s="35"/>
      <c r="B47" s="46" t="s">
        <v>374</v>
      </c>
      <c r="G47" s="937"/>
      <c r="H47" s="937"/>
      <c r="I47" s="937"/>
      <c r="J47" s="938"/>
      <c r="K47" s="1717"/>
      <c r="L47" s="1745">
        <f>L45*L39</f>
        <v>235.3414375999929</v>
      </c>
      <c r="N47" s="911"/>
      <c r="O47" s="35"/>
    </row>
    <row r="48" spans="1:17">
      <c r="A48" s="35"/>
      <c r="B48" s="46" t="s">
        <v>372</v>
      </c>
      <c r="C48" s="937"/>
      <c r="D48" s="937"/>
      <c r="E48" s="937"/>
      <c r="F48" s="937"/>
      <c r="G48" s="937"/>
      <c r="H48" s="937"/>
      <c r="I48" s="937"/>
      <c r="J48" s="938"/>
      <c r="K48" s="20"/>
      <c r="L48" s="911"/>
      <c r="M48" s="35"/>
      <c r="N48" s="1121"/>
      <c r="O48" s="35"/>
      <c r="Q48" s="1619"/>
    </row>
    <row r="49" spans="1:17">
      <c r="A49" s="35"/>
      <c r="B49" s="46" t="s">
        <v>487</v>
      </c>
      <c r="C49" s="937"/>
      <c r="D49" s="937"/>
      <c r="E49" s="937"/>
      <c r="F49" s="937"/>
      <c r="G49" s="937"/>
      <c r="H49" s="937"/>
      <c r="I49" s="937"/>
      <c r="J49" s="938"/>
      <c r="K49" s="1673"/>
      <c r="L49" s="1673">
        <f>(BS!CS8+BS!CS9-BS!CS29-BS!CS37)/Model!CS115</f>
        <v>18.310309110139642</v>
      </c>
      <c r="M49" s="35"/>
      <c r="N49" s="35"/>
      <c r="O49" s="35"/>
    </row>
    <row r="50" spans="1:17" ht="13.5" thickBot="1">
      <c r="A50" s="35"/>
      <c r="B50" s="46"/>
      <c r="C50" s="937"/>
      <c r="D50" s="937"/>
      <c r="E50" s="937"/>
      <c r="F50" s="937"/>
      <c r="G50" s="937"/>
      <c r="H50" s="937"/>
      <c r="I50" s="937"/>
      <c r="J50" s="938"/>
      <c r="K50" s="1091"/>
      <c r="L50" s="911"/>
      <c r="M50" s="35"/>
      <c r="N50" s="35"/>
      <c r="O50" s="35"/>
    </row>
    <row r="51" spans="1:17" ht="13.5" thickBot="1">
      <c r="A51" s="34"/>
      <c r="B51" s="1486" t="s">
        <v>291</v>
      </c>
      <c r="C51" s="37"/>
      <c r="D51" s="37"/>
      <c r="E51" s="37"/>
      <c r="F51" s="37"/>
      <c r="G51" s="37"/>
      <c r="H51" s="37"/>
      <c r="I51" s="37"/>
      <c r="J51" s="913"/>
      <c r="K51" s="35"/>
      <c r="L51" s="35"/>
      <c r="M51" s="34"/>
      <c r="N51" s="34"/>
      <c r="O51" s="34"/>
      <c r="P51" s="32"/>
      <c r="Q51" s="1620"/>
    </row>
    <row r="52" spans="1:17">
      <c r="A52" s="33"/>
      <c r="B52" s="22" t="s">
        <v>338</v>
      </c>
      <c r="C52" s="944"/>
      <c r="D52" s="944"/>
      <c r="E52" s="944"/>
      <c r="F52" s="944"/>
      <c r="G52" s="944"/>
      <c r="H52" s="944"/>
      <c r="I52" s="944"/>
      <c r="J52" s="945"/>
      <c r="K52" s="903"/>
      <c r="L52" s="903"/>
      <c r="M52" s="33"/>
      <c r="N52" s="33"/>
      <c r="O52" s="33"/>
    </row>
    <row r="53" spans="1:17">
      <c r="A53" s="33"/>
      <c r="B53" s="1701" t="str">
        <f>B9</f>
        <v>Document Services</v>
      </c>
      <c r="C53" s="1701"/>
      <c r="D53" s="1701"/>
      <c r="E53" s="1701"/>
      <c r="F53" s="1701"/>
      <c r="G53" s="1701"/>
      <c r="H53" s="1701"/>
      <c r="I53" s="1701"/>
      <c r="J53" s="1701"/>
      <c r="K53" s="1701"/>
      <c r="L53" s="1701"/>
      <c r="M53" s="33"/>
      <c r="N53" s="33"/>
      <c r="O53" s="33"/>
      <c r="P53" s="32"/>
    </row>
    <row r="54" spans="1:17">
      <c r="A54" s="34"/>
      <c r="B54" s="1701" t="s">
        <v>641</v>
      </c>
      <c r="C54" s="1701"/>
      <c r="D54" s="1701"/>
      <c r="E54" s="1702"/>
      <c r="F54" s="1702">
        <f>F55</f>
        <v>-2.1764032073310458E-2</v>
      </c>
      <c r="G54" s="1702">
        <v>3.5128805620608938E-2</v>
      </c>
      <c r="H54" s="1702">
        <f>H55</f>
        <v>-4.1478129713424794E-3</v>
      </c>
      <c r="I54" s="1702">
        <f>I55-3.5%</f>
        <v>-6.9582860027767229E-2</v>
      </c>
      <c r="J54" s="1702">
        <f>J55-5%</f>
        <v>4.3868479539809255E-2</v>
      </c>
      <c r="K54" s="1702">
        <f>K55-4%</f>
        <v>8.9435496145571697E-2</v>
      </c>
      <c r="L54" s="1702">
        <f>L55-4%</f>
        <v>6.1460904452456812E-2</v>
      </c>
      <c r="M54" s="34"/>
      <c r="N54" s="34"/>
      <c r="O54" s="34"/>
    </row>
    <row r="55" spans="1:17">
      <c r="A55" s="34"/>
      <c r="B55" s="1701" t="s">
        <v>642</v>
      </c>
      <c r="C55" s="1701"/>
      <c r="D55" s="1701"/>
      <c r="E55" s="1702">
        <f>'Revenue Drivers'!BJ11</f>
        <v>4.8298865910607169E-2</v>
      </c>
      <c r="F55" s="1702">
        <f>'Revenue Drivers'!BO11</f>
        <v>-2.1764032073310458E-2</v>
      </c>
      <c r="G55" s="1702">
        <f>'Revenue Drivers'!BT11</f>
        <v>3.5128805620608938E-2</v>
      </c>
      <c r="H55" s="1702">
        <f>'Revenue Drivers'!BY11</f>
        <v>-4.1478129713424794E-3</v>
      </c>
      <c r="I55" s="1702">
        <f>'Revenue Drivers'!CD11</f>
        <v>-3.4582860027767226E-2</v>
      </c>
      <c r="J55" s="1702">
        <f>'Revenue Drivers'!CI11</f>
        <v>9.3868479539809258E-2</v>
      </c>
      <c r="K55" s="1702">
        <f>'Revenue Drivers'!CN11</f>
        <v>0.1294354961455717</v>
      </c>
      <c r="L55" s="1702">
        <f>'Revenue Drivers'!CS11</f>
        <v>0.10146090445245681</v>
      </c>
      <c r="M55" s="34"/>
      <c r="N55" s="34"/>
      <c r="O55" s="34"/>
    </row>
    <row r="56" spans="1:17">
      <c r="A56" s="34"/>
      <c r="B56" s="1701" t="s">
        <v>296</v>
      </c>
      <c r="C56" s="1701"/>
      <c r="D56" s="1701"/>
      <c r="E56" s="1702"/>
      <c r="F56" s="1702">
        <f>F55</f>
        <v>-2.1764032073310458E-2</v>
      </c>
      <c r="G56" s="1702">
        <v>3.5128805620608938E-2</v>
      </c>
      <c r="H56" s="1702">
        <f>H55</f>
        <v>-4.1478129713424794E-3</v>
      </c>
      <c r="I56" s="1702">
        <f>I55+5%</f>
        <v>1.5417139972232777E-2</v>
      </c>
      <c r="J56" s="1702">
        <f>J55+8%</f>
        <v>0.17386847953980927</v>
      </c>
      <c r="K56" s="1702">
        <f>K55+6%</f>
        <v>0.1894354961455717</v>
      </c>
      <c r="L56" s="1702">
        <f>L55+6%</f>
        <v>0.16146090445245681</v>
      </c>
      <c r="M56" s="42"/>
      <c r="N56" s="34"/>
      <c r="O56" s="34"/>
    </row>
    <row r="57" spans="1:17">
      <c r="A57" s="33"/>
      <c r="B57" s="1703" t="str">
        <f>B11</f>
        <v>Digital Media ex- Doc Services</v>
      </c>
      <c r="C57" s="1703"/>
      <c r="D57" s="1703"/>
      <c r="E57" s="1704"/>
      <c r="F57" s="1704"/>
      <c r="G57" s="1704"/>
      <c r="H57" s="1704"/>
      <c r="I57" s="1704"/>
      <c r="J57" s="1704"/>
      <c r="K57" s="1704"/>
      <c r="L57" s="1704"/>
      <c r="M57" s="33"/>
      <c r="N57" s="33"/>
      <c r="O57" s="33"/>
    </row>
    <row r="58" spans="1:17">
      <c r="A58" s="34"/>
      <c r="B58" s="1703" t="s">
        <v>641</v>
      </c>
      <c r="C58" s="1703"/>
      <c r="D58" s="1703"/>
      <c r="E58" s="1704"/>
      <c r="F58" s="1704">
        <f>F59</f>
        <v>-0.19874892148403789</v>
      </c>
      <c r="G58" s="1704">
        <v>-2.6813115813277388E-2</v>
      </c>
      <c r="H58" s="1704">
        <f>H59</f>
        <v>0.27413554633471637</v>
      </c>
      <c r="I58" s="1704">
        <f>I59-5%</f>
        <v>0.32911419887103782</v>
      </c>
      <c r="J58" s="1704">
        <f>J59-4%</f>
        <v>0.27415887409086631</v>
      </c>
      <c r="K58" s="1704">
        <f>K59-4%</f>
        <v>0.24645344771150038</v>
      </c>
      <c r="L58" s="1704">
        <f>L59-4%</f>
        <v>0.18823834411566656</v>
      </c>
      <c r="M58" s="42"/>
      <c r="N58" s="34"/>
      <c r="O58" s="34"/>
    </row>
    <row r="59" spans="1:17">
      <c r="A59" s="34"/>
      <c r="B59" s="1703" t="s">
        <v>642</v>
      </c>
      <c r="C59" s="1703"/>
      <c r="D59" s="1703"/>
      <c r="E59" s="1704">
        <f>'Revenue Drivers'!BJ14</f>
        <v>-1.1634420648941601E-3</v>
      </c>
      <c r="F59" s="1704">
        <f>'Revenue Drivers'!BO14</f>
        <v>-0.19874892148403789</v>
      </c>
      <c r="G59" s="1704">
        <f>'Revenue Drivers'!BT14</f>
        <v>-2.6813115813277388E-2</v>
      </c>
      <c r="H59" s="1704">
        <f>'Revenue Drivers'!BY14</f>
        <v>0.27413554633471637</v>
      </c>
      <c r="I59" s="1704">
        <f>'Revenue Drivers'!CD14</f>
        <v>0.37911419887103781</v>
      </c>
      <c r="J59" s="1704">
        <f>'Revenue Drivers'!CI14</f>
        <v>0.31415887409086629</v>
      </c>
      <c r="K59" s="1704">
        <f>'Revenue Drivers'!CN14</f>
        <v>0.28645344771150039</v>
      </c>
      <c r="L59" s="1704">
        <f>'Revenue Drivers'!CS14</f>
        <v>0.22823834411566657</v>
      </c>
      <c r="M59" s="34"/>
      <c r="N59" s="34"/>
      <c r="O59" s="34"/>
    </row>
    <row r="60" spans="1:17">
      <c r="A60" s="34"/>
      <c r="B60" s="1703" t="s">
        <v>296</v>
      </c>
      <c r="C60" s="1703"/>
      <c r="D60" s="1703"/>
      <c r="E60" s="1704"/>
      <c r="F60" s="1704">
        <f>F59</f>
        <v>-0.19874892148403789</v>
      </c>
      <c r="G60" s="1704">
        <v>-2.6813115813277388E-2</v>
      </c>
      <c r="H60" s="1704">
        <f>H59</f>
        <v>0.27413554633471637</v>
      </c>
      <c r="I60" s="1704">
        <f>I59+6%</f>
        <v>0.43911419887103781</v>
      </c>
      <c r="J60" s="1704">
        <f>J59+8%</f>
        <v>0.39415887409086631</v>
      </c>
      <c r="K60" s="1704">
        <f>K59+7.5%</f>
        <v>0.3614534477115004</v>
      </c>
      <c r="L60" s="1704">
        <f>L59+7.5%</f>
        <v>0.30323834411566658</v>
      </c>
      <c r="M60" s="34"/>
      <c r="N60" s="34"/>
      <c r="O60" s="34"/>
    </row>
    <row r="61" spans="1:17">
      <c r="A61" s="33"/>
      <c r="B61" s="1705" t="str">
        <f>B15</f>
        <v>Digital Experience</v>
      </c>
      <c r="C61" s="1705"/>
      <c r="D61" s="1705"/>
      <c r="E61" s="1706"/>
      <c r="F61" s="1706"/>
      <c r="G61" s="1706"/>
      <c r="H61" s="1706"/>
      <c r="I61" s="1706"/>
      <c r="J61" s="1706"/>
      <c r="K61" s="1706"/>
      <c r="L61" s="1706"/>
      <c r="M61" s="33"/>
      <c r="N61" s="33"/>
      <c r="O61" s="33"/>
    </row>
    <row r="62" spans="1:17">
      <c r="A62" s="34"/>
      <c r="B62" s="1705" t="s">
        <v>641</v>
      </c>
      <c r="C62" s="1705"/>
      <c r="D62" s="1705"/>
      <c r="E62" s="1706"/>
      <c r="F62" s="1706">
        <f>F63</f>
        <v>0.26399601891017666</v>
      </c>
      <c r="G62" s="1706">
        <v>0.10277483928716724</v>
      </c>
      <c r="H62" s="1706">
        <f>H63</f>
        <v>0.16098436298385033</v>
      </c>
      <c r="I62" s="1706">
        <f>I63-7%</f>
        <v>0.13070655773901524</v>
      </c>
      <c r="J62" s="1706">
        <f>J63-6%</f>
        <v>0.18457521147480699</v>
      </c>
      <c r="K62" s="1706">
        <f>K63-4%</f>
        <v>0.11580390598779958</v>
      </c>
      <c r="L62" s="1706">
        <f>L63-4%</f>
        <v>0.11224788948816114</v>
      </c>
      <c r="M62" s="34"/>
      <c r="N62" s="34"/>
      <c r="O62" s="34"/>
    </row>
    <row r="63" spans="1:17">
      <c r="A63" s="34"/>
      <c r="B63" s="1705" t="s">
        <v>642</v>
      </c>
      <c r="C63" s="1705"/>
      <c r="D63" s="1705"/>
      <c r="E63" s="1706">
        <f>'Revenue Drivers'!BJ18</f>
        <v>0.35160585168992786</v>
      </c>
      <c r="F63" s="1706">
        <f>'Revenue Drivers'!BO18</f>
        <v>0.26399601891017666</v>
      </c>
      <c r="G63" s="1706">
        <f>'Revenue Drivers'!BT18</f>
        <v>0.15187007874015745</v>
      </c>
      <c r="H63" s="1706">
        <f>'Revenue Drivers'!BY18</f>
        <v>0.16098436298385033</v>
      </c>
      <c r="I63" s="1706">
        <f>'Revenue Drivers'!CD18</f>
        <v>0.20070655773901525</v>
      </c>
      <c r="J63" s="1706">
        <f>'Revenue Drivers'!CI18</f>
        <v>0.24457521147480699</v>
      </c>
      <c r="K63" s="1706">
        <f>'Revenue Drivers'!CN18</f>
        <v>0.15580390598779958</v>
      </c>
      <c r="L63" s="1706">
        <f>'Revenue Drivers'!CS18</f>
        <v>0.15224788948816115</v>
      </c>
      <c r="M63" s="34"/>
      <c r="N63" s="34"/>
      <c r="O63" s="34"/>
    </row>
    <row r="64" spans="1:17">
      <c r="A64" s="34"/>
      <c r="B64" s="1705" t="s">
        <v>296</v>
      </c>
      <c r="C64" s="1705"/>
      <c r="D64" s="1705"/>
      <c r="E64" s="1706"/>
      <c r="F64" s="1706">
        <f>F63</f>
        <v>0.26399601891017666</v>
      </c>
      <c r="G64" s="1706">
        <v>0.10277483928716724</v>
      </c>
      <c r="H64" s="1706">
        <f>H63</f>
        <v>0.16098436298385033</v>
      </c>
      <c r="I64" s="1706">
        <f>I63+6%</f>
        <v>0.26070655773901524</v>
      </c>
      <c r="J64" s="1706">
        <f>J63+6%</f>
        <v>0.30457521147480698</v>
      </c>
      <c r="K64" s="1706">
        <f>K63+9%</f>
        <v>0.24580390598779958</v>
      </c>
      <c r="L64" s="1706">
        <f>L63+9%</f>
        <v>0.24224788948816114</v>
      </c>
      <c r="M64" s="34"/>
      <c r="N64" s="34"/>
      <c r="O64" s="34"/>
    </row>
    <row r="65" spans="1:15">
      <c r="A65" s="33"/>
      <c r="B65" s="1707" t="s">
        <v>448</v>
      </c>
      <c r="C65" s="1707"/>
      <c r="D65" s="1707"/>
      <c r="E65" s="1708"/>
      <c r="F65" s="1708"/>
      <c r="G65" s="1708"/>
      <c r="H65" s="1708"/>
      <c r="I65" s="1708"/>
      <c r="J65" s="1708"/>
      <c r="K65" s="1708"/>
      <c r="L65" s="1708"/>
      <c r="M65" s="33"/>
      <c r="N65" s="33"/>
      <c r="O65" s="33"/>
    </row>
    <row r="66" spans="1:15">
      <c r="A66" s="34"/>
      <c r="B66" s="1707" t="s">
        <v>641</v>
      </c>
      <c r="C66" s="1707"/>
      <c r="D66" s="1707"/>
      <c r="E66" s="1708"/>
      <c r="F66" s="1708">
        <f t="shared" ref="F66:L66" si="20">F67</f>
        <v>0.8847276610015683</v>
      </c>
      <c r="G66" s="1708">
        <f t="shared" si="20"/>
        <v>0.87239650210450059</v>
      </c>
      <c r="H66" s="1708">
        <f t="shared" si="20"/>
        <v>0.86635063500010734</v>
      </c>
      <c r="I66" s="1708">
        <f t="shared" si="20"/>
        <v>0.87337708367851352</v>
      </c>
      <c r="J66" s="1708">
        <f t="shared" si="20"/>
        <v>0.87531460979619946</v>
      </c>
      <c r="K66" s="1708">
        <f t="shared" si="20"/>
        <v>0.88188336378061971</v>
      </c>
      <c r="L66" s="1708">
        <f t="shared" si="20"/>
        <v>0.88693110401402808</v>
      </c>
      <c r="M66" s="34"/>
      <c r="N66" s="34"/>
      <c r="O66" s="34"/>
    </row>
    <row r="67" spans="1:15">
      <c r="A67" s="34"/>
      <c r="B67" s="1707" t="s">
        <v>642</v>
      </c>
      <c r="C67" s="1707"/>
      <c r="D67" s="1707"/>
      <c r="E67" s="1708">
        <f>Model!BJ41</f>
        <v>0.91073573288867471</v>
      </c>
      <c r="F67" s="1708">
        <f>Model!BO41</f>
        <v>0.8847276610015683</v>
      </c>
      <c r="G67" s="1708">
        <f>Model!BT41</f>
        <v>0.87239650210450059</v>
      </c>
      <c r="H67" s="1708">
        <f>Model!BY41</f>
        <v>0.86635063500010734</v>
      </c>
      <c r="I67" s="1708">
        <f>Model!CD41</f>
        <v>0.87337708367851352</v>
      </c>
      <c r="J67" s="1708">
        <f>Model!CI41</f>
        <v>0.87531460979619946</v>
      </c>
      <c r="K67" s="1708">
        <f>Model!CN41</f>
        <v>0.88188336378061971</v>
      </c>
      <c r="L67" s="1708">
        <f>Model!CS41</f>
        <v>0.88693110401402808</v>
      </c>
      <c r="M67" s="34"/>
      <c r="N67" s="34"/>
      <c r="O67" s="34"/>
    </row>
    <row r="68" spans="1:15">
      <c r="A68" s="34"/>
      <c r="B68" s="1707" t="s">
        <v>296</v>
      </c>
      <c r="C68" s="1707"/>
      <c r="D68" s="1707"/>
      <c r="E68" s="1708"/>
      <c r="F68" s="1708">
        <f t="shared" ref="F68:L68" si="21">F67</f>
        <v>0.8847276610015683</v>
      </c>
      <c r="G68" s="1708">
        <f t="shared" si="21"/>
        <v>0.87239650210450059</v>
      </c>
      <c r="H68" s="1708">
        <f t="shared" si="21"/>
        <v>0.86635063500010734</v>
      </c>
      <c r="I68" s="1708">
        <f t="shared" si="21"/>
        <v>0.87337708367851352</v>
      </c>
      <c r="J68" s="1708">
        <f t="shared" si="21"/>
        <v>0.87531460979619946</v>
      </c>
      <c r="K68" s="1708">
        <f t="shared" si="21"/>
        <v>0.88188336378061971</v>
      </c>
      <c r="L68" s="1708">
        <f t="shared" si="21"/>
        <v>0.88693110401402808</v>
      </c>
      <c r="M68" s="34"/>
      <c r="N68" s="34"/>
      <c r="O68" s="34"/>
    </row>
    <row r="69" spans="1:15">
      <c r="A69" s="33"/>
      <c r="B69" s="1709" t="s">
        <v>297</v>
      </c>
      <c r="C69" s="1709"/>
      <c r="D69" s="1709"/>
      <c r="E69" s="1710"/>
      <c r="F69" s="1710"/>
      <c r="G69" s="1710"/>
      <c r="H69" s="1710"/>
      <c r="I69" s="1710"/>
      <c r="J69" s="1710"/>
      <c r="K69" s="1710"/>
      <c r="L69" s="1710"/>
      <c r="M69" s="33"/>
      <c r="N69" s="33"/>
      <c r="O69" s="33"/>
    </row>
    <row r="70" spans="1:15">
      <c r="A70" s="34"/>
      <c r="B70" s="1709" t="s">
        <v>641</v>
      </c>
      <c r="C70" s="1709"/>
      <c r="D70" s="1709"/>
      <c r="E70" s="1710"/>
      <c r="F70" s="1710">
        <f>F71</f>
        <v>0.65406954952111351</v>
      </c>
      <c r="G70" s="1710">
        <v>0.6587774727427711</v>
      </c>
      <c r="H70" s="1710">
        <f>H71</f>
        <v>0.57749653790805611</v>
      </c>
      <c r="I70" s="1710">
        <f>I71+1.5%</f>
        <v>0.55021760444654733</v>
      </c>
      <c r="J70" s="1710">
        <f>J71+1.5%</f>
        <v>0.5104125211172218</v>
      </c>
      <c r="K70" s="1710">
        <f>K71+1.3%</f>
        <v>0.48157412691051732</v>
      </c>
      <c r="L70" s="1710">
        <f>L71+1.3%</f>
        <v>0.47328117262259906</v>
      </c>
      <c r="M70" s="34"/>
      <c r="N70" s="34"/>
      <c r="O70" s="34"/>
    </row>
    <row r="71" spans="1:15">
      <c r="A71" s="34"/>
      <c r="B71" s="1709" t="s">
        <v>642</v>
      </c>
      <c r="C71" s="1709"/>
      <c r="D71" s="1709"/>
      <c r="E71" s="1710">
        <f>Model!BJ172</f>
        <v>0.54796571138164774</v>
      </c>
      <c r="F71" s="1710">
        <f>Model!BO172</f>
        <v>0.65406954952111351</v>
      </c>
      <c r="G71" s="1710">
        <f>Model!BT172</f>
        <v>0.6587774727427711</v>
      </c>
      <c r="H71" s="1710">
        <f>Model!BY172</f>
        <v>0.57749653790805611</v>
      </c>
      <c r="I71" s="1710">
        <f>Model!CD172</f>
        <v>0.53521760444654731</v>
      </c>
      <c r="J71" s="1710">
        <f>Model!CI172</f>
        <v>0.49541252111722178</v>
      </c>
      <c r="K71" s="1710">
        <f>Model!CN172</f>
        <v>0.46857412691051731</v>
      </c>
      <c r="L71" s="1710">
        <f>Model!CS172</f>
        <v>0.46028117262259904</v>
      </c>
      <c r="M71" s="34"/>
      <c r="N71" s="34"/>
      <c r="O71" s="34"/>
    </row>
    <row r="72" spans="1:15">
      <c r="A72" s="34"/>
      <c r="B72" s="1709" t="s">
        <v>296</v>
      </c>
      <c r="C72" s="1709"/>
      <c r="D72" s="1709"/>
      <c r="E72" s="1710"/>
      <c r="F72" s="1710">
        <f>F71</f>
        <v>0.65406954952111351</v>
      </c>
      <c r="G72" s="1710">
        <v>0.6587774727427711</v>
      </c>
      <c r="H72" s="1710">
        <f>H71</f>
        <v>0.57749653790805611</v>
      </c>
      <c r="I72" s="1710">
        <f>I71</f>
        <v>0.53521760444654731</v>
      </c>
      <c r="J72" s="1710">
        <f>J71</f>
        <v>0.49541252111722178</v>
      </c>
      <c r="K72" s="1710">
        <f>K71</f>
        <v>0.46857412691051731</v>
      </c>
      <c r="L72" s="1710">
        <f>L71</f>
        <v>0.46028117262259904</v>
      </c>
      <c r="M72" s="34"/>
      <c r="N72" s="34"/>
      <c r="O72" s="34"/>
    </row>
    <row r="73" spans="1:15">
      <c r="A73" s="34"/>
      <c r="B73" s="1711" t="s">
        <v>47</v>
      </c>
      <c r="C73" s="1711"/>
      <c r="D73" s="1711"/>
      <c r="E73" s="1711"/>
      <c r="F73" s="1711"/>
      <c r="G73" s="1711"/>
      <c r="H73" s="1711"/>
      <c r="I73" s="1711"/>
      <c r="J73" s="1711"/>
      <c r="K73" s="1711"/>
      <c r="L73" s="1711"/>
      <c r="M73" s="34"/>
      <c r="N73" s="34"/>
      <c r="O73" s="34"/>
    </row>
    <row r="74" spans="1:15">
      <c r="A74" s="34"/>
      <c r="B74" s="1711" t="s">
        <v>641</v>
      </c>
      <c r="C74" s="1711"/>
      <c r="D74" s="1711"/>
      <c r="E74" s="1711"/>
      <c r="F74" s="1712">
        <f t="shared" ref="F74:L74" si="22">F75</f>
        <v>511.36699999999996</v>
      </c>
      <c r="G74" s="1712">
        <f t="shared" si="22"/>
        <v>507.57225</v>
      </c>
      <c r="H74" s="1712">
        <f t="shared" si="22"/>
        <v>506.23224999999996</v>
      </c>
      <c r="I74" s="1712">
        <f t="shared" si="22"/>
        <v>503.81150000000002</v>
      </c>
      <c r="J74" s="1712">
        <f t="shared" si="22"/>
        <v>500.41750000000002</v>
      </c>
      <c r="K74" s="1712">
        <f t="shared" si="22"/>
        <v>497.89072801639503</v>
      </c>
      <c r="L74" s="1712">
        <f t="shared" si="22"/>
        <v>495.6381387651295</v>
      </c>
      <c r="M74" s="34"/>
      <c r="N74" s="34"/>
      <c r="O74" s="34"/>
    </row>
    <row r="75" spans="1:15">
      <c r="A75" s="34"/>
      <c r="B75" s="1711" t="s">
        <v>642</v>
      </c>
      <c r="C75" s="1711"/>
      <c r="D75" s="1711"/>
      <c r="E75" s="1711"/>
      <c r="F75" s="1712">
        <f>Model!BO114</f>
        <v>511.36699999999996</v>
      </c>
      <c r="G75" s="1712">
        <f>Model!BT114</f>
        <v>507.57225</v>
      </c>
      <c r="H75" s="1712">
        <f>Model!BY114</f>
        <v>506.23224999999996</v>
      </c>
      <c r="I75" s="1712">
        <f>Model!CD114</f>
        <v>503.81150000000002</v>
      </c>
      <c r="J75" s="1712">
        <f>Model!CI114</f>
        <v>500.41750000000002</v>
      </c>
      <c r="K75" s="1712">
        <f>Model!CN114</f>
        <v>497.89072801639503</v>
      </c>
      <c r="L75" s="1712">
        <f>Model!CS114</f>
        <v>495.6381387651295</v>
      </c>
      <c r="M75" s="34"/>
      <c r="N75" s="34"/>
      <c r="O75" s="34"/>
    </row>
    <row r="76" spans="1:15">
      <c r="A76" s="34"/>
      <c r="B76" s="1711" t="s">
        <v>296</v>
      </c>
      <c r="C76" s="1711"/>
      <c r="D76" s="1711"/>
      <c r="E76" s="1711"/>
      <c r="F76" s="1712">
        <f t="shared" ref="F76:L76" si="23">F75</f>
        <v>511.36699999999996</v>
      </c>
      <c r="G76" s="1712">
        <f t="shared" si="23"/>
        <v>507.57225</v>
      </c>
      <c r="H76" s="1712">
        <f t="shared" si="23"/>
        <v>506.23224999999996</v>
      </c>
      <c r="I76" s="1712">
        <f t="shared" si="23"/>
        <v>503.81150000000002</v>
      </c>
      <c r="J76" s="1712">
        <f t="shared" si="23"/>
        <v>500.41750000000002</v>
      </c>
      <c r="K76" s="1712">
        <f t="shared" si="23"/>
        <v>497.89072801639503</v>
      </c>
      <c r="L76" s="1712">
        <f t="shared" si="23"/>
        <v>495.6381387651295</v>
      </c>
      <c r="M76" s="34"/>
      <c r="N76" s="34"/>
      <c r="O76" s="34"/>
    </row>
    <row r="79" spans="1:15" ht="4.5" customHeight="1"/>
    <row r="80" spans="1:15" ht="4.5" customHeight="1"/>
    <row r="82" ht="4.5" customHeight="1"/>
    <row r="83" ht="6" customHeight="1"/>
    <row r="85" ht="6" customHeight="1"/>
    <row r="87" ht="6" customHeight="1"/>
    <row r="89" ht="6" customHeight="1"/>
  </sheetData>
  <phoneticPr fontId="2" type="noConversion"/>
  <dataValidations count="1">
    <dataValidation type="list" allowBlank="1" showInputMessage="1" showErrorMessage="1" sqref="B4">
      <formula1>$O$1:$O$3</formula1>
    </dataValidation>
  </dataValidations>
  <pageMargins left="0.75" right="0.75" top="1" bottom="1" header="0.5" footer="0.5"/>
  <pageSetup scale="66"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3"/>
    <pageSetUpPr autoPageBreaks="0" fitToPage="1"/>
  </sheetPr>
  <dimension ref="A1:DI231"/>
  <sheetViews>
    <sheetView showGridLines="0" workbookViewId="0">
      <pane xSplit="71" ySplit="6" topLeftCell="BY7" activePane="bottomRight" state="frozen"/>
      <selection pane="topRight" activeCell="BT1" sqref="BT1"/>
      <selection pane="bottomLeft" activeCell="A7" sqref="A7"/>
      <selection pane="bottomRight" activeCell="BY7" sqref="BY7"/>
    </sheetView>
  </sheetViews>
  <sheetFormatPr defaultRowHeight="12.75" outlineLevelRow="2" outlineLevelCol="2"/>
  <cols>
    <col min="1" max="1" width="35.85546875" customWidth="1"/>
    <col min="2" max="2" width="8.140625" hidden="1" customWidth="1" outlineLevel="1"/>
    <col min="3" max="6" width="7.7109375" hidden="1" customWidth="1" outlineLevel="2"/>
    <col min="7" max="7" width="7.7109375" hidden="1" customWidth="1" outlineLevel="1" collapsed="1"/>
    <col min="8" max="8" width="7.42578125" hidden="1" customWidth="1" outlineLevel="2" collapsed="1"/>
    <col min="9" max="11" width="7.7109375" hidden="1" customWidth="1" outlineLevel="2"/>
    <col min="12" max="12" width="8" hidden="1" customWidth="1" outlineLevel="2"/>
    <col min="13" max="16" width="7.42578125" hidden="1" customWidth="1" outlineLevel="2"/>
    <col min="17" max="17" width="8" hidden="1" customWidth="1" outlineLevel="1" collapsed="1"/>
    <col min="18" max="18" width="7.42578125" hidden="1" customWidth="1" outlineLevel="2"/>
    <col min="19" max="19" width="7.85546875" hidden="1" customWidth="1" outlineLevel="2"/>
    <col min="20" max="21" width="7.42578125" hidden="1" customWidth="1" outlineLevel="2"/>
    <col min="22" max="22" width="8" hidden="1" customWidth="1" outlineLevel="1" collapsed="1"/>
    <col min="23" max="26" width="7.42578125" hidden="1" customWidth="1" outlineLevel="1"/>
    <col min="27" max="30" width="8.42578125" hidden="1" customWidth="1" outlineLevel="1"/>
    <col min="31" max="31" width="8.28515625" hidden="1" customWidth="1" outlineLevel="1"/>
    <col min="32" max="32" width="8.28515625" hidden="1" customWidth="1" outlineLevel="1" collapsed="1"/>
    <col min="33" max="36" width="8.42578125" hidden="1" customWidth="1" outlineLevel="1"/>
    <col min="37" max="37" width="8.28515625" hidden="1" customWidth="1" outlineLevel="1"/>
    <col min="38" max="39" width="8" hidden="1" customWidth="1" outlineLevel="1"/>
    <col min="40" max="41" width="8.42578125" hidden="1" customWidth="1" outlineLevel="1"/>
    <col min="42" max="42" width="8.28515625" hidden="1" customWidth="1" collapsed="1"/>
    <col min="43" max="45" width="8" hidden="1" customWidth="1" outlineLevel="1"/>
    <col min="46" max="46" width="8.140625" hidden="1" customWidth="1" outlineLevel="1"/>
    <col min="47" max="47" width="8" hidden="1" customWidth="1" collapsed="1"/>
    <col min="48" max="50" width="8" hidden="1" customWidth="1" outlineLevel="1"/>
    <col min="51" max="51" width="8.140625" hidden="1" customWidth="1" outlineLevel="1"/>
    <col min="52" max="52" width="8" hidden="1" customWidth="1" collapsed="1"/>
    <col min="53" max="55" width="8" hidden="1" customWidth="1" outlineLevel="1"/>
    <col min="56" max="56" width="8.140625" hidden="1" customWidth="1" outlineLevel="1"/>
    <col min="57" max="57" width="8" hidden="1" customWidth="1" collapsed="1"/>
    <col min="58" max="61" width="8" hidden="1" customWidth="1" outlineLevel="1"/>
    <col min="62" max="62" width="8" hidden="1" customWidth="1" collapsed="1"/>
    <col min="63" max="65" width="8" hidden="1" customWidth="1" outlineLevel="1"/>
    <col min="66" max="66" width="8.140625" hidden="1" customWidth="1" outlineLevel="1"/>
    <col min="67" max="67" width="8" hidden="1" customWidth="1" collapsed="1"/>
    <col min="68" max="70" width="8" hidden="1" customWidth="1" outlineLevel="1"/>
    <col min="71" max="71" width="8.140625" hidden="1" customWidth="1" outlineLevel="1"/>
    <col min="72" max="72" width="8" hidden="1" customWidth="1" collapsed="1"/>
    <col min="73" max="75" width="8" hidden="1" customWidth="1" outlineLevel="1"/>
    <col min="76" max="76" width="8.140625" hidden="1" customWidth="1" outlineLevel="1"/>
    <col min="77" max="77" width="8" customWidth="1" collapsed="1"/>
    <col min="78" max="80" width="8" hidden="1" customWidth="1" outlineLevel="1"/>
    <col min="81" max="81" width="8.140625" hidden="1" customWidth="1" outlineLevel="1"/>
    <col min="82" max="82" width="8" customWidth="1" collapsed="1"/>
    <col min="83" max="85" width="8" customWidth="1" outlineLevel="1"/>
    <col min="86" max="86" width="8.140625" customWidth="1" outlineLevel="1"/>
    <col min="87" max="87" width="8" customWidth="1"/>
    <col min="88" max="90" width="8" customWidth="1" outlineLevel="1"/>
    <col min="91" max="91" width="8.140625" customWidth="1" outlineLevel="1"/>
    <col min="92" max="92" width="8" customWidth="1"/>
    <col min="93" max="95" width="8" customWidth="1" outlineLevel="1"/>
    <col min="96" max="96" width="8.140625" customWidth="1" outlineLevel="1"/>
    <col min="97" max="97" width="8" customWidth="1"/>
    <col min="98" max="100" width="8" hidden="1" customWidth="1" outlineLevel="1"/>
    <col min="101" max="101" width="8.140625" hidden="1" customWidth="1" outlineLevel="1"/>
    <col min="102" max="102" width="8" customWidth="1" collapsed="1"/>
    <col min="103" max="103" width="8" customWidth="1"/>
    <col min="104" max="107" width="1.7109375" customWidth="1"/>
    <col min="108" max="108" width="26" customWidth="1"/>
  </cols>
  <sheetData>
    <row r="1" spans="1:107" ht="20.100000000000001" customHeight="1">
      <c r="A1" s="30" t="s">
        <v>287</v>
      </c>
      <c r="B1" s="667"/>
      <c r="M1" s="668"/>
      <c r="N1" s="668"/>
      <c r="O1" s="668"/>
      <c r="P1" s="668"/>
      <c r="Q1" s="668"/>
      <c r="R1" s="668"/>
      <c r="S1" s="668"/>
      <c r="T1" s="669"/>
      <c r="U1" s="668"/>
      <c r="V1" s="4"/>
      <c r="W1" s="668"/>
      <c r="X1" s="668"/>
      <c r="Y1" s="668"/>
      <c r="Z1" s="668"/>
      <c r="AA1" s="670"/>
      <c r="AB1" s="670"/>
      <c r="AC1" s="670"/>
      <c r="AD1" s="670"/>
      <c r="AE1" s="670"/>
      <c r="AF1" s="670"/>
      <c r="AG1" s="31"/>
      <c r="AH1" s="31"/>
      <c r="AI1" s="31"/>
      <c r="AJ1" s="31"/>
      <c r="AK1" s="31"/>
      <c r="AL1" s="31"/>
      <c r="AM1" s="31"/>
      <c r="AN1" s="31"/>
      <c r="AO1" s="31"/>
      <c r="AP1" s="31"/>
      <c r="AQ1" s="31"/>
      <c r="AR1" s="53"/>
      <c r="AS1" s="31"/>
      <c r="AT1" s="31"/>
      <c r="AU1" s="31"/>
      <c r="AV1" s="31"/>
      <c r="AW1" s="53"/>
      <c r="AX1" s="53"/>
      <c r="AY1" s="31"/>
      <c r="AZ1" s="31"/>
      <c r="BA1" s="31"/>
      <c r="BB1" s="53"/>
      <c r="BC1" s="1320"/>
      <c r="BD1" s="31"/>
      <c r="BE1" s="31"/>
      <c r="BF1" s="31"/>
      <c r="BG1" s="53"/>
      <c r="BH1" s="53"/>
      <c r="BI1" s="53"/>
      <c r="BJ1" s="31"/>
      <c r="BK1" s="53"/>
      <c r="BL1" s="53"/>
      <c r="BM1" s="1413"/>
      <c r="BN1" s="1413"/>
      <c r="BO1" s="53"/>
      <c r="BP1" s="53"/>
      <c r="BQ1" s="53"/>
      <c r="BR1" s="1413"/>
      <c r="BS1" s="1413"/>
      <c r="BT1" s="53"/>
      <c r="BU1" s="53"/>
      <c r="BV1" s="53"/>
      <c r="BW1" s="1413"/>
      <c r="BX1" s="1413"/>
      <c r="BY1" s="1413"/>
      <c r="BZ1" s="1413"/>
      <c r="CA1" s="1413"/>
      <c r="CB1" s="1413"/>
      <c r="CC1" s="1413"/>
      <c r="CD1" s="1413"/>
      <c r="CE1" s="1743"/>
      <c r="CF1" s="1413"/>
      <c r="CG1" s="1413"/>
      <c r="CH1" s="1413"/>
      <c r="CI1" s="1413"/>
      <c r="CJ1" s="1413"/>
      <c r="CK1" s="1413"/>
      <c r="CL1" s="1413"/>
      <c r="CM1" s="1413"/>
      <c r="CN1" s="1413"/>
      <c r="CO1" s="1413"/>
      <c r="CP1" s="1413"/>
      <c r="CQ1" s="1413"/>
      <c r="CR1" s="1413"/>
      <c r="CS1" s="1413"/>
      <c r="CT1" s="1413"/>
      <c r="CU1" s="1413"/>
      <c r="CV1" s="1413"/>
      <c r="CW1" s="1413"/>
      <c r="CX1" s="1413"/>
      <c r="DA1" s="23"/>
      <c r="DB1" s="4"/>
      <c r="DC1" s="4"/>
    </row>
    <row r="2" spans="1:107" ht="20.100000000000001" customHeight="1">
      <c r="A2" s="5" t="s">
        <v>127</v>
      </c>
      <c r="B2" s="5"/>
      <c r="C2" s="8"/>
      <c r="D2" s="7"/>
      <c r="E2" s="6"/>
      <c r="F2" s="7"/>
      <c r="G2" s="6"/>
      <c r="H2" s="8"/>
      <c r="I2" s="7"/>
      <c r="J2" s="6"/>
      <c r="K2" s="7"/>
      <c r="L2" s="6"/>
      <c r="M2" s="8"/>
      <c r="N2" s="7"/>
      <c r="O2" s="26"/>
      <c r="P2" s="7"/>
      <c r="Q2" s="7"/>
      <c r="R2" s="7"/>
      <c r="S2" s="7"/>
      <c r="T2" s="7"/>
      <c r="U2" s="7"/>
      <c r="V2" s="7"/>
      <c r="W2" s="7"/>
      <c r="X2" s="7"/>
      <c r="Y2" s="7"/>
      <c r="Z2" s="7"/>
      <c r="AA2" s="8"/>
      <c r="AB2" s="8"/>
      <c r="AC2" s="8"/>
      <c r="AD2" s="8"/>
      <c r="AE2" s="8"/>
      <c r="AF2" s="8"/>
      <c r="AG2" s="8"/>
      <c r="AH2" s="8"/>
      <c r="AI2" s="8"/>
      <c r="AJ2" s="8"/>
      <c r="AK2" s="8"/>
      <c r="AL2" s="8"/>
      <c r="AM2" s="8"/>
      <c r="AN2" s="8"/>
      <c r="AO2" s="8"/>
      <c r="AP2" s="8"/>
      <c r="AQ2" s="8"/>
      <c r="AR2" s="54"/>
      <c r="AS2" s="8"/>
      <c r="AT2" s="8"/>
      <c r="AU2" s="8"/>
      <c r="AV2" s="8"/>
      <c r="AW2" s="54"/>
      <c r="AX2" s="54"/>
      <c r="AY2" s="8"/>
      <c r="AZ2" s="8"/>
      <c r="BA2" s="8"/>
      <c r="BB2" s="54"/>
      <c r="BC2" s="1321"/>
      <c r="BD2" s="8"/>
      <c r="BE2" s="1414"/>
      <c r="BF2" s="1415"/>
      <c r="BG2" s="1416"/>
      <c r="BH2" s="1416"/>
      <c r="BI2" s="1416"/>
      <c r="BJ2" s="1414"/>
      <c r="BK2" s="1476"/>
      <c r="BL2" s="55"/>
      <c r="BM2" s="1414"/>
      <c r="BN2" s="1435"/>
      <c r="BO2" s="1416"/>
      <c r="BP2" s="1476"/>
      <c r="BQ2" s="1414"/>
      <c r="BR2" s="1414"/>
      <c r="BS2" s="1435"/>
      <c r="BT2" s="1414"/>
      <c r="BU2" s="1476"/>
      <c r="BV2" s="1414"/>
      <c r="BW2" s="1414"/>
      <c r="BX2" s="1435"/>
      <c r="BY2" s="1414"/>
      <c r="BZ2" s="1414"/>
      <c r="CA2" s="1414"/>
      <c r="CB2" s="1414"/>
      <c r="CC2" s="1414"/>
      <c r="CD2" s="1744"/>
      <c r="CE2" s="1744"/>
      <c r="CF2" s="1744"/>
      <c r="CG2" s="1744"/>
      <c r="CH2" s="1744"/>
      <c r="CI2" s="1744"/>
      <c r="CJ2" s="1414"/>
      <c r="CK2" s="1414"/>
      <c r="CL2" s="1414"/>
      <c r="CM2" s="1414"/>
      <c r="CN2" s="1414"/>
      <c r="CO2" s="1414"/>
      <c r="CP2" s="1414"/>
      <c r="CQ2" s="1414"/>
      <c r="CR2" s="1414"/>
      <c r="CS2" s="1414"/>
      <c r="CT2" s="1414"/>
      <c r="CU2" s="1414"/>
      <c r="CV2" s="1414"/>
      <c r="CW2" s="1414"/>
      <c r="CX2" s="1414"/>
      <c r="DA2" s="23"/>
      <c r="DB2" s="4"/>
      <c r="DC2" s="4"/>
    </row>
    <row r="3" spans="1:107" ht="15" hidden="1" customHeight="1" outlineLevel="1"/>
    <row r="4" spans="1:107" ht="11.25" customHeight="1" collapsed="1">
      <c r="A4" s="1783" t="s">
        <v>332</v>
      </c>
      <c r="B4" s="1783"/>
      <c r="C4" s="81"/>
      <c r="D4" s="82"/>
      <c r="E4" s="82"/>
      <c r="F4" s="82"/>
      <c r="G4" s="83"/>
      <c r="H4" s="82"/>
      <c r="I4" s="82"/>
      <c r="J4" s="82"/>
      <c r="K4" s="82"/>
      <c r="L4" s="83"/>
      <c r="M4" s="82"/>
      <c r="N4" s="82"/>
      <c r="O4" s="82"/>
      <c r="P4" s="85"/>
      <c r="Q4" s="83"/>
      <c r="R4" s="82"/>
      <c r="S4" s="82"/>
      <c r="T4" s="82"/>
      <c r="U4" s="85"/>
      <c r="V4" s="83"/>
      <c r="W4" s="82"/>
      <c r="X4" s="82"/>
      <c r="Y4" s="82"/>
      <c r="Z4" s="85"/>
      <c r="AA4" s="83"/>
      <c r="AB4" s="82"/>
      <c r="AC4" s="82"/>
      <c r="AD4" s="82"/>
      <c r="AE4" s="85"/>
      <c r="AF4" s="83"/>
      <c r="AG4" s="82"/>
      <c r="AH4" s="82"/>
      <c r="AI4" s="82"/>
      <c r="AJ4" s="85"/>
      <c r="AK4" s="83"/>
      <c r="AL4" s="82"/>
      <c r="AM4" s="82"/>
      <c r="AN4" s="82"/>
      <c r="AO4" s="85"/>
      <c r="AP4" s="83"/>
      <c r="AQ4" s="82"/>
      <c r="AR4" s="82"/>
      <c r="AS4" s="82"/>
      <c r="AT4" s="85"/>
      <c r="AU4" s="83"/>
      <c r="AV4" s="82"/>
      <c r="AW4" s="82"/>
      <c r="AX4" s="82"/>
      <c r="AY4" s="85"/>
      <c r="AZ4" s="83"/>
      <c r="BA4" s="82"/>
      <c r="BB4" s="86"/>
      <c r="BC4" s="86"/>
      <c r="BD4" s="85"/>
      <c r="BE4" s="83"/>
      <c r="BF4" s="82"/>
      <c r="BG4" s="86"/>
      <c r="BH4" s="86"/>
      <c r="BI4" s="86"/>
      <c r="BJ4" s="83"/>
      <c r="BK4" s="86"/>
      <c r="BL4" s="86"/>
      <c r="BM4" s="86"/>
      <c r="BN4" s="87"/>
      <c r="BO4" s="1127"/>
      <c r="BP4" s="86"/>
      <c r="BQ4" s="86"/>
      <c r="BR4" s="86"/>
      <c r="BS4" s="87"/>
      <c r="BT4" s="1127"/>
      <c r="BU4" s="86"/>
      <c r="BV4" s="86"/>
      <c r="BW4" s="86"/>
      <c r="BX4" s="87"/>
      <c r="BY4" s="1127"/>
      <c r="BZ4" s="86"/>
      <c r="CA4" s="86"/>
      <c r="CB4" s="86"/>
      <c r="CC4" s="87"/>
      <c r="CD4" s="1127"/>
      <c r="CE4" s="82"/>
      <c r="CF4" s="82"/>
      <c r="CG4" s="82"/>
      <c r="CH4" s="85"/>
      <c r="CI4" s="1906"/>
      <c r="CJ4" s="82"/>
      <c r="CK4" s="86"/>
      <c r="CL4" s="86"/>
      <c r="CM4" s="87"/>
      <c r="CN4" s="1127"/>
      <c r="CO4" s="86"/>
      <c r="CP4" s="86"/>
      <c r="CQ4" s="86"/>
      <c r="CR4" s="87"/>
      <c r="CS4" s="1127"/>
      <c r="CT4" s="86"/>
      <c r="CU4" s="86"/>
      <c r="CV4" s="86"/>
      <c r="CW4" s="87"/>
      <c r="CX4" s="1127"/>
      <c r="DA4" s="89"/>
      <c r="DB4" s="84"/>
      <c r="DC4" s="84"/>
    </row>
    <row r="5" spans="1:107" ht="11.25" hidden="1" customHeight="1" outlineLevel="1">
      <c r="A5" s="91"/>
      <c r="B5" s="91"/>
      <c r="C5" s="92" t="s">
        <v>225</v>
      </c>
      <c r="D5" s="93" t="s">
        <v>226</v>
      </c>
      <c r="E5" s="93" t="s">
        <v>227</v>
      </c>
      <c r="F5" s="93" t="s">
        <v>228</v>
      </c>
      <c r="G5" s="94" t="s">
        <v>229</v>
      </c>
      <c r="H5" s="93" t="s">
        <v>230</v>
      </c>
      <c r="I5" s="93" t="s">
        <v>231</v>
      </c>
      <c r="J5" s="93" t="s">
        <v>232</v>
      </c>
      <c r="K5" s="93" t="s">
        <v>233</v>
      </c>
      <c r="L5" s="94" t="s">
        <v>234</v>
      </c>
      <c r="M5" s="93" t="s">
        <v>235</v>
      </c>
      <c r="N5" s="93" t="s">
        <v>236</v>
      </c>
      <c r="O5" s="93" t="s">
        <v>237</v>
      </c>
      <c r="P5" s="95" t="s">
        <v>238</v>
      </c>
      <c r="Q5" s="94" t="s">
        <v>239</v>
      </c>
      <c r="R5" s="93" t="s">
        <v>240</v>
      </c>
      <c r="S5" s="93" t="s">
        <v>691</v>
      </c>
      <c r="T5" s="93" t="s">
        <v>692</v>
      </c>
      <c r="U5" s="95" t="s">
        <v>693</v>
      </c>
      <c r="V5" s="94" t="s">
        <v>694</v>
      </c>
      <c r="W5" s="93" t="s">
        <v>564</v>
      </c>
      <c r="X5" s="93" t="s">
        <v>565</v>
      </c>
      <c r="Y5" s="93" t="s">
        <v>566</v>
      </c>
      <c r="Z5" s="95" t="s">
        <v>567</v>
      </c>
      <c r="AA5" s="96" t="s">
        <v>568</v>
      </c>
      <c r="AB5" s="97" t="s">
        <v>476</v>
      </c>
      <c r="AC5" s="97" t="s">
        <v>477</v>
      </c>
      <c r="AD5" s="97" t="s">
        <v>478</v>
      </c>
      <c r="AE5" s="98" t="s">
        <v>479</v>
      </c>
      <c r="AF5" s="96" t="s">
        <v>480</v>
      </c>
      <c r="AG5" s="97" t="s">
        <v>704</v>
      </c>
      <c r="AH5" s="97" t="s">
        <v>705</v>
      </c>
      <c r="AI5" s="97" t="s">
        <v>706</v>
      </c>
      <c r="AJ5" s="98" t="s">
        <v>734</v>
      </c>
      <c r="AK5" s="96" t="s">
        <v>735</v>
      </c>
      <c r="AL5" s="97" t="s">
        <v>736</v>
      </c>
      <c r="AM5" s="97" t="s">
        <v>737</v>
      </c>
      <c r="AN5" s="97" t="s">
        <v>738</v>
      </c>
      <c r="AO5" s="98" t="s">
        <v>739</v>
      </c>
      <c r="AP5" s="96" t="s">
        <v>312</v>
      </c>
      <c r="AQ5" s="97" t="s">
        <v>729</v>
      </c>
      <c r="AR5" s="97" t="s">
        <v>730</v>
      </c>
      <c r="AS5" s="97" t="s">
        <v>731</v>
      </c>
      <c r="AT5" s="98" t="s">
        <v>732</v>
      </c>
      <c r="AU5" s="96" t="s">
        <v>733</v>
      </c>
      <c r="AV5" s="97" t="s">
        <v>343</v>
      </c>
      <c r="AW5" s="97" t="s">
        <v>344</v>
      </c>
      <c r="AX5" s="97" t="s">
        <v>345</v>
      </c>
      <c r="AY5" s="98" t="s">
        <v>346</v>
      </c>
      <c r="AZ5" s="96" t="s">
        <v>347</v>
      </c>
      <c r="BA5" s="97" t="s">
        <v>660</v>
      </c>
      <c r="BB5" s="99" t="s">
        <v>661</v>
      </c>
      <c r="BC5" s="99" t="s">
        <v>662</v>
      </c>
      <c r="BD5" s="98" t="s">
        <v>663</v>
      </c>
      <c r="BE5" s="96" t="s">
        <v>664</v>
      </c>
      <c r="BF5" s="97" t="s">
        <v>144</v>
      </c>
      <c r="BG5" s="99" t="s">
        <v>145</v>
      </c>
      <c r="BH5" s="99" t="s">
        <v>146</v>
      </c>
      <c r="BI5" s="99" t="s">
        <v>147</v>
      </c>
      <c r="BJ5" s="96" t="s">
        <v>143</v>
      </c>
      <c r="BK5" s="99" t="s">
        <v>488</v>
      </c>
      <c r="BL5" s="99" t="s">
        <v>489</v>
      </c>
      <c r="BM5" s="99" t="s">
        <v>490</v>
      </c>
      <c r="BN5" s="100" t="s">
        <v>491</v>
      </c>
      <c r="BO5" s="1014" t="s">
        <v>492</v>
      </c>
      <c r="BP5" s="99" t="s">
        <v>637</v>
      </c>
      <c r="BQ5" s="99" t="s">
        <v>638</v>
      </c>
      <c r="BR5" s="99" t="s">
        <v>639</v>
      </c>
      <c r="BS5" s="100" t="s">
        <v>640</v>
      </c>
      <c r="BT5" s="1014" t="s">
        <v>492</v>
      </c>
      <c r="BU5" s="99" t="s">
        <v>755</v>
      </c>
      <c r="BV5" s="99" t="s">
        <v>756</v>
      </c>
      <c r="BW5" s="99" t="s">
        <v>757</v>
      </c>
      <c r="BX5" s="100" t="s">
        <v>758</v>
      </c>
      <c r="BY5" s="1014" t="s">
        <v>759</v>
      </c>
      <c r="BZ5" s="99" t="s">
        <v>711</v>
      </c>
      <c r="CA5" s="99" t="s">
        <v>712</v>
      </c>
      <c r="CB5" s="99" t="s">
        <v>713</v>
      </c>
      <c r="CC5" s="100" t="s">
        <v>714</v>
      </c>
      <c r="CD5" s="1014" t="s">
        <v>715</v>
      </c>
      <c r="CE5" s="97" t="s">
        <v>243</v>
      </c>
      <c r="CF5" s="97" t="s">
        <v>244</v>
      </c>
      <c r="CG5" s="97" t="s">
        <v>245</v>
      </c>
      <c r="CH5" s="98" t="s">
        <v>246</v>
      </c>
      <c r="CI5" s="1907" t="s">
        <v>247</v>
      </c>
      <c r="CJ5" s="97" t="s">
        <v>248</v>
      </c>
      <c r="CK5" s="99" t="s">
        <v>249</v>
      </c>
      <c r="CL5" s="99" t="s">
        <v>250</v>
      </c>
      <c r="CM5" s="100" t="s">
        <v>251</v>
      </c>
      <c r="CN5" s="1014" t="s">
        <v>252</v>
      </c>
      <c r="CO5" s="99" t="s">
        <v>846</v>
      </c>
      <c r="CP5" s="99" t="s">
        <v>847</v>
      </c>
      <c r="CQ5" s="99" t="s">
        <v>848</v>
      </c>
      <c r="CR5" s="100" t="s">
        <v>849</v>
      </c>
      <c r="CS5" s="1014" t="s">
        <v>850</v>
      </c>
      <c r="CT5" s="99" t="s">
        <v>846</v>
      </c>
      <c r="CU5" s="99" t="s">
        <v>847</v>
      </c>
      <c r="CV5" s="99" t="s">
        <v>848</v>
      </c>
      <c r="CW5" s="100" t="s">
        <v>849</v>
      </c>
      <c r="CX5" s="1014" t="s">
        <v>850</v>
      </c>
      <c r="DA5" s="102"/>
      <c r="DB5" s="101"/>
      <c r="DC5" s="101"/>
    </row>
    <row r="6" spans="1:107" collapsed="1">
      <c r="A6" s="103"/>
      <c r="B6" s="103"/>
      <c r="C6" s="104" t="s">
        <v>558</v>
      </c>
      <c r="D6" s="105" t="s">
        <v>204</v>
      </c>
      <c r="E6" s="105" t="s">
        <v>205</v>
      </c>
      <c r="F6" s="105" t="s">
        <v>206</v>
      </c>
      <c r="G6" s="106" t="s">
        <v>688</v>
      </c>
      <c r="H6" s="105" t="s">
        <v>207</v>
      </c>
      <c r="I6" s="105" t="s">
        <v>208</v>
      </c>
      <c r="J6" s="105" t="s">
        <v>209</v>
      </c>
      <c r="K6" s="105" t="s">
        <v>210</v>
      </c>
      <c r="L6" s="106" t="s">
        <v>689</v>
      </c>
      <c r="M6" s="105" t="s">
        <v>211</v>
      </c>
      <c r="N6" s="105" t="s">
        <v>212</v>
      </c>
      <c r="O6" s="105" t="s">
        <v>281</v>
      </c>
      <c r="P6" s="107" t="s">
        <v>282</v>
      </c>
      <c r="Q6" s="106" t="s">
        <v>690</v>
      </c>
      <c r="R6" s="105" t="s">
        <v>283</v>
      </c>
      <c r="S6" s="105" t="s">
        <v>284</v>
      </c>
      <c r="T6" s="105" t="s">
        <v>285</v>
      </c>
      <c r="U6" s="107" t="s">
        <v>286</v>
      </c>
      <c r="V6" s="106" t="s">
        <v>369</v>
      </c>
      <c r="W6" s="105" t="s">
        <v>267</v>
      </c>
      <c r="X6" s="105" t="s">
        <v>574</v>
      </c>
      <c r="Y6" s="105" t="s">
        <v>575</v>
      </c>
      <c r="Z6" s="107" t="s">
        <v>703</v>
      </c>
      <c r="AA6" s="106" t="s">
        <v>279</v>
      </c>
      <c r="AB6" s="105" t="s">
        <v>469</v>
      </c>
      <c r="AC6" s="105" t="s">
        <v>470</v>
      </c>
      <c r="AD6" s="105" t="s">
        <v>610</v>
      </c>
      <c r="AE6" s="107" t="s">
        <v>569</v>
      </c>
      <c r="AF6" s="106" t="s">
        <v>137</v>
      </c>
      <c r="AG6" s="105" t="s">
        <v>200</v>
      </c>
      <c r="AH6" s="105" t="s">
        <v>475</v>
      </c>
      <c r="AI6" s="105" t="s">
        <v>468</v>
      </c>
      <c r="AJ6" s="107" t="s">
        <v>577</v>
      </c>
      <c r="AK6" s="106" t="s">
        <v>656</v>
      </c>
      <c r="AL6" s="105" t="s">
        <v>5</v>
      </c>
      <c r="AM6" s="105" t="s">
        <v>184</v>
      </c>
      <c r="AN6" s="105" t="s">
        <v>425</v>
      </c>
      <c r="AO6" s="107" t="s">
        <v>632</v>
      </c>
      <c r="AP6" s="106" t="s">
        <v>582</v>
      </c>
      <c r="AQ6" s="105" t="s">
        <v>280</v>
      </c>
      <c r="AR6" s="105" t="s">
        <v>503</v>
      </c>
      <c r="AS6" s="105" t="s">
        <v>666</v>
      </c>
      <c r="AT6" s="107" t="s">
        <v>742</v>
      </c>
      <c r="AU6" s="106" t="s">
        <v>583</v>
      </c>
      <c r="AV6" s="105" t="s">
        <v>426</v>
      </c>
      <c r="AW6" s="105" t="s">
        <v>214</v>
      </c>
      <c r="AX6" s="105" t="s">
        <v>724</v>
      </c>
      <c r="AY6" s="107" t="s">
        <v>441</v>
      </c>
      <c r="AZ6" s="106" t="s">
        <v>584</v>
      </c>
      <c r="BA6" s="105" t="s">
        <v>68</v>
      </c>
      <c r="BB6" s="105" t="s">
        <v>530</v>
      </c>
      <c r="BC6" s="105" t="s">
        <v>675</v>
      </c>
      <c r="BD6" s="107" t="s">
        <v>633</v>
      </c>
      <c r="BE6" s="106" t="s">
        <v>585</v>
      </c>
      <c r="BF6" s="105" t="s">
        <v>498</v>
      </c>
      <c r="BG6" s="105" t="s">
        <v>542</v>
      </c>
      <c r="BH6" s="105" t="s">
        <v>106</v>
      </c>
      <c r="BI6" s="105" t="s">
        <v>752</v>
      </c>
      <c r="BJ6" s="106" t="s">
        <v>586</v>
      </c>
      <c r="BK6" s="105" t="s">
        <v>434</v>
      </c>
      <c r="BL6" s="105" t="s">
        <v>304</v>
      </c>
      <c r="BM6" s="105" t="s">
        <v>677</v>
      </c>
      <c r="BN6" s="105" t="s">
        <v>452</v>
      </c>
      <c r="BO6" s="1225" t="s">
        <v>587</v>
      </c>
      <c r="BP6" s="105" t="s">
        <v>459</v>
      </c>
      <c r="BQ6" s="105" t="s">
        <v>172</v>
      </c>
      <c r="BR6" s="105" t="s">
        <v>176</v>
      </c>
      <c r="BS6" s="105" t="s">
        <v>179</v>
      </c>
      <c r="BT6" s="1225" t="s">
        <v>588</v>
      </c>
      <c r="BU6" s="105" t="s">
        <v>788</v>
      </c>
      <c r="BV6" s="105" t="s">
        <v>812</v>
      </c>
      <c r="BW6" s="105" t="s">
        <v>816</v>
      </c>
      <c r="BX6" s="105" t="s">
        <v>820</v>
      </c>
      <c r="BY6" s="1225" t="s">
        <v>589</v>
      </c>
      <c r="BZ6" s="105" t="s">
        <v>822</v>
      </c>
      <c r="CA6" s="105" t="s">
        <v>831</v>
      </c>
      <c r="CB6" s="105" t="s">
        <v>841</v>
      </c>
      <c r="CC6" s="107" t="s">
        <v>856</v>
      </c>
      <c r="CD6" s="1225" t="s">
        <v>590</v>
      </c>
      <c r="CE6" s="105" t="s">
        <v>864</v>
      </c>
      <c r="CF6" s="105" t="s">
        <v>865</v>
      </c>
      <c r="CG6" s="105" t="s">
        <v>866</v>
      </c>
      <c r="CH6" s="107" t="s">
        <v>905</v>
      </c>
      <c r="CI6" s="1908" t="s">
        <v>591</v>
      </c>
      <c r="CJ6" s="105" t="s">
        <v>912</v>
      </c>
      <c r="CK6" s="108" t="s">
        <v>253</v>
      </c>
      <c r="CL6" s="108" t="s">
        <v>254</v>
      </c>
      <c r="CM6" s="109" t="s">
        <v>255</v>
      </c>
      <c r="CN6" s="1225" t="s">
        <v>256</v>
      </c>
      <c r="CO6" s="108" t="s">
        <v>851</v>
      </c>
      <c r="CP6" s="108" t="s">
        <v>852</v>
      </c>
      <c r="CQ6" s="108" t="s">
        <v>853</v>
      </c>
      <c r="CR6" s="109" t="s">
        <v>854</v>
      </c>
      <c r="CS6" s="1225" t="s">
        <v>855</v>
      </c>
      <c r="CT6" s="108" t="s">
        <v>869</v>
      </c>
      <c r="CU6" s="108" t="s">
        <v>870</v>
      </c>
      <c r="CV6" s="108" t="s">
        <v>871</v>
      </c>
      <c r="CW6" s="109" t="s">
        <v>872</v>
      </c>
      <c r="CX6" s="1225" t="s">
        <v>873</v>
      </c>
      <c r="DA6" s="112"/>
      <c r="DB6" s="111"/>
      <c r="DC6" s="111"/>
    </row>
    <row r="7" spans="1:107" ht="5.25" customHeight="1">
      <c r="A7" s="114"/>
      <c r="B7" s="115"/>
      <c r="C7" s="116"/>
      <c r="D7" s="117"/>
      <c r="E7" s="117"/>
      <c r="F7" s="118"/>
      <c r="G7" s="119"/>
      <c r="H7" s="117"/>
      <c r="I7" s="117"/>
      <c r="J7" s="117"/>
      <c r="K7" s="118"/>
      <c r="L7" s="118"/>
      <c r="M7" s="117"/>
      <c r="N7" s="117"/>
      <c r="O7" s="117"/>
      <c r="P7" s="118"/>
      <c r="Q7" s="119"/>
      <c r="R7" s="117"/>
      <c r="S7" s="117"/>
      <c r="T7" s="117"/>
      <c r="U7" s="118"/>
      <c r="V7" s="119"/>
      <c r="W7" s="117"/>
      <c r="X7" s="117"/>
      <c r="Y7" s="117"/>
      <c r="Z7" s="118"/>
      <c r="AA7" s="120"/>
      <c r="AB7" s="121"/>
      <c r="AC7" s="121"/>
      <c r="AD7" s="121"/>
      <c r="AE7" s="122"/>
      <c r="AF7" s="120"/>
      <c r="AG7" s="121"/>
      <c r="AH7" s="121"/>
      <c r="AI7" s="121"/>
      <c r="AJ7" s="122"/>
      <c r="AK7" s="120"/>
      <c r="AL7" s="121"/>
      <c r="AM7" s="121"/>
      <c r="AN7" s="121"/>
      <c r="AO7" s="122"/>
      <c r="AP7" s="120"/>
      <c r="AQ7" s="121"/>
      <c r="AR7" s="435"/>
      <c r="AS7" s="121"/>
      <c r="AT7" s="122"/>
      <c r="AU7" s="120"/>
      <c r="AV7" s="121"/>
      <c r="AW7" s="435"/>
      <c r="AX7" s="435"/>
      <c r="AY7" s="122"/>
      <c r="AZ7" s="120"/>
      <c r="BA7" s="121"/>
      <c r="BB7" s="435"/>
      <c r="BC7" s="121"/>
      <c r="BD7" s="122"/>
      <c r="BE7" s="120"/>
      <c r="BF7" s="121"/>
      <c r="BG7" s="435"/>
      <c r="BH7" s="435"/>
      <c r="BI7" s="435"/>
      <c r="BJ7" s="120"/>
      <c r="BK7" s="121"/>
      <c r="BL7" s="435"/>
      <c r="BM7" s="435"/>
      <c r="BN7" s="124"/>
      <c r="BO7" s="1226"/>
      <c r="BP7" s="121"/>
      <c r="BQ7" s="435"/>
      <c r="BR7" s="435"/>
      <c r="BS7" s="124"/>
      <c r="BT7" s="1226"/>
      <c r="BU7" s="121"/>
      <c r="BV7" s="435"/>
      <c r="BW7" s="435"/>
      <c r="BX7" s="124"/>
      <c r="BY7" s="1226"/>
      <c r="BZ7" s="123"/>
      <c r="CA7" s="121"/>
      <c r="CB7" s="123"/>
      <c r="CC7" s="124"/>
      <c r="CD7" s="1226"/>
      <c r="CE7" s="121"/>
      <c r="CF7" s="121"/>
      <c r="CG7" s="121"/>
      <c r="CH7" s="122"/>
      <c r="CI7" s="1441"/>
      <c r="CJ7" s="121"/>
      <c r="CK7" s="123"/>
      <c r="CL7" s="123"/>
      <c r="CM7" s="124"/>
      <c r="CN7" s="1226"/>
      <c r="CO7" s="123"/>
      <c r="CP7" s="123"/>
      <c r="CQ7" s="123"/>
      <c r="CR7" s="124"/>
      <c r="CS7" s="1226"/>
      <c r="CT7" s="123"/>
      <c r="CU7" s="123"/>
      <c r="CV7" s="123"/>
      <c r="CW7" s="124"/>
      <c r="CX7" s="1226"/>
      <c r="DA7" s="126"/>
      <c r="DB7" s="117"/>
      <c r="DC7" s="117"/>
    </row>
    <row r="8" spans="1:107" ht="11.25" hidden="1" customHeight="1" outlineLevel="1">
      <c r="A8" s="127" t="s">
        <v>471</v>
      </c>
      <c r="B8" s="115"/>
      <c r="C8" s="128"/>
      <c r="D8" s="129"/>
      <c r="E8" s="129"/>
      <c r="F8" s="130"/>
      <c r="G8" s="131"/>
      <c r="H8" s="129"/>
      <c r="I8" s="129"/>
      <c r="J8" s="129"/>
      <c r="K8" s="130"/>
      <c r="L8" s="130"/>
      <c r="M8" s="129"/>
      <c r="N8" s="129"/>
      <c r="O8" s="129"/>
      <c r="P8" s="130"/>
      <c r="Q8" s="131"/>
      <c r="R8" s="129"/>
      <c r="S8" s="129"/>
      <c r="T8" s="129"/>
      <c r="U8" s="130"/>
      <c r="V8" s="131"/>
      <c r="W8" s="129"/>
      <c r="X8" s="129"/>
      <c r="Y8" s="129"/>
      <c r="Z8" s="130"/>
      <c r="AA8" s="131"/>
      <c r="AB8" s="129"/>
      <c r="AC8" s="129"/>
      <c r="AD8" s="129"/>
      <c r="AE8" s="130"/>
      <c r="AF8" s="131"/>
      <c r="AG8" s="129"/>
      <c r="AH8" s="129"/>
      <c r="AI8" s="129"/>
      <c r="AJ8" s="130"/>
      <c r="AK8" s="131"/>
      <c r="AL8" s="129"/>
      <c r="AM8" s="129"/>
      <c r="AN8" s="129"/>
      <c r="AO8" s="130"/>
      <c r="AP8" s="131"/>
      <c r="AQ8" s="129"/>
      <c r="AR8" s="132"/>
      <c r="AS8" s="129"/>
      <c r="AT8" s="130"/>
      <c r="AU8" s="131"/>
      <c r="AV8" s="129"/>
      <c r="AW8" s="132"/>
      <c r="AX8" s="132"/>
      <c r="AY8" s="130"/>
      <c r="AZ8" s="131"/>
      <c r="BA8" s="129"/>
      <c r="BB8" s="132"/>
      <c r="BC8" s="129"/>
      <c r="BD8" s="130"/>
      <c r="BE8" s="131"/>
      <c r="BF8" s="129"/>
      <c r="BG8" s="132"/>
      <c r="BH8" s="132"/>
      <c r="BI8" s="132"/>
      <c r="BJ8" s="131"/>
      <c r="BK8" s="129"/>
      <c r="BL8" s="132"/>
      <c r="BM8" s="132"/>
      <c r="BN8" s="133"/>
      <c r="BO8" s="1015"/>
      <c r="BP8" s="129"/>
      <c r="BQ8" s="132"/>
      <c r="BR8" s="132"/>
      <c r="BS8" s="133"/>
      <c r="BT8" s="1015"/>
      <c r="BU8" s="129"/>
      <c r="BV8" s="132"/>
      <c r="BW8" s="132"/>
      <c r="BX8" s="133"/>
      <c r="BY8" s="1015"/>
      <c r="BZ8" s="132"/>
      <c r="CA8" s="129"/>
      <c r="CB8" s="132"/>
      <c r="CC8" s="133"/>
      <c r="CD8" s="1015"/>
      <c r="CE8" s="129"/>
      <c r="CF8" s="129"/>
      <c r="CG8" s="129"/>
      <c r="CH8" s="130"/>
      <c r="CI8" s="1909"/>
      <c r="CJ8" s="129"/>
      <c r="CK8" s="132"/>
      <c r="CL8" s="132"/>
      <c r="CM8" s="133"/>
      <c r="CN8" s="1015"/>
      <c r="CO8" s="132"/>
      <c r="CP8" s="132"/>
      <c r="CQ8" s="132"/>
      <c r="CR8" s="133"/>
      <c r="CS8" s="1015"/>
      <c r="CT8" s="132"/>
      <c r="CU8" s="132"/>
      <c r="CV8" s="132"/>
      <c r="CW8" s="133"/>
      <c r="CX8" s="1015"/>
      <c r="DA8" s="134"/>
      <c r="DB8" s="129"/>
      <c r="DC8" s="129"/>
    </row>
    <row r="9" spans="1:107" ht="10.5" hidden="1" customHeight="1" outlineLevel="1">
      <c r="A9" s="135" t="s">
        <v>367</v>
      </c>
      <c r="B9" s="115"/>
      <c r="C9" s="136">
        <f>'Rev by Geo'!C39</f>
        <v>151.32574</v>
      </c>
      <c r="D9" s="137">
        <f>'Rev by Geo'!D39</f>
        <v>158.28278</v>
      </c>
      <c r="E9" s="137">
        <f>'Rev by Geo'!E39</f>
        <v>154.82254</v>
      </c>
      <c r="F9" s="138">
        <f>'Rev by Geo'!F39</f>
        <v>127.07694000000004</v>
      </c>
      <c r="G9" s="139">
        <f>'Rev by Geo'!G39</f>
        <v>591.50800000000004</v>
      </c>
      <c r="H9" s="137">
        <f>'Rev by Geo'!H39</f>
        <v>123.23216000000001</v>
      </c>
      <c r="I9" s="137">
        <f>'Rev by Geo'!I39</f>
        <v>158.67950000000002</v>
      </c>
      <c r="J9" s="137">
        <f>'Rev by Geo'!J39</f>
        <v>156.68345000000002</v>
      </c>
      <c r="K9" s="138">
        <f>'Rev by Geo'!K39</f>
        <v>145.20488999999986</v>
      </c>
      <c r="L9" s="138">
        <f>'Rev by Geo'!L39</f>
        <v>583.79999999999995</v>
      </c>
      <c r="M9" s="137">
        <f>'Rev by Geo'!M39</f>
        <v>146.5</v>
      </c>
      <c r="N9" s="137">
        <f>'Rev by Geo'!N39</f>
        <v>157.4</v>
      </c>
      <c r="O9" s="137">
        <f>'Rev by Geo'!O39</f>
        <v>156.80000000000001</v>
      </c>
      <c r="P9" s="138">
        <f>'Rev by Geo'!P39</f>
        <v>179.50000000000006</v>
      </c>
      <c r="Q9" s="139">
        <f>'Rev by Geo'!Q39</f>
        <v>640.20000000000005</v>
      </c>
      <c r="R9" s="137">
        <f>'Rev by Geo'!R9</f>
        <v>183.5</v>
      </c>
      <c r="S9" s="137">
        <f>'Rev by Geo'!S9</f>
        <v>182.5</v>
      </c>
      <c r="T9" s="137">
        <f>'Rev by Geo'!T9</f>
        <v>195.9</v>
      </c>
      <c r="U9" s="138">
        <f>'Rev by Geo'!U9</f>
        <v>208.70000000000005</v>
      </c>
      <c r="V9" s="139">
        <f>'Rev by Geo'!V9</f>
        <v>770.6</v>
      </c>
      <c r="W9" s="137">
        <f>'Rev by Geo'!W9</f>
        <v>218</v>
      </c>
      <c r="X9" s="137">
        <f>'Rev by Geo'!X9</f>
        <v>242.4</v>
      </c>
      <c r="Y9" s="137">
        <f>'Rev by Geo'!Y9</f>
        <v>228.3</v>
      </c>
      <c r="Z9" s="138">
        <f>'Rev by Geo'!Z9</f>
        <v>251</v>
      </c>
      <c r="AA9" s="139">
        <f>'Rev by Geo'!AA9</f>
        <v>939.7</v>
      </c>
      <c r="AB9" s="137">
        <f>'Rev by Geo'!AB9</f>
        <v>313.7</v>
      </c>
      <c r="AC9" s="137">
        <f>'Rev by Geo'!AC9</f>
        <v>305.89999999999998</v>
      </c>
      <c r="AD9" s="137">
        <f>'Rev by Geo'!AD9</f>
        <v>310.3</v>
      </c>
      <c r="AE9" s="138">
        <f>'Rev by Geo'!AE9</f>
        <v>336.9</v>
      </c>
      <c r="AF9" s="139">
        <f>'Rev by Geo'!AF9</f>
        <v>1266.7999999999997</v>
      </c>
      <c r="AG9" s="137">
        <f>'Rev by Geo'!AG9</f>
        <v>298.3</v>
      </c>
      <c r="AH9" s="137">
        <f>'Rev by Geo'!AH9</f>
        <v>383.5</v>
      </c>
      <c r="AI9" s="137">
        <f>'Rev by Geo'!AI9</f>
        <v>400.7</v>
      </c>
      <c r="AJ9" s="138">
        <f>'Rev by Geo'!AJ9</f>
        <v>426.4</v>
      </c>
      <c r="AK9" s="139">
        <f>'Rev by Geo'!AK9</f>
        <v>1508.9</v>
      </c>
      <c r="AL9" s="137">
        <f>'Rev by Geo'!AL9</f>
        <v>396.9</v>
      </c>
      <c r="AM9" s="137">
        <f>'Rev by Geo'!AM9</f>
        <v>383.8</v>
      </c>
      <c r="AN9" s="137">
        <f>'Rev by Geo'!AN9</f>
        <v>429.6</v>
      </c>
      <c r="AO9" s="138">
        <f>'Rev by Geo'!AO9</f>
        <v>422.6</v>
      </c>
      <c r="AP9" s="139">
        <f>'Rev by Geo'!AP9</f>
        <v>1632.9</v>
      </c>
      <c r="AQ9" s="137">
        <f>'Rev by Geo'!AQ9</f>
        <v>326.10000000000002</v>
      </c>
      <c r="AR9" s="137">
        <f>'Rev by Geo'!AR9</f>
        <v>317.8</v>
      </c>
      <c r="AS9" s="137">
        <f>'Rev by Geo'!AS9</f>
        <v>354.6</v>
      </c>
      <c r="AT9" s="138">
        <f>'Rev by Geo'!AT9</f>
        <v>384.2</v>
      </c>
      <c r="AU9" s="139">
        <f>'Rev by Geo'!AU9</f>
        <v>1382.7</v>
      </c>
      <c r="AV9" s="137">
        <f>'Rev by Geo'!AV9</f>
        <v>408.4</v>
      </c>
      <c r="AW9" s="137">
        <f>'Rev by Geo'!AW9</f>
        <v>455.2</v>
      </c>
      <c r="AX9" s="137">
        <f>'Rev by Geo'!AX9</f>
        <v>493.9</v>
      </c>
      <c r="AY9" s="138">
        <f>'Rev by Geo'!AY9</f>
        <v>492.9</v>
      </c>
      <c r="AZ9" s="139">
        <f>'Rev by Geo'!AZ9</f>
        <v>1850.4</v>
      </c>
      <c r="BA9" s="137">
        <f>'Rev by Geo'!BA9</f>
        <v>506.3</v>
      </c>
      <c r="BB9" s="137">
        <f>'Rev by Geo'!BB9</f>
        <v>492.5</v>
      </c>
      <c r="BC9" s="147">
        <f>'Rev by Geo'!BC9</f>
        <v>507.6</v>
      </c>
      <c r="BD9" s="138">
        <f>'Rev by Geo'!BD9</f>
        <v>554.9</v>
      </c>
      <c r="BE9" s="139">
        <f>'Rev by Geo'!BE9</f>
        <v>2061.3000000000002</v>
      </c>
      <c r="BF9" s="137">
        <f>'Rev by Geo'!BF9</f>
        <v>503.1</v>
      </c>
      <c r="BG9" s="137">
        <v>551.29999999999995</v>
      </c>
      <c r="BH9" s="137">
        <v>558.29999999999995</v>
      </c>
      <c r="BI9" s="137">
        <f>'Rev by Geo'!BI9</f>
        <v>583.6</v>
      </c>
      <c r="BJ9" s="139">
        <f>'Rev by Geo'!BJ9</f>
        <v>2196.3000000000002</v>
      </c>
      <c r="BK9" s="137">
        <f>'Rev by Geo'!BK39</f>
        <v>500.3</v>
      </c>
      <c r="BL9" s="137">
        <f>'Rev by Geo'!BL39</f>
        <v>525.4</v>
      </c>
      <c r="BM9" s="137">
        <f>'Rev by Geo'!BM39</f>
        <v>534.1</v>
      </c>
      <c r="BN9" s="137">
        <f>'Rev by Geo'!BN39</f>
        <v>574.6</v>
      </c>
      <c r="BO9" s="1440">
        <f>'Rev by Geo'!BT9</f>
        <v>2314.4</v>
      </c>
      <c r="BP9" s="137">
        <f>'Rev by Geo'!BP39</f>
        <v>536.6</v>
      </c>
      <c r="BQ9" s="137">
        <f>'Rev by Geo'!BQ39</f>
        <v>579.20000000000005</v>
      </c>
      <c r="BR9" s="137">
        <f>'Rev by Geo'!BR39</f>
        <v>582</v>
      </c>
      <c r="BS9" s="137">
        <f>'Rev by Geo'!BS39</f>
        <v>616.6</v>
      </c>
      <c r="BT9" s="1440">
        <f>'Rev by Geo'!BY9</f>
        <v>2788.1000000000004</v>
      </c>
      <c r="BU9" s="137">
        <f>'Rev by Geo'!BU39</f>
        <v>644.6</v>
      </c>
      <c r="BV9" s="137">
        <f>'Rev by Geo'!BV39</f>
        <v>669.2</v>
      </c>
      <c r="BW9" s="137">
        <f>'Rev by Geo'!BW39</f>
        <v>698.1</v>
      </c>
      <c r="BX9" s="137">
        <f>'Rev by Geo'!BX39</f>
        <v>776.2</v>
      </c>
      <c r="BY9" s="1440">
        <f>'Rev by Geo'!BY39</f>
        <v>2788.1000000000004</v>
      </c>
      <c r="BZ9" s="137">
        <v>806.5</v>
      </c>
      <c r="CA9" s="137">
        <v>820</v>
      </c>
      <c r="CB9" s="137">
        <v>851.9</v>
      </c>
      <c r="CC9" s="137">
        <v>921.7</v>
      </c>
      <c r="CD9" s="1440">
        <f>'Rev by Geo'!CD39</f>
        <v>3400.1350000000002</v>
      </c>
      <c r="CE9" s="147">
        <v>975.8</v>
      </c>
      <c r="CF9" s="137">
        <v>1026.7</v>
      </c>
      <c r="CG9" s="137">
        <v>1063.0999999999999</v>
      </c>
      <c r="CH9" s="137">
        <v>1151</v>
      </c>
      <c r="CI9" s="1440">
        <f>'Rev by Geo'!CI39</f>
        <v>4216.5</v>
      </c>
      <c r="CJ9" s="147">
        <v>1170.7</v>
      </c>
      <c r="CK9" s="150">
        <f>'Rev by Geo'!DK9</f>
        <v>0</v>
      </c>
      <c r="CL9" s="150">
        <f>'Rev by Geo'!DL9</f>
        <v>0</v>
      </c>
      <c r="CM9" s="141">
        <f>'Rev by Geo'!DM9</f>
        <v>0</v>
      </c>
      <c r="CN9" s="1016">
        <f>'Rev by Geo'!DN9</f>
        <v>0</v>
      </c>
      <c r="CO9" s="150">
        <f>'Rev by Geo'!DO9</f>
        <v>0</v>
      </c>
      <c r="CP9" s="150">
        <f>'Rev by Geo'!DP9</f>
        <v>0</v>
      </c>
      <c r="CQ9" s="150">
        <f>'Rev by Geo'!DQ9</f>
        <v>0</v>
      </c>
      <c r="CR9" s="141">
        <f>'Rev by Geo'!DR9</f>
        <v>0</v>
      </c>
      <c r="CS9" s="1016">
        <f>'Rev by Geo'!DS9</f>
        <v>0</v>
      </c>
      <c r="CT9" s="150">
        <f>'Rev by Geo'!DT9</f>
        <v>0</v>
      </c>
      <c r="CU9" s="150">
        <f>'Rev by Geo'!DU9</f>
        <v>0</v>
      </c>
      <c r="CV9" s="150">
        <f>'Rev by Geo'!DV9</f>
        <v>0</v>
      </c>
      <c r="CW9" s="141">
        <f>'Rev by Geo'!DW9</f>
        <v>0</v>
      </c>
      <c r="CX9" s="1016">
        <f>'Rev by Geo'!DX9</f>
        <v>0</v>
      </c>
      <c r="DA9" s="143"/>
      <c r="DB9" s="142"/>
      <c r="DC9" s="142"/>
    </row>
    <row r="10" spans="1:107" ht="10.5" hidden="1" customHeight="1" outlineLevel="1">
      <c r="A10" s="135" t="s">
        <v>643</v>
      </c>
      <c r="B10" s="115"/>
      <c r="C10" s="136">
        <f>SUM('Rev by Geo'!C40:C42)</f>
        <v>177.64326</v>
      </c>
      <c r="D10" s="137">
        <f>SUM('Rev by Geo'!D40:D42)</f>
        <v>185.81022000000002</v>
      </c>
      <c r="E10" s="137">
        <f>SUM('Rev by Geo'!E40:E42)</f>
        <v>137.29545999999999</v>
      </c>
      <c r="F10" s="138">
        <f>SUM('Rev by Geo'!F40:F42)</f>
        <v>137.4630600000001</v>
      </c>
      <c r="G10" s="139">
        <f>G24-G9</f>
        <v>638.21199999999999</v>
      </c>
      <c r="H10" s="137">
        <f>SUM('Rev by Geo'!H40:H42)</f>
        <v>144.66384000000002</v>
      </c>
      <c r="I10" s="137">
        <f>SUM('Rev by Geo'!I40:I42)</f>
        <v>158.67950000000002</v>
      </c>
      <c r="J10" s="137">
        <f>SUM('Rev by Geo'!J40:J42)</f>
        <v>128.19555</v>
      </c>
      <c r="K10" s="138">
        <f>SUM('Rev by Geo'!K40:K42)</f>
        <v>149.46110999999999</v>
      </c>
      <c r="L10" s="138">
        <f>L24-L9</f>
        <v>580.98800000000006</v>
      </c>
      <c r="M10" s="137">
        <f>SUM('Rev by Geo'!M40:M42)</f>
        <v>150.4</v>
      </c>
      <c r="N10" s="137">
        <f>SUM('Rev by Geo'!N40:N42)</f>
        <v>162.69999999999999</v>
      </c>
      <c r="O10" s="137">
        <f>SUM('Rev by Geo'!O40:O42)</f>
        <v>162.30000000000001</v>
      </c>
      <c r="P10" s="138">
        <f>SUM('Rev by Geo'!P40:P42)</f>
        <v>179.10000000000002</v>
      </c>
      <c r="Q10" s="139">
        <f>Q24-Q9</f>
        <v>654.54899999999975</v>
      </c>
      <c r="R10" s="137">
        <f>'Rev by Geo'!R10</f>
        <v>239.78100000000001</v>
      </c>
      <c r="S10" s="137">
        <f>'Rev by Geo'!S10</f>
        <v>227.58499999999998</v>
      </c>
      <c r="T10" s="137">
        <f>'Rev by Geo'!T10</f>
        <v>207.81299999999996</v>
      </c>
      <c r="U10" s="138">
        <f>'Rev by Geo'!U10</f>
        <v>220.80199999999991</v>
      </c>
      <c r="V10" s="139">
        <f>V24-V9</f>
        <v>895.98100000000011</v>
      </c>
      <c r="W10" s="137">
        <f>'Rev by Geo'!W10</f>
        <v>254.88200000000001</v>
      </c>
      <c r="X10" s="137">
        <f>'Rev by Geo'!X10</f>
        <v>253.62899999999999</v>
      </c>
      <c r="Y10" s="137">
        <f>'Rev by Geo'!Y10</f>
        <v>258.73899999999998</v>
      </c>
      <c r="Z10" s="138">
        <f>'Rev by Geo'!Z10</f>
        <v>259.37100000000009</v>
      </c>
      <c r="AA10" s="139">
        <f>'Rev by Geo'!AA10</f>
        <v>1026.6210000000001</v>
      </c>
      <c r="AB10" s="137">
        <f>'Rev by Geo'!AB10</f>
        <v>341.77800000000008</v>
      </c>
      <c r="AC10" s="137">
        <f>'Rev by Geo'!AC10</f>
        <v>329.55600000000004</v>
      </c>
      <c r="AD10" s="137">
        <f>'Rev by Geo'!AD10</f>
        <v>291.89099999999991</v>
      </c>
      <c r="AE10" s="138">
        <f>'Rev by Geo'!AE10</f>
        <v>345.27499999999998</v>
      </c>
      <c r="AF10" s="139">
        <f>'Rev by Geo'!AF10</f>
        <v>1308.5</v>
      </c>
      <c r="AG10" s="137">
        <f>'Rev by Geo'!AG10</f>
        <v>351.10700000000003</v>
      </c>
      <c r="AH10" s="137">
        <f>'Rev by Geo'!AH10</f>
        <v>362.077</v>
      </c>
      <c r="AI10" s="137">
        <f>'Rev by Geo'!AI10</f>
        <v>450.98599999999993</v>
      </c>
      <c r="AJ10" s="138">
        <f>'Rev by Geo'!AJ10</f>
        <v>484.81100000000004</v>
      </c>
      <c r="AK10" s="139">
        <f>'Rev by Geo'!AK10</f>
        <v>1648.9809999999998</v>
      </c>
      <c r="AL10" s="137">
        <f>'Rev by Geo'!AL10</f>
        <v>493.54499999999996</v>
      </c>
      <c r="AM10" s="137">
        <f>'Rev by Geo'!AM10</f>
        <v>503.08600000000007</v>
      </c>
      <c r="AN10" s="137">
        <f>'Rev by Geo'!AN10</f>
        <v>457.65699999999993</v>
      </c>
      <c r="AO10" s="138">
        <f>'Rev by Geo'!AO10</f>
        <v>492.70100000000002</v>
      </c>
      <c r="AP10" s="139">
        <f>'Rev by Geo'!AP10</f>
        <v>1946.989</v>
      </c>
      <c r="AQ10" s="137">
        <f>'Rev by Geo'!AQ10</f>
        <v>460.28999999999996</v>
      </c>
      <c r="AR10" s="137">
        <f>'Rev by Geo'!AR10</f>
        <v>386.87299999999999</v>
      </c>
      <c r="AS10" s="137">
        <f>'Rev by Geo'!AS10</f>
        <v>342.90700000000004</v>
      </c>
      <c r="AT10" s="138">
        <f>'Rev by Geo'!AT10</f>
        <v>373.08300000000003</v>
      </c>
      <c r="AU10" s="139">
        <f>'Rev by Geo'!AU10</f>
        <v>1563.1530000000002</v>
      </c>
      <c r="AV10" s="137">
        <f>'Rev by Geo'!AV10</f>
        <v>450.30000000000007</v>
      </c>
      <c r="AW10" s="137">
        <f>'Rev by Geo'!AW10</f>
        <v>487.83499999999998</v>
      </c>
      <c r="AX10" s="137">
        <f>'Rev by Geo'!AX10</f>
        <v>496.4190000000001</v>
      </c>
      <c r="AY10" s="138">
        <f>'Rev by Geo'!AY10</f>
        <v>515.04599999999994</v>
      </c>
      <c r="AZ10" s="139">
        <f>'Rev by Geo'!AZ10</f>
        <v>1949.6</v>
      </c>
      <c r="BA10" s="137">
        <f>'Rev by Geo'!BA10</f>
        <v>521.40600000000018</v>
      </c>
      <c r="BB10" s="137">
        <f>'Rev by Geo'!BB10</f>
        <v>530.67899999999997</v>
      </c>
      <c r="BC10" s="147">
        <f>'Rev by Geo'!BC10</f>
        <v>505.61199999999997</v>
      </c>
      <c r="BD10" s="138">
        <f>'Rev by Geo'!BD10</f>
        <v>597.26099999999985</v>
      </c>
      <c r="BE10" s="139">
        <f>'Rev by Geo'!BE10</f>
        <v>2154.9580000000001</v>
      </c>
      <c r="BF10" s="137">
        <f>'Rev by Geo'!BF10</f>
        <v>542.12</v>
      </c>
      <c r="BG10" s="137">
        <f>325+248.1</f>
        <v>573.1</v>
      </c>
      <c r="BH10" s="137">
        <f>BH24-BH9</f>
        <v>522.28</v>
      </c>
      <c r="BI10" s="137">
        <f>'Rev by Geo'!BI10</f>
        <v>569.82799999999986</v>
      </c>
      <c r="BJ10" s="139">
        <f>'Rev by Geo'!BJ10</f>
        <v>2207.377</v>
      </c>
      <c r="BK10" s="137">
        <f>'Rev by Geo'!BK43-'Rev by Geo'!BK39</f>
        <v>507.57299999999992</v>
      </c>
      <c r="BL10" s="137">
        <f>'Rev by Geo'!BL43-'Rev by Geo'!BL39</f>
        <v>485.149</v>
      </c>
      <c r="BM10" s="137">
        <f>'Rev by Geo'!BM43-'Rev by Geo'!BM39</f>
        <v>461.01900000000001</v>
      </c>
      <c r="BN10" s="137">
        <f>'Rev by Geo'!BN43-'Rev by Geo'!BN39</f>
        <v>467.09899999999982</v>
      </c>
      <c r="BO10" s="1440">
        <f>'Rev by Geo'!BT10</f>
        <v>1832.665</v>
      </c>
      <c r="BP10" s="137">
        <f>'Rev by Geo'!BP43-'Rev by Geo'!BP39</f>
        <v>463.52</v>
      </c>
      <c r="BQ10" s="137">
        <f>'Rev by Geo'!BQ43-'Rev by Geo'!BQ39</f>
        <v>489.00800000000004</v>
      </c>
      <c r="BR10" s="137">
        <f>'Rev by Geo'!BR43-'Rev by Geo'!BR39</f>
        <v>423.40900000000011</v>
      </c>
      <c r="BS10" s="137">
        <f>'Rev by Geo'!BS43-'Rev by Geo'!BS39</f>
        <v>456.72799999999995</v>
      </c>
      <c r="BT10" s="1440">
        <f>'Rev by Geo'!BY10</f>
        <v>2007.4109999999996</v>
      </c>
      <c r="BU10" s="137">
        <f>'Rev by Geo'!BU43-'Rev by Geo'!BU39</f>
        <v>464.58100000000002</v>
      </c>
      <c r="BV10" s="137">
        <f>'Rev by Geo'!BV43-'Rev by Geo'!BV39</f>
        <v>492.95799999999986</v>
      </c>
      <c r="BW10" s="137">
        <f>'Rev by Geo'!BW43-'Rev by Geo'!BW39</f>
        <v>519.66800000000001</v>
      </c>
      <c r="BX10" s="137">
        <f>'Rev by Geo'!BX43-'Rev by Geo'!BX39</f>
        <v>530.20399999999972</v>
      </c>
      <c r="BY10" s="1440">
        <f>'Rev by Geo'!BY43-'Rev by Geo'!BY39</f>
        <v>2007.4109999999991</v>
      </c>
      <c r="BZ10" s="137">
        <f>385.6+191.2</f>
        <v>576.79999999999995</v>
      </c>
      <c r="CA10" s="137">
        <f>380.6+198.1</f>
        <v>578.70000000000005</v>
      </c>
      <c r="CB10" s="137">
        <f>400.2+211.9</f>
        <v>612.1</v>
      </c>
      <c r="CC10" s="137">
        <f>452.7+234</f>
        <v>686.7</v>
      </c>
      <c r="CD10" s="1440">
        <f>'Rev by Geo'!CD43-'Rev by Geo'!CD39</f>
        <v>2454.2950000000001</v>
      </c>
      <c r="CE10" s="147">
        <f>459.1+246.7</f>
        <v>705.8</v>
      </c>
      <c r="CF10" s="137">
        <f>475.9+269.6</f>
        <v>745.5</v>
      </c>
      <c r="CG10" s="137">
        <f>500.8+277.2</f>
        <v>778</v>
      </c>
      <c r="CH10" s="137">
        <f>549.2+306.4</f>
        <v>855.6</v>
      </c>
      <c r="CI10" s="1440">
        <f>'Rev by Geo'!CI43-'Rev by Geo'!CI39</f>
        <v>3085.0050000000001</v>
      </c>
      <c r="CJ10" s="147">
        <f>587.2+321</f>
        <v>908.2</v>
      </c>
      <c r="CK10" s="150">
        <f>'Rev by Geo'!DK10</f>
        <v>0</v>
      </c>
      <c r="CL10" s="150">
        <f>'Rev by Geo'!DL10</f>
        <v>0</v>
      </c>
      <c r="CM10" s="141">
        <f>'Rev by Geo'!DM10</f>
        <v>0</v>
      </c>
      <c r="CN10" s="1016">
        <f>'Rev by Geo'!DN10</f>
        <v>0</v>
      </c>
      <c r="CO10" s="150">
        <f>'Rev by Geo'!DO10</f>
        <v>0</v>
      </c>
      <c r="CP10" s="150">
        <f>'Rev by Geo'!DP10</f>
        <v>0</v>
      </c>
      <c r="CQ10" s="150">
        <f>'Rev by Geo'!DQ10</f>
        <v>0</v>
      </c>
      <c r="CR10" s="141">
        <f>'Rev by Geo'!DR10</f>
        <v>0</v>
      </c>
      <c r="CS10" s="1016">
        <f>'Rev by Geo'!DS10</f>
        <v>0</v>
      </c>
      <c r="CT10" s="150">
        <f>'Rev by Geo'!DT10</f>
        <v>0</v>
      </c>
      <c r="CU10" s="150">
        <f>'Rev by Geo'!DU10</f>
        <v>0</v>
      </c>
      <c r="CV10" s="150">
        <f>'Rev by Geo'!DV10</f>
        <v>0</v>
      </c>
      <c r="CW10" s="141">
        <f>'Rev by Geo'!DW10</f>
        <v>0</v>
      </c>
      <c r="CX10" s="1016">
        <f>'Rev by Geo'!DX10</f>
        <v>0</v>
      </c>
      <c r="DA10" s="143"/>
      <c r="DB10" s="142"/>
      <c r="DC10" s="142"/>
    </row>
    <row r="11" spans="1:107" ht="10.5" hidden="1" customHeight="1" outlineLevel="1">
      <c r="A11" s="135"/>
      <c r="B11" s="115"/>
      <c r="C11" s="136"/>
      <c r="D11" s="137"/>
      <c r="E11" s="137"/>
      <c r="F11" s="138"/>
      <c r="G11" s="139"/>
      <c r="H11" s="137"/>
      <c r="I11" s="137"/>
      <c r="J11" s="137"/>
      <c r="K11" s="138"/>
      <c r="L11" s="138"/>
      <c r="M11" s="137"/>
      <c r="N11" s="137"/>
      <c r="O11" s="137"/>
      <c r="P11" s="138"/>
      <c r="Q11" s="139"/>
      <c r="R11" s="137"/>
      <c r="S11" s="137"/>
      <c r="T11" s="137"/>
      <c r="U11" s="138"/>
      <c r="V11" s="139"/>
      <c r="W11" s="137"/>
      <c r="X11" s="137"/>
      <c r="Y11" s="137"/>
      <c r="Z11" s="138"/>
      <c r="AA11" s="139"/>
      <c r="AB11" s="137"/>
      <c r="AC11" s="137"/>
      <c r="AD11" s="137"/>
      <c r="AE11" s="138"/>
      <c r="AF11" s="139"/>
      <c r="AG11" s="137"/>
      <c r="AH11" s="137"/>
      <c r="AI11" s="137"/>
      <c r="AJ11" s="138"/>
      <c r="AK11" s="139"/>
      <c r="AL11" s="137"/>
      <c r="AM11" s="137"/>
      <c r="AN11" s="137"/>
      <c r="AO11" s="138"/>
      <c r="AP11" s="139"/>
      <c r="AQ11" s="137"/>
      <c r="AR11" s="137"/>
      <c r="AS11" s="137"/>
      <c r="AT11" s="138"/>
      <c r="AU11" s="139"/>
      <c r="AV11" s="137"/>
      <c r="AW11" s="137"/>
      <c r="AX11" s="137"/>
      <c r="AY11" s="138"/>
      <c r="AZ11" s="139"/>
      <c r="BA11" s="137"/>
      <c r="BB11" s="137"/>
      <c r="BC11" s="147"/>
      <c r="BD11" s="138"/>
      <c r="BE11" s="139"/>
      <c r="BF11" s="137"/>
      <c r="BG11" s="137"/>
      <c r="BH11" s="137"/>
      <c r="BI11" s="137"/>
      <c r="BJ11" s="139"/>
      <c r="BK11" s="137"/>
      <c r="BL11" s="137"/>
      <c r="BM11" s="137"/>
      <c r="BN11" s="137"/>
      <c r="BO11" s="1440"/>
      <c r="BP11" s="137"/>
      <c r="BQ11" s="137"/>
      <c r="BR11" s="137"/>
      <c r="BS11" s="137"/>
      <c r="BT11" s="1440"/>
      <c r="BU11" s="137"/>
      <c r="BV11" s="137"/>
      <c r="BW11" s="137"/>
      <c r="BX11" s="137"/>
      <c r="BY11" s="1440"/>
      <c r="BZ11" s="150"/>
      <c r="CA11" s="150"/>
      <c r="CB11" s="150"/>
      <c r="CC11" s="141"/>
      <c r="CD11" s="1016"/>
      <c r="CE11" s="147"/>
      <c r="CF11" s="147"/>
      <c r="CG11" s="147"/>
      <c r="CH11" s="138"/>
      <c r="CI11" s="1440"/>
      <c r="CJ11" s="147"/>
      <c r="CK11" s="150"/>
      <c r="CL11" s="150"/>
      <c r="CM11" s="141"/>
      <c r="CN11" s="1016"/>
      <c r="CO11" s="150"/>
      <c r="CP11" s="150"/>
      <c r="CQ11" s="150"/>
      <c r="CR11" s="141"/>
      <c r="CS11" s="1016"/>
      <c r="CT11" s="150"/>
      <c r="CU11" s="150"/>
      <c r="CV11" s="150"/>
      <c r="CW11" s="141"/>
      <c r="CX11" s="1016"/>
      <c r="DA11" s="143"/>
      <c r="DB11" s="142"/>
      <c r="DC11" s="142"/>
    </row>
    <row r="12" spans="1:107" ht="10.5" hidden="1" customHeight="1" outlineLevel="2">
      <c r="A12" s="144" t="s">
        <v>594</v>
      </c>
      <c r="B12" s="115"/>
      <c r="C12" s="136"/>
      <c r="D12" s="137"/>
      <c r="E12" s="137"/>
      <c r="F12" s="138"/>
      <c r="G12" s="139"/>
      <c r="H12" s="137"/>
      <c r="I12" s="137"/>
      <c r="J12" s="137"/>
      <c r="K12" s="138"/>
      <c r="L12" s="138"/>
      <c r="M12" s="137"/>
      <c r="N12" s="137"/>
      <c r="O12" s="137"/>
      <c r="P12" s="138"/>
      <c r="Q12" s="139"/>
      <c r="R12" s="137"/>
      <c r="S12" s="137"/>
      <c r="T12" s="137"/>
      <c r="U12" s="138"/>
      <c r="V12" s="139"/>
      <c r="W12" s="137"/>
      <c r="X12" s="137"/>
      <c r="Y12" s="137"/>
      <c r="Z12" s="138"/>
      <c r="AA12" s="139"/>
      <c r="AB12" s="137"/>
      <c r="AC12" s="137"/>
      <c r="AD12" s="137"/>
      <c r="AE12" s="138"/>
      <c r="AF12" s="139"/>
      <c r="AG12" s="137"/>
      <c r="AH12" s="137"/>
      <c r="AI12" s="137"/>
      <c r="AJ12" s="138"/>
      <c r="AK12" s="139"/>
      <c r="AL12" s="137"/>
      <c r="AM12" s="137"/>
      <c r="AN12" s="137"/>
      <c r="AO12" s="138"/>
      <c r="AP12" s="139"/>
      <c r="AQ12" s="137"/>
      <c r="AR12" s="137"/>
      <c r="AS12" s="137"/>
      <c r="AT12" s="138"/>
      <c r="AU12" s="139"/>
      <c r="AV12" s="137"/>
      <c r="AW12" s="137"/>
      <c r="AX12" s="137"/>
      <c r="AY12" s="138"/>
      <c r="AZ12" s="139"/>
      <c r="BA12" s="137">
        <f>1672.668-BB12</f>
        <v>842.68899999999985</v>
      </c>
      <c r="BB12" s="137">
        <v>829.97900000000004</v>
      </c>
      <c r="BC12" s="137">
        <v>811.92</v>
      </c>
      <c r="BD12" s="137">
        <f>3416.5-SUM(BA12:BC12)</f>
        <v>931.91200000000026</v>
      </c>
      <c r="BE12" s="139">
        <f>SUM(BA12:BD12)</f>
        <v>3416.5</v>
      </c>
      <c r="BF12" s="137">
        <f>1679.5-BG12</f>
        <v>808.47799999999995</v>
      </c>
      <c r="BG12" s="137">
        <v>871.02200000000005</v>
      </c>
      <c r="BH12" s="137">
        <v>810.45699999999999</v>
      </c>
      <c r="BI12" s="137">
        <f>3342.8-SUM(BF12:BH12)</f>
        <v>852.8430000000003</v>
      </c>
      <c r="BJ12" s="139">
        <f>SUM(BF12:BI12)</f>
        <v>3342.8</v>
      </c>
      <c r="BK12" s="137">
        <f>1320.1-BL12</f>
        <v>675.20099999999991</v>
      </c>
      <c r="BL12" s="137">
        <v>644.899</v>
      </c>
      <c r="BM12" s="137">
        <v>582.178</v>
      </c>
      <c r="BN12" s="137">
        <v>567.23199999999997</v>
      </c>
      <c r="BO12" s="1440"/>
      <c r="BP12" s="137">
        <v>471.45400000000001</v>
      </c>
      <c r="BQ12" s="137">
        <v>479.24700000000001</v>
      </c>
      <c r="BR12" s="137">
        <v>349.15100000000001</v>
      </c>
      <c r="BS12" s="137">
        <v>327.95100000000002</v>
      </c>
      <c r="BT12" s="1440"/>
      <c r="BU12" s="137">
        <v>290.774</v>
      </c>
      <c r="BV12" s="137">
        <v>274.53800000000001</v>
      </c>
      <c r="BW12" s="137">
        <v>275.33800000000002</v>
      </c>
      <c r="BX12" s="137">
        <v>284.49599999999998</v>
      </c>
      <c r="BY12" s="1440"/>
      <c r="BZ12" s="137">
        <v>201.11199999999999</v>
      </c>
      <c r="CA12" s="137">
        <v>196.5</v>
      </c>
      <c r="CB12" s="137">
        <v>180.96</v>
      </c>
      <c r="CC12" s="137">
        <v>221.92599999999999</v>
      </c>
      <c r="CD12" s="1016"/>
      <c r="CE12" s="137">
        <v>183.38499999999999</v>
      </c>
      <c r="CF12" s="137">
        <v>171.54499999999999</v>
      </c>
      <c r="CG12" s="137">
        <v>158.96100000000001</v>
      </c>
      <c r="CH12" s="137">
        <v>192.876</v>
      </c>
      <c r="CI12" s="1440"/>
      <c r="CJ12" s="137">
        <v>171.608</v>
      </c>
      <c r="CK12" s="150"/>
      <c r="CL12" s="150"/>
      <c r="CM12" s="141"/>
      <c r="CN12" s="1016"/>
      <c r="CO12" s="150"/>
      <c r="CP12" s="150"/>
      <c r="CQ12" s="150"/>
      <c r="CR12" s="141"/>
      <c r="CS12" s="1016"/>
      <c r="CT12" s="150"/>
      <c r="CU12" s="150"/>
      <c r="CV12" s="150"/>
      <c r="CW12" s="141"/>
      <c r="CX12" s="1016"/>
      <c r="DA12" s="143"/>
      <c r="DB12" s="142"/>
      <c r="DC12" s="142"/>
    </row>
    <row r="13" spans="1:107" ht="12" hidden="1" customHeight="1" outlineLevel="2">
      <c r="A13" s="155" t="s">
        <v>630</v>
      </c>
      <c r="B13" s="115"/>
      <c r="C13" s="116"/>
      <c r="D13" s="117"/>
      <c r="E13" s="117"/>
      <c r="F13" s="118"/>
      <c r="G13" s="119"/>
      <c r="H13" s="117"/>
      <c r="I13" s="117"/>
      <c r="J13" s="117"/>
      <c r="K13" s="118"/>
      <c r="L13" s="118"/>
      <c r="M13" s="117"/>
      <c r="N13" s="117"/>
      <c r="O13" s="117"/>
      <c r="P13" s="118"/>
      <c r="Q13" s="119"/>
      <c r="R13" s="117"/>
      <c r="S13" s="117"/>
      <c r="T13" s="121"/>
      <c r="U13" s="118"/>
      <c r="V13" s="119"/>
      <c r="W13" s="117"/>
      <c r="X13" s="117"/>
      <c r="Y13" s="117"/>
      <c r="Z13" s="118"/>
      <c r="AA13" s="120"/>
      <c r="AB13" s="121"/>
      <c r="AC13" s="121"/>
      <c r="AD13" s="121"/>
      <c r="AE13" s="122"/>
      <c r="AF13" s="120"/>
      <c r="AG13" s="121"/>
      <c r="AH13" s="121"/>
      <c r="AI13" s="121"/>
      <c r="AJ13" s="122"/>
      <c r="AK13" s="120"/>
      <c r="AL13" s="121"/>
      <c r="AM13" s="121"/>
      <c r="AN13" s="121"/>
      <c r="AO13" s="122"/>
      <c r="AP13" s="120"/>
      <c r="AQ13" s="121"/>
      <c r="AR13" s="123"/>
      <c r="AS13" s="121"/>
      <c r="AT13" s="122"/>
      <c r="AU13" s="120"/>
      <c r="AV13" s="121"/>
      <c r="AW13" s="123"/>
      <c r="AX13" s="123"/>
      <c r="AY13" s="122"/>
      <c r="AZ13" s="120"/>
      <c r="BA13" s="185"/>
      <c r="BB13" s="185"/>
      <c r="BC13" s="185"/>
      <c r="BD13" s="185"/>
      <c r="BE13" s="120"/>
      <c r="BF13" s="185">
        <f>IF(BA12=0,"NM",BF12/BA12-1)</f>
        <v>-4.0597420875316925E-2</v>
      </c>
      <c r="BG13" s="185">
        <f>BG12/BB12-1</f>
        <v>4.9450648751353965E-2</v>
      </c>
      <c r="BH13" s="185">
        <f>BH12/BC12-1</f>
        <v>-1.8019016651886766E-3</v>
      </c>
      <c r="BI13" s="185">
        <f>BI12/BD12-1</f>
        <v>-8.4845994042355821E-2</v>
      </c>
      <c r="BJ13" s="163">
        <f>BJ12/BE12-1</f>
        <v>-2.1571783989462801E-2</v>
      </c>
      <c r="BK13" s="185">
        <f>IF(BF12=0,"NM",BK12/BF12-1)</f>
        <v>-0.16484925996749455</v>
      </c>
      <c r="BL13" s="185">
        <f>BL12/BG12-1</f>
        <v>-0.259606531178317</v>
      </c>
      <c r="BM13" s="185">
        <f>BM12/BH12-1</f>
        <v>-0.28166701009430484</v>
      </c>
      <c r="BN13" s="185">
        <f>BN12/BI12-1</f>
        <v>-0.33489282318082014</v>
      </c>
      <c r="BO13" s="1441"/>
      <c r="BP13" s="185">
        <f>BP12/BK12-1</f>
        <v>-0.30175755071452781</v>
      </c>
      <c r="BQ13" s="185">
        <f>BQ12/BL12-1</f>
        <v>-0.2568650284773274</v>
      </c>
      <c r="BR13" s="185">
        <f>BR12/BM12-1</f>
        <v>-0.40026761574638681</v>
      </c>
      <c r="BS13" s="185">
        <f>BS12/BN12-1</f>
        <v>-0.42183974105833233</v>
      </c>
      <c r="BT13" s="1441"/>
      <c r="BU13" s="185">
        <f>BU12/BP12-1</f>
        <v>-0.38323993433081494</v>
      </c>
      <c r="BV13" s="185">
        <f>BV12/BQ12-1</f>
        <v>-0.42714717045698769</v>
      </c>
      <c r="BW13" s="185">
        <f>BW12/BR12-1</f>
        <v>-0.2114070989342719</v>
      </c>
      <c r="BX13" s="185">
        <f>BX12/BS12-1</f>
        <v>-0.13250455098475089</v>
      </c>
      <c r="BY13" s="1441"/>
      <c r="BZ13" s="185">
        <f>BZ12/BU12-1</f>
        <v>-0.30835631796515506</v>
      </c>
      <c r="CA13" s="185">
        <f>CA12/BV12-1</f>
        <v>-0.284252088964005</v>
      </c>
      <c r="CB13" s="185">
        <f>CB12/BW12-1</f>
        <v>-0.34277143002418853</v>
      </c>
      <c r="CC13" s="185">
        <f>CC12/BX12-1</f>
        <v>-0.21993279343119054</v>
      </c>
      <c r="CD13" s="949"/>
      <c r="CE13" s="185">
        <f>CE12/BZ12-1</f>
        <v>-8.8144914276621966E-2</v>
      </c>
      <c r="CF13" s="185">
        <f>CF12/CA12-1</f>
        <v>-0.12699745547073793</v>
      </c>
      <c r="CG13" s="185">
        <f>CG12/CB12-1</f>
        <v>-0.1215683023872679</v>
      </c>
      <c r="CH13" s="185">
        <f>CH12/CC12-1</f>
        <v>-0.13089948901886206</v>
      </c>
      <c r="CI13" s="1441"/>
      <c r="CJ13" s="185">
        <f>CJ12/CE12-1</f>
        <v>-6.4220083431033026E-2</v>
      </c>
      <c r="CK13" s="123"/>
      <c r="CL13" s="123"/>
      <c r="CM13" s="124"/>
      <c r="CN13" s="949"/>
      <c r="CO13" s="123"/>
      <c r="CP13" s="123"/>
      <c r="CQ13" s="123"/>
      <c r="CR13" s="124"/>
      <c r="CS13" s="949"/>
      <c r="CT13" s="123"/>
      <c r="CU13" s="123"/>
      <c r="CV13" s="123"/>
      <c r="CW13" s="124"/>
      <c r="CX13" s="949"/>
      <c r="DA13" s="126"/>
      <c r="DB13" s="117"/>
      <c r="DC13" s="117"/>
    </row>
    <row r="14" spans="1:107" ht="12" hidden="1" customHeight="1" outlineLevel="2">
      <c r="A14" s="155" t="s">
        <v>105</v>
      </c>
      <c r="B14" s="115"/>
      <c r="C14" s="116"/>
      <c r="D14" s="117"/>
      <c r="E14" s="117"/>
      <c r="F14" s="118"/>
      <c r="G14" s="119"/>
      <c r="H14" s="117"/>
      <c r="I14" s="117"/>
      <c r="J14" s="117"/>
      <c r="K14" s="118"/>
      <c r="L14" s="118"/>
      <c r="M14" s="117"/>
      <c r="N14" s="117"/>
      <c r="O14" s="117"/>
      <c r="P14" s="118"/>
      <c r="Q14" s="119"/>
      <c r="R14" s="117"/>
      <c r="S14" s="117"/>
      <c r="T14" s="121"/>
      <c r="U14" s="118"/>
      <c r="V14" s="119"/>
      <c r="W14" s="117"/>
      <c r="X14" s="117"/>
      <c r="Y14" s="117"/>
      <c r="Z14" s="118"/>
      <c r="AA14" s="120"/>
      <c r="AB14" s="121"/>
      <c r="AC14" s="121"/>
      <c r="AD14" s="121"/>
      <c r="AE14" s="122"/>
      <c r="AF14" s="120"/>
      <c r="AG14" s="121"/>
      <c r="AH14" s="121"/>
      <c r="AI14" s="121"/>
      <c r="AJ14" s="122"/>
      <c r="AK14" s="120"/>
      <c r="AL14" s="121"/>
      <c r="AM14" s="121"/>
      <c r="AN14" s="121"/>
      <c r="AO14" s="122"/>
      <c r="AP14" s="120"/>
      <c r="AQ14" s="121"/>
      <c r="AR14" s="123"/>
      <c r="AS14" s="121"/>
      <c r="AT14" s="121"/>
      <c r="AU14" s="120"/>
      <c r="AV14" s="121"/>
      <c r="AW14" s="123"/>
      <c r="AX14" s="123"/>
      <c r="AY14" s="121"/>
      <c r="AZ14" s="120"/>
      <c r="BA14" s="162"/>
      <c r="BB14" s="162">
        <f>BB12/BA12-1</f>
        <v>-1.5082669881771094E-2</v>
      </c>
      <c r="BC14" s="162">
        <f>BC12/BB12-1</f>
        <v>-2.1758381838576701E-2</v>
      </c>
      <c r="BD14" s="162">
        <f>BD12/BC12-1</f>
        <v>0.14778795940486789</v>
      </c>
      <c r="BE14" s="120"/>
      <c r="BF14" s="162">
        <f>BF12/BD12-1</f>
        <v>-0.13245242040020977</v>
      </c>
      <c r="BG14" s="162">
        <f>BG12/BF12-1</f>
        <v>7.7360175539717968E-2</v>
      </c>
      <c r="BH14" s="162">
        <f>BH12/BG12-1</f>
        <v>-6.9533260927967411E-2</v>
      </c>
      <c r="BI14" s="162">
        <f>BI12/BH12-1</f>
        <v>5.2298888158162971E-2</v>
      </c>
      <c r="BJ14" s="160" t="s">
        <v>131</v>
      </c>
      <c r="BK14" s="162">
        <f>BK12/BI12-1</f>
        <v>-0.20829390638136247</v>
      </c>
      <c r="BL14" s="162">
        <f>BL12/BK12-1</f>
        <v>-4.4878488035414499E-2</v>
      </c>
      <c r="BM14" s="162">
        <f>BM12/BL12-1</f>
        <v>-9.725708986988657E-2</v>
      </c>
      <c r="BN14" s="162">
        <f>BN12/BM12-1</f>
        <v>-2.5672560625788043E-2</v>
      </c>
      <c r="BO14" s="1441"/>
      <c r="BP14" s="162">
        <f>BP12/BN12-1</f>
        <v>-0.16885154575200267</v>
      </c>
      <c r="BQ14" s="162">
        <f>BQ12/BP12-1</f>
        <v>1.652971445782625E-2</v>
      </c>
      <c r="BR14" s="162">
        <f>BR12/BQ12-1</f>
        <v>-0.27145918492969179</v>
      </c>
      <c r="BS14" s="162">
        <f>BS12/BR12-1</f>
        <v>-6.0718714825390707E-2</v>
      </c>
      <c r="BT14" s="1441"/>
      <c r="BU14" s="162">
        <f>BU12/BS12-1</f>
        <v>-0.11336144728938169</v>
      </c>
      <c r="BV14" s="162">
        <f>BV12/BU12-1</f>
        <v>-5.5837179390179292E-2</v>
      </c>
      <c r="BW14" s="162">
        <f>BW12/BV12-1</f>
        <v>2.9139864062535104E-3</v>
      </c>
      <c r="BX14" s="162">
        <f>BX12/BW12-1</f>
        <v>3.3260937465950713E-2</v>
      </c>
      <c r="BY14" s="1441"/>
      <c r="BZ14" s="162">
        <f>BZ12/BX12-1</f>
        <v>-0.29309375175749397</v>
      </c>
      <c r="CA14" s="162">
        <f>CA12/BZ12-1</f>
        <v>-2.2932495325987512E-2</v>
      </c>
      <c r="CB14" s="162">
        <f>CB12/CA12-1</f>
        <v>-7.9083969465648774E-2</v>
      </c>
      <c r="CC14" s="162">
        <f>CC12/CB12-1</f>
        <v>0.22638152077807239</v>
      </c>
      <c r="CD14" s="949"/>
      <c r="CE14" s="162">
        <f>CE12/CC12-1</f>
        <v>-0.17366599677369932</v>
      </c>
      <c r="CF14" s="162">
        <f>CF12/CE12-1</f>
        <v>-6.4563622978978663E-2</v>
      </c>
      <c r="CG14" s="162">
        <f>CG12/CF12-1</f>
        <v>-7.3356845142673821E-2</v>
      </c>
      <c r="CH14" s="162">
        <f>CH12/CG12-1</f>
        <v>0.21335421895936735</v>
      </c>
      <c r="CI14" s="1441"/>
      <c r="CJ14" s="162">
        <f>CJ12/CH12-1</f>
        <v>-0.11026773678425517</v>
      </c>
      <c r="CK14" s="123"/>
      <c r="CL14" s="123"/>
      <c r="CM14" s="123"/>
      <c r="CN14" s="949"/>
      <c r="CO14" s="123"/>
      <c r="CP14" s="123"/>
      <c r="CQ14" s="123"/>
      <c r="CR14" s="123"/>
      <c r="CS14" s="949"/>
      <c r="CT14" s="123"/>
      <c r="CU14" s="123"/>
      <c r="CV14" s="123"/>
      <c r="CW14" s="123"/>
      <c r="CX14" s="949"/>
      <c r="DA14" s="126"/>
      <c r="DB14" s="117"/>
      <c r="DC14" s="117"/>
    </row>
    <row r="15" spans="1:107" ht="10.5" hidden="1" customHeight="1" outlineLevel="2">
      <c r="A15" s="144" t="s">
        <v>595</v>
      </c>
      <c r="B15" s="115"/>
      <c r="C15" s="136"/>
      <c r="D15" s="137"/>
      <c r="E15" s="137"/>
      <c r="F15" s="138"/>
      <c r="G15" s="139"/>
      <c r="H15" s="137"/>
      <c r="I15" s="137"/>
      <c r="J15" s="137"/>
      <c r="K15" s="138"/>
      <c r="L15" s="138"/>
      <c r="M15" s="137"/>
      <c r="N15" s="137"/>
      <c r="O15" s="137"/>
      <c r="P15" s="138"/>
      <c r="Q15" s="139"/>
      <c r="R15" s="137"/>
      <c r="S15" s="137"/>
      <c r="T15" s="137"/>
      <c r="U15" s="138"/>
      <c r="V15" s="139"/>
      <c r="W15" s="137"/>
      <c r="X15" s="137"/>
      <c r="Y15" s="137"/>
      <c r="Z15" s="138"/>
      <c r="AA15" s="139"/>
      <c r="AB15" s="137"/>
      <c r="AC15" s="137"/>
      <c r="AD15" s="137"/>
      <c r="AE15" s="138"/>
      <c r="AF15" s="139"/>
      <c r="AG15" s="137"/>
      <c r="AH15" s="137"/>
      <c r="AI15" s="137"/>
      <c r="AJ15" s="138"/>
      <c r="AK15" s="139"/>
      <c r="AL15" s="137"/>
      <c r="AM15" s="137"/>
      <c r="AN15" s="137"/>
      <c r="AO15" s="138"/>
      <c r="AP15" s="139"/>
      <c r="AQ15" s="137"/>
      <c r="AR15" s="137"/>
      <c r="AS15" s="137"/>
      <c r="AT15" s="138"/>
      <c r="AU15" s="139"/>
      <c r="AV15" s="137"/>
      <c r="AW15" s="137"/>
      <c r="AX15" s="137"/>
      <c r="AY15" s="138"/>
      <c r="AZ15" s="139"/>
      <c r="BA15" s="137">
        <f t="shared" ref="BA15:BL15" si="0">BA18-BA12</f>
        <v>106.17100000000016</v>
      </c>
      <c r="BB15" s="137">
        <f t="shared" si="0"/>
        <v>109.47099999999989</v>
      </c>
      <c r="BC15" s="137">
        <f t="shared" si="0"/>
        <v>114.55500000000006</v>
      </c>
      <c r="BD15" s="137">
        <f t="shared" si="0"/>
        <v>128.41999999999962</v>
      </c>
      <c r="BE15" s="139">
        <f t="shared" si="0"/>
        <v>458.61699999999973</v>
      </c>
      <c r="BF15" s="137">
        <f t="shared" si="0"/>
        <v>146.27300000000002</v>
      </c>
      <c r="BG15" s="137">
        <f t="shared" si="0"/>
        <v>159.51900000000012</v>
      </c>
      <c r="BH15" s="137">
        <f t="shared" si="0"/>
        <v>172.91999999999996</v>
      </c>
      <c r="BI15" s="137">
        <f t="shared" si="0"/>
        <v>194.53699999999958</v>
      </c>
      <c r="BJ15" s="139">
        <f t="shared" si="0"/>
        <v>673.2489999999998</v>
      </c>
      <c r="BK15" s="137">
        <f t="shared" si="0"/>
        <v>224.85400000000004</v>
      </c>
      <c r="BL15" s="137">
        <f t="shared" si="0"/>
        <v>254.52099999999996</v>
      </c>
      <c r="BM15" s="137">
        <v>299.346</v>
      </c>
      <c r="BN15" s="137">
        <v>359.72300000000001</v>
      </c>
      <c r="BO15" s="1440"/>
      <c r="BP15" s="137">
        <v>423.56299999999999</v>
      </c>
      <c r="BQ15" s="137">
        <v>476.69400000000002</v>
      </c>
      <c r="BR15" s="137">
        <v>547.37300000000005</v>
      </c>
      <c r="BS15" s="137">
        <v>628.95399999999995</v>
      </c>
      <c r="BT15" s="1440"/>
      <c r="BU15" s="137">
        <v>713.44200000000001</v>
      </c>
      <c r="BV15" s="137">
        <v>773.96299999999997</v>
      </c>
      <c r="BW15" s="137">
        <v>829.06500000000005</v>
      </c>
      <c r="BX15" s="137">
        <v>907.43399999999997</v>
      </c>
      <c r="BY15" s="1440"/>
      <c r="BZ15" s="137">
        <v>1070.25</v>
      </c>
      <c r="CA15" s="137">
        <v>1083.7080000000001</v>
      </c>
      <c r="CB15" s="137">
        <v>1168.6020000000001</v>
      </c>
      <c r="CC15" s="137">
        <v>1262.2729999999999</v>
      </c>
      <c r="CD15" s="1016"/>
      <c r="CE15" s="137">
        <v>1383.856</v>
      </c>
      <c r="CF15" s="137">
        <v>1483.69</v>
      </c>
      <c r="CG15" s="137">
        <f>1570.336</f>
        <v>1570.336</v>
      </c>
      <c r="CH15" s="137">
        <v>1695.9870000000001</v>
      </c>
      <c r="CI15" s="1440"/>
      <c r="CJ15" s="137">
        <f>1793.358</f>
        <v>1793.3579999999999</v>
      </c>
      <c r="CK15" s="150"/>
      <c r="CL15" s="150"/>
      <c r="CM15" s="141"/>
      <c r="CN15" s="1016"/>
      <c r="CO15" s="150"/>
      <c r="CP15" s="150"/>
      <c r="CQ15" s="150"/>
      <c r="CR15" s="141"/>
      <c r="CS15" s="1016"/>
      <c r="CT15" s="150"/>
      <c r="CU15" s="150"/>
      <c r="CV15" s="150"/>
      <c r="CW15" s="141"/>
      <c r="CX15" s="1016"/>
      <c r="DA15" s="143"/>
      <c r="DB15" s="142"/>
      <c r="DC15" s="142"/>
    </row>
    <row r="16" spans="1:107" ht="12" hidden="1" customHeight="1" outlineLevel="2">
      <c r="A16" s="155" t="s">
        <v>630</v>
      </c>
      <c r="B16" s="115"/>
      <c r="C16" s="116"/>
      <c r="D16" s="117"/>
      <c r="E16" s="117"/>
      <c r="F16" s="118"/>
      <c r="G16" s="119"/>
      <c r="H16" s="117"/>
      <c r="I16" s="117"/>
      <c r="J16" s="117"/>
      <c r="K16" s="118"/>
      <c r="L16" s="118"/>
      <c r="M16" s="117"/>
      <c r="N16" s="117"/>
      <c r="O16" s="117"/>
      <c r="P16" s="118"/>
      <c r="Q16" s="119"/>
      <c r="R16" s="117"/>
      <c r="S16" s="117"/>
      <c r="T16" s="121"/>
      <c r="U16" s="118"/>
      <c r="V16" s="119"/>
      <c r="W16" s="117"/>
      <c r="X16" s="117"/>
      <c r="Y16" s="117"/>
      <c r="Z16" s="118"/>
      <c r="AA16" s="120"/>
      <c r="AB16" s="121"/>
      <c r="AC16" s="121"/>
      <c r="AD16" s="121"/>
      <c r="AE16" s="122"/>
      <c r="AF16" s="120"/>
      <c r="AG16" s="121"/>
      <c r="AH16" s="121"/>
      <c r="AI16" s="121"/>
      <c r="AJ16" s="122"/>
      <c r="AK16" s="120"/>
      <c r="AL16" s="121"/>
      <c r="AM16" s="121"/>
      <c r="AN16" s="121"/>
      <c r="AO16" s="122"/>
      <c r="AP16" s="120"/>
      <c r="AQ16" s="121"/>
      <c r="AR16" s="123"/>
      <c r="AS16" s="121"/>
      <c r="AT16" s="122"/>
      <c r="AU16" s="120"/>
      <c r="AV16" s="121"/>
      <c r="AW16" s="123"/>
      <c r="AX16" s="123"/>
      <c r="AY16" s="122"/>
      <c r="AZ16" s="120"/>
      <c r="BA16" s="185"/>
      <c r="BB16" s="185"/>
      <c r="BC16" s="185"/>
      <c r="BD16" s="185"/>
      <c r="BE16" s="163"/>
      <c r="BF16" s="185">
        <f>IF(BA15=0,"NM",BF15/BA15-1)</f>
        <v>0.37771142779101452</v>
      </c>
      <c r="BG16" s="185">
        <f>BG15/BB15-1</f>
        <v>0.45718044048195661</v>
      </c>
      <c r="BH16" s="185">
        <f>BH15/BC15-1</f>
        <v>0.50949325651433686</v>
      </c>
      <c r="BI16" s="185">
        <f>BI15/BD15-1</f>
        <v>0.51484971188288542</v>
      </c>
      <c r="BJ16" s="163">
        <f>BJ15/BE15-1</f>
        <v>0.46799835156568603</v>
      </c>
      <c r="BK16" s="185">
        <f>IF(BF15=0,"NM",BK15/BF15-1)</f>
        <v>0.53722149679024844</v>
      </c>
      <c r="BL16" s="185">
        <f>BL15/BG15-1</f>
        <v>0.59555288084804792</v>
      </c>
      <c r="BM16" s="185">
        <f>BM15/BH15-1</f>
        <v>0.73112421929215876</v>
      </c>
      <c r="BN16" s="185">
        <f>BN15/BI15-1</f>
        <v>0.84912381706308193</v>
      </c>
      <c r="BO16" s="1441"/>
      <c r="BP16" s="185">
        <f>BP15/BK15-1</f>
        <v>0.88372455015254303</v>
      </c>
      <c r="BQ16" s="185">
        <f>BQ15/BL15-1</f>
        <v>0.87290636136114541</v>
      </c>
      <c r="BR16" s="185">
        <f>BR15/BM15-1</f>
        <v>0.82856293386248692</v>
      </c>
      <c r="BS16" s="185">
        <f>BS15/BN15-1</f>
        <v>0.74843977171323472</v>
      </c>
      <c r="BT16" s="1441"/>
      <c r="BU16" s="185">
        <f>BU15/BP15-1</f>
        <v>0.68438225246303386</v>
      </c>
      <c r="BV16" s="185">
        <f>BV15/BQ15-1</f>
        <v>0.62360549954478128</v>
      </c>
      <c r="BW16" s="185">
        <f>BW15/BR15-1</f>
        <v>0.51462531034596148</v>
      </c>
      <c r="BX16" s="185">
        <f>BX15/BS15-1</f>
        <v>0.44276687961281747</v>
      </c>
      <c r="BY16" s="1441"/>
      <c r="BZ16" s="185">
        <f>BZ15/BU15-1</f>
        <v>0.50012194404030041</v>
      </c>
      <c r="CA16" s="185">
        <f>CA15/BV15-1</f>
        <v>0.40020646981832475</v>
      </c>
      <c r="CB16" s="185">
        <f>CB15/BW15-1</f>
        <v>0.40954207450561775</v>
      </c>
      <c r="CC16" s="185">
        <f>CC15/BX15-1</f>
        <v>0.39103560148727068</v>
      </c>
      <c r="CD16" s="949"/>
      <c r="CE16" s="185">
        <f>CE15/BZ15-1</f>
        <v>0.29302125671572066</v>
      </c>
      <c r="CF16" s="185">
        <f>CF15/CA15-1</f>
        <v>0.36908650669737608</v>
      </c>
      <c r="CG16" s="185">
        <f>CG15/CB15-1</f>
        <v>0.34377315801273656</v>
      </c>
      <c r="CH16" s="185">
        <f>CH15/CC15-1</f>
        <v>0.34359762111682679</v>
      </c>
      <c r="CI16" s="1441"/>
      <c r="CJ16" s="185">
        <f>CJ15/CE15-1</f>
        <v>0.29591373668936649</v>
      </c>
      <c r="CK16" s="123"/>
      <c r="CL16" s="123"/>
      <c r="CM16" s="124"/>
      <c r="CN16" s="949"/>
      <c r="CO16" s="123"/>
      <c r="CP16" s="123"/>
      <c r="CQ16" s="123"/>
      <c r="CR16" s="124"/>
      <c r="CS16" s="949"/>
      <c r="CT16" s="123"/>
      <c r="CU16" s="123"/>
      <c r="CV16" s="123"/>
      <c r="CW16" s="124"/>
      <c r="CX16" s="949"/>
      <c r="DA16" s="126"/>
      <c r="DB16" s="117"/>
      <c r="DC16" s="117"/>
    </row>
    <row r="17" spans="1:107" ht="12" hidden="1" customHeight="1" outlineLevel="2">
      <c r="A17" s="155" t="s">
        <v>105</v>
      </c>
      <c r="B17" s="115"/>
      <c r="C17" s="116"/>
      <c r="D17" s="117"/>
      <c r="E17" s="117"/>
      <c r="F17" s="118"/>
      <c r="G17" s="119"/>
      <c r="H17" s="117"/>
      <c r="I17" s="117"/>
      <c r="J17" s="117"/>
      <c r="K17" s="118"/>
      <c r="L17" s="118"/>
      <c r="M17" s="117"/>
      <c r="N17" s="117"/>
      <c r="O17" s="117"/>
      <c r="P17" s="118"/>
      <c r="Q17" s="119"/>
      <c r="R17" s="117"/>
      <c r="S17" s="117"/>
      <c r="T17" s="121"/>
      <c r="U17" s="118"/>
      <c r="V17" s="119"/>
      <c r="W17" s="117"/>
      <c r="X17" s="117"/>
      <c r="Y17" s="117"/>
      <c r="Z17" s="118"/>
      <c r="AA17" s="120"/>
      <c r="AB17" s="121"/>
      <c r="AC17" s="121"/>
      <c r="AD17" s="121"/>
      <c r="AE17" s="122"/>
      <c r="AF17" s="120"/>
      <c r="AG17" s="121"/>
      <c r="AH17" s="121"/>
      <c r="AI17" s="121"/>
      <c r="AJ17" s="122"/>
      <c r="AK17" s="120"/>
      <c r="AL17" s="121"/>
      <c r="AM17" s="121"/>
      <c r="AN17" s="121"/>
      <c r="AO17" s="122"/>
      <c r="AP17" s="120"/>
      <c r="AQ17" s="121"/>
      <c r="AR17" s="123"/>
      <c r="AS17" s="121"/>
      <c r="AT17" s="121"/>
      <c r="AU17" s="120"/>
      <c r="AV17" s="121"/>
      <c r="AW17" s="123"/>
      <c r="AX17" s="123"/>
      <c r="AY17" s="121"/>
      <c r="AZ17" s="120"/>
      <c r="BA17" s="162"/>
      <c r="BB17" s="162">
        <f>BB15/BA15-1</f>
        <v>3.1081933861409672E-2</v>
      </c>
      <c r="BC17" s="162">
        <f>BC15/BB15-1</f>
        <v>4.6441523325813971E-2</v>
      </c>
      <c r="BD17" s="162">
        <f>BD15/BC15-1</f>
        <v>0.12103356466325832</v>
      </c>
      <c r="BE17" s="160" t="s">
        <v>131</v>
      </c>
      <c r="BF17" s="162">
        <f>BF15/BD15-1</f>
        <v>0.13902040180657571</v>
      </c>
      <c r="BG17" s="162">
        <f>BG15/BF15-1</f>
        <v>9.0556698775577704E-2</v>
      </c>
      <c r="BH17" s="162">
        <f>BH15/BG15-1</f>
        <v>8.4008801459386273E-2</v>
      </c>
      <c r="BI17" s="162">
        <f>BI15/BH15-1</f>
        <v>0.12501156604209829</v>
      </c>
      <c r="BJ17" s="160" t="s">
        <v>131</v>
      </c>
      <c r="BK17" s="162">
        <f>BK15/BI15-1</f>
        <v>0.15584181929401875</v>
      </c>
      <c r="BL17" s="162">
        <f>BL15/BK15-1</f>
        <v>0.13193894705008535</v>
      </c>
      <c r="BM17" s="162">
        <f>BM15/BL15-1</f>
        <v>0.17611513391822298</v>
      </c>
      <c r="BN17" s="162">
        <f>BN15/BM15-1</f>
        <v>0.20169636474180375</v>
      </c>
      <c r="BO17" s="1441"/>
      <c r="BP17" s="162">
        <f>BP15/BN15-1</f>
        <v>0.17746988655159668</v>
      </c>
      <c r="BQ17" s="162">
        <f>BQ15/BP15-1</f>
        <v>0.12543824649461843</v>
      </c>
      <c r="BR17" s="162">
        <f>BR15/BQ15-1</f>
        <v>0.14826912023226635</v>
      </c>
      <c r="BS17" s="162">
        <f>BS15/BR15-1</f>
        <v>0.14904096475346784</v>
      </c>
      <c r="BT17" s="1441"/>
      <c r="BU17" s="162">
        <f>BU15/BS15-1</f>
        <v>0.13433096856049898</v>
      </c>
      <c r="BV17" s="162">
        <f>BV15/BU15-1</f>
        <v>8.482960072437562E-2</v>
      </c>
      <c r="BW17" s="162">
        <f>BW15/BV15-1</f>
        <v>7.1194617830568241E-2</v>
      </c>
      <c r="BX17" s="162">
        <f>BX15/BW15-1</f>
        <v>9.4526967125617256E-2</v>
      </c>
      <c r="BY17" s="1441"/>
      <c r="BZ17" s="162">
        <f>BZ15/BX15-1</f>
        <v>0.17942461931115661</v>
      </c>
      <c r="CA17" s="162">
        <f>CA15/BZ15-1</f>
        <v>1.257463209530485E-2</v>
      </c>
      <c r="CB17" s="162">
        <f>CB15/CA15-1</f>
        <v>7.8336599895912906E-2</v>
      </c>
      <c r="CC17" s="162">
        <f>CC15/CB15-1</f>
        <v>8.0156460454457346E-2</v>
      </c>
      <c r="CD17" s="949"/>
      <c r="CE17" s="162">
        <f>CE15/CC15-1</f>
        <v>9.6320684986528349E-2</v>
      </c>
      <c r="CF17" s="162">
        <f>CF15/CE15-1</f>
        <v>7.2141899157137868E-2</v>
      </c>
      <c r="CG17" s="162">
        <f>CG15/CF15-1</f>
        <v>5.8398991703118464E-2</v>
      </c>
      <c r="CH17" s="162">
        <f>CH15/CG15-1</f>
        <v>8.0015359770138517E-2</v>
      </c>
      <c r="CI17" s="1441"/>
      <c r="CJ17" s="162">
        <f>CJ15/CH15-1</f>
        <v>5.7412586299305346E-2</v>
      </c>
      <c r="CK17" s="123"/>
      <c r="CL17" s="123"/>
      <c r="CM17" s="123"/>
      <c r="CN17" s="949"/>
      <c r="CO17" s="123"/>
      <c r="CP17" s="123"/>
      <c r="CQ17" s="123"/>
      <c r="CR17" s="123"/>
      <c r="CS17" s="949"/>
      <c r="CT17" s="123"/>
      <c r="CU17" s="123"/>
      <c r="CV17" s="123"/>
      <c r="CW17" s="123"/>
      <c r="CX17" s="949"/>
      <c r="DA17" s="126"/>
      <c r="DB17" s="117"/>
      <c r="DC17" s="117"/>
    </row>
    <row r="18" spans="1:107" ht="10.5" hidden="1" customHeight="1" outlineLevel="1">
      <c r="A18" s="144" t="s">
        <v>305</v>
      </c>
      <c r="B18" s="145"/>
      <c r="C18" s="146">
        <v>328.96899999999999</v>
      </c>
      <c r="D18" s="147">
        <v>344.09300000000002</v>
      </c>
      <c r="E18" s="147">
        <v>292.11799999999999</v>
      </c>
      <c r="F18" s="148">
        <f>1229.72-SUM(C18:E18)</f>
        <v>264.53999999999996</v>
      </c>
      <c r="G18" s="149">
        <f>SUM(C18:F18)</f>
        <v>1229.72</v>
      </c>
      <c r="H18" s="147">
        <v>267.89600000000002</v>
      </c>
      <c r="I18" s="147">
        <v>316.25400000000002</v>
      </c>
      <c r="J18" s="147">
        <v>280.505</v>
      </c>
      <c r="K18" s="148">
        <f>1153.169-SUM(H18:J18)</f>
        <v>288.51400000000001</v>
      </c>
      <c r="L18" s="148">
        <f>SUM(H18:K18)</f>
        <v>1153.1690000000001</v>
      </c>
      <c r="M18" s="147">
        <v>290.755</v>
      </c>
      <c r="N18" s="147">
        <v>314.14999999999998</v>
      </c>
      <c r="O18" s="147">
        <v>312.63299999999998</v>
      </c>
      <c r="P18" s="148">
        <f>1269.004-SUM(M18:O18)</f>
        <v>351.46599999999989</v>
      </c>
      <c r="Q18" s="149">
        <f>SUM(M18:P18)</f>
        <v>1269.0039999999999</v>
      </c>
      <c r="R18" s="147">
        <v>415.75200000000001</v>
      </c>
      <c r="S18" s="147">
        <v>402.553</v>
      </c>
      <c r="T18" s="147">
        <v>395.45</v>
      </c>
      <c r="U18" s="148">
        <f>1633.959-SUM(R18:T18)</f>
        <v>420.20399999999995</v>
      </c>
      <c r="V18" s="149">
        <f>SUM(R18:U18)</f>
        <v>1633.9590000000001</v>
      </c>
      <c r="W18" s="147">
        <v>463.14699999999999</v>
      </c>
      <c r="X18" s="147">
        <v>485.62</v>
      </c>
      <c r="Y18" s="147">
        <v>476.05399999999997</v>
      </c>
      <c r="Z18" s="148">
        <f>1923.278-SUM(W18:Y18)</f>
        <v>498.45700000000011</v>
      </c>
      <c r="AA18" s="149">
        <f>SUM(W18:Z18)</f>
        <v>1923.278</v>
      </c>
      <c r="AB18" s="147">
        <v>636.82600000000002</v>
      </c>
      <c r="AC18" s="147">
        <v>614.89499999999998</v>
      </c>
      <c r="AD18" s="147">
        <v>579.18499999999995</v>
      </c>
      <c r="AE18" s="148">
        <v>653.80499999999995</v>
      </c>
      <c r="AF18" s="149">
        <f>SUM(AB18:AE18)</f>
        <v>2484.7109999999998</v>
      </c>
      <c r="AG18" s="147">
        <v>620.298</v>
      </c>
      <c r="AH18" s="147">
        <v>713.46900000000005</v>
      </c>
      <c r="AI18" s="147">
        <v>813.38199999999995</v>
      </c>
      <c r="AJ18" s="148">
        <v>872.375</v>
      </c>
      <c r="AK18" s="149">
        <f>SUM(AG18:AJ18)</f>
        <v>3019.5239999999999</v>
      </c>
      <c r="AL18" s="147">
        <v>851.96199999999999</v>
      </c>
      <c r="AM18" s="147">
        <v>841.30100000000004</v>
      </c>
      <c r="AN18" s="147">
        <v>838.81299999999999</v>
      </c>
      <c r="AO18" s="148">
        <v>864.46600000000001</v>
      </c>
      <c r="AP18" s="149">
        <f>SUM(AL18:AO18)</f>
        <v>3396.5419999999999</v>
      </c>
      <c r="AQ18" s="147">
        <v>742.19899999999996</v>
      </c>
      <c r="AR18" s="147">
        <v>660.05499999999995</v>
      </c>
      <c r="AS18" s="147">
        <v>649.86500000000001</v>
      </c>
      <c r="AT18" s="147">
        <v>707.27200000000005</v>
      </c>
      <c r="AU18" s="149">
        <f>SUM(AQ18:AT18)</f>
        <v>2759.3909999999996</v>
      </c>
      <c r="AV18" s="147">
        <v>799.44500000000005</v>
      </c>
      <c r="AW18" s="147">
        <f>795.26+92.279</f>
        <v>887.53899999999999</v>
      </c>
      <c r="AX18" s="147">
        <f>829.096+98.632</f>
        <v>927.72800000000007</v>
      </c>
      <c r="AY18" s="147">
        <f>830.867+100.387</f>
        <v>931.25399999999991</v>
      </c>
      <c r="AZ18" s="149">
        <f>SUM(AV18:AY18)</f>
        <v>3545.9659999999999</v>
      </c>
      <c r="BA18" s="147">
        <f>842.689+106.171</f>
        <v>948.86</v>
      </c>
      <c r="BB18" s="147">
        <f>830.281+109.169</f>
        <v>939.44999999999993</v>
      </c>
      <c r="BC18" s="147">
        <f>814.544+111.931</f>
        <v>926.47500000000002</v>
      </c>
      <c r="BD18" s="147">
        <f>936.958+123.374</f>
        <v>1060.3319999999999</v>
      </c>
      <c r="BE18" s="149">
        <f>SUM(BA18:BD18)</f>
        <v>3875.1169999999997</v>
      </c>
      <c r="BF18" s="147">
        <f>808.521+146.23</f>
        <v>954.75099999999998</v>
      </c>
      <c r="BG18" s="147">
        <f>871.022+159.519</f>
        <v>1030.5410000000002</v>
      </c>
      <c r="BH18" s="147">
        <f>810.457+172.92</f>
        <v>983.37699999999995</v>
      </c>
      <c r="BI18" s="147">
        <f>852.843+194.537</f>
        <v>1047.3799999999999</v>
      </c>
      <c r="BJ18" s="149">
        <f>SUM(BF18:BI18)</f>
        <v>4016.049</v>
      </c>
      <c r="BK18" s="147">
        <f>675.789+224.266</f>
        <v>900.05499999999995</v>
      </c>
      <c r="BL18" s="147">
        <f>644.899+254.521</f>
        <v>899.42</v>
      </c>
      <c r="BM18" s="147">
        <f>BM15+BM12</f>
        <v>881.524</v>
      </c>
      <c r="BN18" s="147">
        <f>BN15+BN12</f>
        <v>926.95499999999993</v>
      </c>
      <c r="BO18" s="1436">
        <f>SUM(BK18:BN18)</f>
        <v>3607.9539999999997</v>
      </c>
      <c r="BP18" s="147">
        <f>BP15+BP12</f>
        <v>895.01700000000005</v>
      </c>
      <c r="BQ18" s="147">
        <f>BQ15+BQ12</f>
        <v>955.94100000000003</v>
      </c>
      <c r="BR18" s="147">
        <f>BR15+BR12</f>
        <v>896.52400000000011</v>
      </c>
      <c r="BS18" s="147">
        <f>BS15+BS12</f>
        <v>956.90499999999997</v>
      </c>
      <c r="BT18" s="1436">
        <f>SUM(BP18:BS18)</f>
        <v>3704.3869999999997</v>
      </c>
      <c r="BU18" s="147">
        <f>BU15+BU12</f>
        <v>1004.216</v>
      </c>
      <c r="BV18" s="147">
        <f>BV15+BV12</f>
        <v>1048.501</v>
      </c>
      <c r="BW18" s="147">
        <f>BW15+BW12</f>
        <v>1104.403</v>
      </c>
      <c r="BX18" s="147">
        <f>BX15+BX12</f>
        <v>1191.9299999999998</v>
      </c>
      <c r="BY18" s="1436">
        <f>SUM(BU18:BX18)</f>
        <v>4349.0499999999993</v>
      </c>
      <c r="BZ18" s="147">
        <f>BZ15+BZ12</f>
        <v>1271.3620000000001</v>
      </c>
      <c r="CA18" s="147">
        <f>CA15+CA12</f>
        <v>1280.2080000000001</v>
      </c>
      <c r="CB18" s="147">
        <f>CB15+CB12</f>
        <v>1349.5620000000001</v>
      </c>
      <c r="CC18" s="147">
        <f>CC15+CC12</f>
        <v>1484.1989999999998</v>
      </c>
      <c r="CD18" s="1436">
        <f>SUM(BZ18:CC18)</f>
        <v>5385.3310000000001</v>
      </c>
      <c r="CE18" s="147">
        <f>CE15+CE12</f>
        <v>1567.241</v>
      </c>
      <c r="CF18" s="147">
        <f>CF15+CF12</f>
        <v>1655.2350000000001</v>
      </c>
      <c r="CG18" s="147">
        <f>CG15+CG12</f>
        <v>1729.297</v>
      </c>
      <c r="CH18" s="147">
        <f>CH15+CH12</f>
        <v>1888.8630000000001</v>
      </c>
      <c r="CI18" s="1436">
        <f>SUM(CE18:CH18)</f>
        <v>6840.6360000000004</v>
      </c>
      <c r="CJ18" s="147">
        <f>CJ15+CJ12</f>
        <v>1964.9659999999999</v>
      </c>
      <c r="CK18" s="150">
        <f>'Revenue Drivers'!CK68</f>
        <v>2036.4884754174134</v>
      </c>
      <c r="CL18" s="150">
        <f>'Revenue Drivers'!CL68</f>
        <v>2131.5950782313034</v>
      </c>
      <c r="CM18" s="150">
        <f>'Revenue Drivers'!CM68</f>
        <v>2246.7952244037228</v>
      </c>
      <c r="CN18" s="1017">
        <f>SUM(CJ18:CM18)</f>
        <v>8379.8447780524384</v>
      </c>
      <c r="CO18" s="150">
        <f>'Revenue Drivers'!CO68</f>
        <v>2342.5170289821172</v>
      </c>
      <c r="CP18" s="150">
        <f>'Revenue Drivers'!CP68</f>
        <v>2417.6140307055321</v>
      </c>
      <c r="CQ18" s="150">
        <f>'Revenue Drivers'!CQ68</f>
        <v>2535.2688588054853</v>
      </c>
      <c r="CR18" s="150">
        <f>'Revenue Drivers'!CR68</f>
        <v>2670.8521989355031</v>
      </c>
      <c r="CS18" s="1017">
        <f>SUM(CO18:CR18)</f>
        <v>9966.2521174286376</v>
      </c>
      <c r="CT18" s="150">
        <f>'Revenue Drivers'!CT68</f>
        <v>2768.5490984752287</v>
      </c>
      <c r="CU18" s="150">
        <f>'Revenue Drivers'!CU68</f>
        <v>2837.4665335379486</v>
      </c>
      <c r="CV18" s="150">
        <f>'Revenue Drivers'!CV68</f>
        <v>2952.8410922287126</v>
      </c>
      <c r="CW18" s="150">
        <f>'Revenue Drivers'!CW68</f>
        <v>3087.9675000777352</v>
      </c>
      <c r="CX18" s="1017">
        <f>SUM(CT18:CW18)</f>
        <v>11646.824224319626</v>
      </c>
      <c r="DA18" s="153"/>
      <c r="DB18" s="152"/>
      <c r="DC18" s="152"/>
    </row>
    <row r="19" spans="1:107" hidden="1" outlineLevel="1">
      <c r="A19" s="155" t="s">
        <v>630</v>
      </c>
      <c r="B19" s="156"/>
      <c r="C19" s="157" t="s">
        <v>131</v>
      </c>
      <c r="D19" s="158" t="s">
        <v>131</v>
      </c>
      <c r="E19" s="158" t="s">
        <v>131</v>
      </c>
      <c r="F19" s="159" t="s">
        <v>131</v>
      </c>
      <c r="G19" s="160" t="s">
        <v>131</v>
      </c>
      <c r="H19" s="158" t="s">
        <v>131</v>
      </c>
      <c r="I19" s="158" t="s">
        <v>131</v>
      </c>
      <c r="J19" s="158" t="s">
        <v>131</v>
      </c>
      <c r="K19" s="161">
        <f>K18/F18-1</f>
        <v>9.0625236259167075E-2</v>
      </c>
      <c r="L19" s="161">
        <f>L18/G18-1</f>
        <v>-6.2250756269719876E-2</v>
      </c>
      <c r="M19" s="162">
        <f>IF(H18=0,"NM",M18/H18-1)</f>
        <v>8.5327888434317822E-2</v>
      </c>
      <c r="N19" s="162">
        <f>N18/I18-1</f>
        <v>-6.6528802797752862E-3</v>
      </c>
      <c r="O19" s="162">
        <f>O18/J18-1</f>
        <v>0.11453628277570815</v>
      </c>
      <c r="P19" s="161">
        <f>P18/K18-1</f>
        <v>0.2181939177994825</v>
      </c>
      <c r="Q19" s="163">
        <f>Q18/L18-1</f>
        <v>0.10044928366960937</v>
      </c>
      <c r="R19" s="162">
        <f>IF(M18=0,"NM",R18/M18-1)</f>
        <v>0.42990490275317716</v>
      </c>
      <c r="S19" s="162">
        <f>S18/N18-1</f>
        <v>0.28140378799936339</v>
      </c>
      <c r="T19" s="162">
        <f>T18/O18-1</f>
        <v>0.26490165785441722</v>
      </c>
      <c r="U19" s="161">
        <f>U18/P18-1</f>
        <v>0.1955751054156023</v>
      </c>
      <c r="V19" s="163">
        <f>V18/Q18-1</f>
        <v>0.28759168607821572</v>
      </c>
      <c r="W19" s="162">
        <f>IF(R18=0,"NM",W18/R18-1)</f>
        <v>0.11399824895610844</v>
      </c>
      <c r="X19" s="162">
        <f>X18/S18-1</f>
        <v>0.20635046813711488</v>
      </c>
      <c r="Y19" s="162">
        <f>Y18/T18-1</f>
        <v>0.20382854975344533</v>
      </c>
      <c r="Z19" s="161">
        <f>Z18/U18-1</f>
        <v>0.18622621393418481</v>
      </c>
      <c r="AA19" s="163">
        <f>AA18/V18-1</f>
        <v>0.17706625441642054</v>
      </c>
      <c r="AB19" s="162">
        <f>IF(W18=0,"NM",AB18/W18-1)</f>
        <v>0.37499757096558972</v>
      </c>
      <c r="AC19" s="162">
        <f>AC18/X18-1</f>
        <v>0.26620608706395932</v>
      </c>
      <c r="AD19" s="162">
        <f>AD18/Y18-1</f>
        <v>0.21663718821814326</v>
      </c>
      <c r="AE19" s="161">
        <f>AE18/Z18-1</f>
        <v>0.31165777589641586</v>
      </c>
      <c r="AF19" s="163">
        <f>AF18/AA18-1</f>
        <v>0.29191463740551282</v>
      </c>
      <c r="AG19" s="162">
        <f>IF(AB18=0,"NM",AG18/AB18-1)</f>
        <v>-2.5953714201367384E-2</v>
      </c>
      <c r="AH19" s="162">
        <f>AH18/AC18-1</f>
        <v>0.16031029687995524</v>
      </c>
      <c r="AI19" s="162">
        <f>AI18/AD18-1</f>
        <v>0.40435612110120256</v>
      </c>
      <c r="AJ19" s="161">
        <f>AJ18/AE18-1</f>
        <v>0.33430457093475896</v>
      </c>
      <c r="AK19" s="163">
        <f>AK18/AF18-1</f>
        <v>0.21524153110764188</v>
      </c>
      <c r="AL19" s="164">
        <f>IF(AG18=0,"NM",AL18/AG18-1)</f>
        <v>0.37347210534291575</v>
      </c>
      <c r="AM19" s="164">
        <f>AM18/AH18-1</f>
        <v>0.1791696625922079</v>
      </c>
      <c r="AN19" s="162">
        <f>AN18/AI18-1</f>
        <v>3.1265752131224955E-2</v>
      </c>
      <c r="AO19" s="161">
        <f>AO18/AJ18-1</f>
        <v>-9.0660553087834606E-3</v>
      </c>
      <c r="AP19" s="163">
        <f>AP18/AK18-1</f>
        <v>0.1248600772837043</v>
      </c>
      <c r="AQ19" s="185">
        <f>IF(AL18=0,"NM",AQ18/AL18-1)</f>
        <v>-0.12883555839344951</v>
      </c>
      <c r="AR19" s="185">
        <f>IF(AM18=0,"NM",AR18/AM18-1)</f>
        <v>-0.21543537925189682</v>
      </c>
      <c r="AS19" s="185">
        <f>IF(AN18=0,"NM",AS18/AN18-1)</f>
        <v>-0.22525640398992386</v>
      </c>
      <c r="AT19" s="185">
        <f>AT18/AO18-1</f>
        <v>-0.18183942456961866</v>
      </c>
      <c r="AU19" s="163">
        <f>AU18/AP18-1</f>
        <v>-0.18758814111528732</v>
      </c>
      <c r="AV19" s="185">
        <f>IF(AQ18=0,"NM",AV18/AQ18-1)</f>
        <v>7.7130257518536194E-2</v>
      </c>
      <c r="AW19" s="185">
        <f>AW18/AR18-1</f>
        <v>0.34464400693881569</v>
      </c>
      <c r="AX19" s="185">
        <f>AX18/AS18-1</f>
        <v>0.42757034153247231</v>
      </c>
      <c r="AY19" s="185">
        <f>AY18/AT18-1</f>
        <v>0.31668438733613069</v>
      </c>
      <c r="AZ19" s="163">
        <f>AZ18/AU18-1</f>
        <v>0.28505383977841503</v>
      </c>
      <c r="BA19" s="185">
        <f>IF(AV18=0,"NM",BA18/AV18-1)</f>
        <v>0.18689841077247338</v>
      </c>
      <c r="BB19" s="185">
        <f>BB18/AW18-1</f>
        <v>5.8488697398086043E-2</v>
      </c>
      <c r="BC19" s="162">
        <f>BC18/AX18-1</f>
        <v>-1.3506113860959346E-3</v>
      </c>
      <c r="BD19" s="185">
        <f>BD18/AY18-1</f>
        <v>0.13860665296471208</v>
      </c>
      <c r="BE19" s="163">
        <f>BE18/AZ18-1</f>
        <v>9.2824071071183401E-2</v>
      </c>
      <c r="BF19" s="185">
        <f>IF(BA18=0,"NM",BF18/BA18-1)</f>
        <v>6.2085028349809779E-3</v>
      </c>
      <c r="BG19" s="185">
        <f>BG18/BB18-1</f>
        <v>9.6962052264623066E-2</v>
      </c>
      <c r="BH19" s="185">
        <f>BH18/BC18-1</f>
        <v>6.1417739280606565E-2</v>
      </c>
      <c r="BI19" s="185">
        <f>BI18/BD18-1</f>
        <v>-1.2215042081159533E-2</v>
      </c>
      <c r="BJ19" s="163">
        <f>BJ18/BE18-1</f>
        <v>3.6368450294533172E-2</v>
      </c>
      <c r="BK19" s="185">
        <f>IF(BF18=0,"NM",BK18/BF18-1)</f>
        <v>-5.7288235361890205E-2</v>
      </c>
      <c r="BL19" s="185">
        <f>BL18/BG18-1</f>
        <v>-0.12723511243123775</v>
      </c>
      <c r="BM19" s="185">
        <f>BM18/BH18-1</f>
        <v>-0.10357472261401268</v>
      </c>
      <c r="BN19" s="185">
        <f>BN18/BI18-1</f>
        <v>-0.11497737210945402</v>
      </c>
      <c r="BO19" s="1437">
        <f>BO18/BJ18-1</f>
        <v>-0.10161604103933997</v>
      </c>
      <c r="BP19" s="185">
        <f>IF(BK18=0,"NM",BP18/BK18-1)</f>
        <v>-5.5974357122619001E-3</v>
      </c>
      <c r="BQ19" s="185">
        <f>BQ18/BL18-1</f>
        <v>6.2841609036935031E-2</v>
      </c>
      <c r="BR19" s="185">
        <f>BR18/BM18-1</f>
        <v>1.7015985951602142E-2</v>
      </c>
      <c r="BS19" s="185">
        <f>BS18/BN18-1</f>
        <v>3.2310090565345728E-2</v>
      </c>
      <c r="BT19" s="1437">
        <f>BT18/BO18-1</f>
        <v>2.6727890654925091E-2</v>
      </c>
      <c r="BU19" s="185">
        <f>IF(BP18=0,"NM",BU18/BP18-1)</f>
        <v>0.12200773840049961</v>
      </c>
      <c r="BV19" s="185">
        <f>BV18/BQ18-1</f>
        <v>9.6826059348851024E-2</v>
      </c>
      <c r="BW19" s="185">
        <f>BW18/BR18-1</f>
        <v>0.23187220866368308</v>
      </c>
      <c r="BX19" s="185">
        <f>BX18/BS18-1</f>
        <v>0.24560954326709528</v>
      </c>
      <c r="BY19" s="1437">
        <f>BY18/BT18-1</f>
        <v>0.17402690377652208</v>
      </c>
      <c r="BZ19" s="185">
        <f>IF(BU18=0,"NM",BZ18/BU18-1)</f>
        <v>0.26602444095692568</v>
      </c>
      <c r="CA19" s="185">
        <f>CA18/BV18-1</f>
        <v>0.22098882118376628</v>
      </c>
      <c r="CB19" s="185">
        <f>CB18/BW18-1</f>
        <v>0.22198327965425668</v>
      </c>
      <c r="CC19" s="185">
        <f>CC18/BX18-1</f>
        <v>0.24520651380534098</v>
      </c>
      <c r="CD19" s="1437">
        <f>CD18/BY18-1</f>
        <v>0.23827755486830471</v>
      </c>
      <c r="CE19" s="185">
        <f>IF(BZ18=0,"NM",CE18/BZ18-1)</f>
        <v>0.23272600565377899</v>
      </c>
      <c r="CF19" s="185">
        <f>IF(CA18=0,"NM",CF18/CA18-1)</f>
        <v>0.29294224063589658</v>
      </c>
      <c r="CG19" s="185">
        <f>IF(CB18=0,"NM",CG18/CB18-1)</f>
        <v>0.28137647621969197</v>
      </c>
      <c r="CH19" s="185">
        <f>IF(CC18=0,"NM",CH18/CC18-1)</f>
        <v>0.27264807482015563</v>
      </c>
      <c r="CI19" s="1437">
        <f>CI18/CD18-1</f>
        <v>0.27023501433802299</v>
      </c>
      <c r="CJ19" s="185">
        <f>IF(CE18=0,"NM",CJ18/CE18-1)</f>
        <v>0.25377398881218638</v>
      </c>
      <c r="CK19" s="168">
        <f>CK18/CF18-1</f>
        <v>0.23033193197184287</v>
      </c>
      <c r="CL19" s="168">
        <f>CL18/CG18-1</f>
        <v>0.23263677565583207</v>
      </c>
      <c r="CM19" s="169">
        <f>CM18/CH18-1</f>
        <v>0.18949612777831049</v>
      </c>
      <c r="CN19" s="1018">
        <f>CN18/CI18-1</f>
        <v>0.22500960116171043</v>
      </c>
      <c r="CO19" s="168">
        <f>IF(CJ18=0,"NM",CO18/CJ18-1)</f>
        <v>0.19214125281664796</v>
      </c>
      <c r="CP19" s="168">
        <f>CP18/CK18-1</f>
        <v>0.18714839778801129</v>
      </c>
      <c r="CQ19" s="168">
        <f>CQ18/CL18-1</f>
        <v>0.18937638986722138</v>
      </c>
      <c r="CR19" s="169">
        <f>CR18/CM18-1</f>
        <v>0.1887385952782239</v>
      </c>
      <c r="CS19" s="1018">
        <f>CS18/CN18-1</f>
        <v>0.18931225832859599</v>
      </c>
      <c r="CT19" s="168">
        <f>IF(CO18=0,"NM",CT18/CO18-1)</f>
        <v>0.18186935856693998</v>
      </c>
      <c r="CU19" s="168">
        <f>CU18/CP18-1</f>
        <v>0.1736639916462972</v>
      </c>
      <c r="CV19" s="168">
        <f>CV18/CQ18-1</f>
        <v>0.16470530609521639</v>
      </c>
      <c r="CW19" s="169">
        <f>CW18/CR18-1</f>
        <v>0.15617311257750544</v>
      </c>
      <c r="CX19" s="1018">
        <f>CX18/CS18-1</f>
        <v>0.16862628870807517</v>
      </c>
      <c r="DA19" s="171"/>
      <c r="DB19" s="170"/>
      <c r="DC19" s="170"/>
    </row>
    <row r="20" spans="1:107" hidden="1" outlineLevel="1">
      <c r="A20" s="155" t="s">
        <v>105</v>
      </c>
      <c r="B20" s="156"/>
      <c r="C20" s="157" t="s">
        <v>131</v>
      </c>
      <c r="D20" s="162">
        <f>D18/C18-1</f>
        <v>4.5973936753919142E-2</v>
      </c>
      <c r="E20" s="162">
        <f>E18/D18-1</f>
        <v>-0.15104928028178433</v>
      </c>
      <c r="F20" s="161">
        <f>F18/E18-1</f>
        <v>-9.4407054683381508E-2</v>
      </c>
      <c r="G20" s="160" t="s">
        <v>131</v>
      </c>
      <c r="H20" s="158" t="s">
        <v>131</v>
      </c>
      <c r="I20" s="162">
        <f>I18/H18-1</f>
        <v>0.18051034729895177</v>
      </c>
      <c r="J20" s="162">
        <f>J18/I18-1</f>
        <v>-0.11303888646467719</v>
      </c>
      <c r="K20" s="161">
        <f>K18/J18-1</f>
        <v>2.8552075720575498E-2</v>
      </c>
      <c r="L20" s="159" t="s">
        <v>131</v>
      </c>
      <c r="M20" s="162">
        <f>M18/K18-1</f>
        <v>7.7673873711501251E-3</v>
      </c>
      <c r="N20" s="162">
        <f>N18/M18-1</f>
        <v>8.0462932709669532E-2</v>
      </c>
      <c r="O20" s="162">
        <f>O18/N18-1</f>
        <v>-4.8289033901002254E-3</v>
      </c>
      <c r="P20" s="161">
        <f>P18/O18-1</f>
        <v>0.12421273505995822</v>
      </c>
      <c r="Q20" s="160" t="s">
        <v>131</v>
      </c>
      <c r="R20" s="162">
        <f>R18/P18-1</f>
        <v>0.18290816181366099</v>
      </c>
      <c r="S20" s="162">
        <f>S18/R18-1</f>
        <v>-3.1747291654640297E-2</v>
      </c>
      <c r="T20" s="162">
        <f>T18/S18-1</f>
        <v>-1.7644881543548374E-2</v>
      </c>
      <c r="U20" s="161">
        <f>U18/T18-1</f>
        <v>6.2597041345302751E-2</v>
      </c>
      <c r="V20" s="160" t="s">
        <v>131</v>
      </c>
      <c r="W20" s="162">
        <f>W18/U18-1</f>
        <v>0.10219560023226815</v>
      </c>
      <c r="X20" s="162">
        <f>X18/W18-1</f>
        <v>4.8522391378978957E-2</v>
      </c>
      <c r="Y20" s="162">
        <f>Y18/X18-1</f>
        <v>-1.9698529714591739E-2</v>
      </c>
      <c r="Z20" s="161">
        <f>Z18/Y18-1</f>
        <v>4.7059787335050451E-2</v>
      </c>
      <c r="AA20" s="160" t="s">
        <v>131</v>
      </c>
      <c r="AB20" s="162">
        <f>AB18/Z18-1</f>
        <v>0.27759465711184683</v>
      </c>
      <c r="AC20" s="162">
        <f>AC18/AB18-1</f>
        <v>-3.4437978348873965E-2</v>
      </c>
      <c r="AD20" s="162">
        <f>AD18/AC18-1</f>
        <v>-5.8074955886777468E-2</v>
      </c>
      <c r="AE20" s="161">
        <f>AE18/AD18-1</f>
        <v>0.12883620950128205</v>
      </c>
      <c r="AF20" s="160" t="s">
        <v>131</v>
      </c>
      <c r="AG20" s="162">
        <f>AG18/AE18-1</f>
        <v>-5.1249225686557875E-2</v>
      </c>
      <c r="AH20" s="162">
        <f>AH18/AG18-1</f>
        <v>0.15020361181238706</v>
      </c>
      <c r="AI20" s="162">
        <f>AI18/AH18-1</f>
        <v>0.14003831981487624</v>
      </c>
      <c r="AJ20" s="161">
        <f>AJ18/AI18-1</f>
        <v>7.2528037256787137E-2</v>
      </c>
      <c r="AK20" s="160" t="s">
        <v>131</v>
      </c>
      <c r="AL20" s="162">
        <f>AL18/AJ18-1</f>
        <v>-2.3399340879782238E-2</v>
      </c>
      <c r="AM20" s="162">
        <f>AM18/AL18-1</f>
        <v>-1.2513468910585135E-2</v>
      </c>
      <c r="AN20" s="162">
        <f>AN18/AM18-1</f>
        <v>-2.9573244296631218E-3</v>
      </c>
      <c r="AO20" s="161">
        <f>AO18/AN18-1</f>
        <v>3.0582501701809539E-2</v>
      </c>
      <c r="AP20" s="160" t="s">
        <v>131</v>
      </c>
      <c r="AQ20" s="162">
        <f>AQ18/AO18-1</f>
        <v>-0.14143644747161843</v>
      </c>
      <c r="AR20" s="162">
        <f>AR18/AQ18-1</f>
        <v>-0.11067651667544687</v>
      </c>
      <c r="AS20" s="162">
        <f>AS18/AR18-1</f>
        <v>-1.5438107430441272E-2</v>
      </c>
      <c r="AT20" s="162">
        <f>AT18/AS18-1</f>
        <v>8.8336808414055223E-2</v>
      </c>
      <c r="AU20" s="160" t="s">
        <v>131</v>
      </c>
      <c r="AV20" s="162">
        <f>AV18/AT18-1</f>
        <v>0.13032185637208871</v>
      </c>
      <c r="AW20" s="162">
        <f>AW18/AV18-1</f>
        <v>0.11019394705076646</v>
      </c>
      <c r="AX20" s="162">
        <f>AX18/AW18-1</f>
        <v>4.5281390451574532E-2</v>
      </c>
      <c r="AY20" s="162">
        <f>AY18/AX18-1</f>
        <v>3.8006829587979851E-3</v>
      </c>
      <c r="AZ20" s="160" t="s">
        <v>131</v>
      </c>
      <c r="BA20" s="162">
        <f>BA18/AY18-1</f>
        <v>1.890569060642977E-2</v>
      </c>
      <c r="BB20" s="162">
        <f>BB18/BA18-1</f>
        <v>-9.9171637544001046E-3</v>
      </c>
      <c r="BC20" s="162">
        <f>BC18/BB18-1</f>
        <v>-1.3811272553089449E-2</v>
      </c>
      <c r="BD20" s="162">
        <f>BD18/BC18-1</f>
        <v>0.14447988342912632</v>
      </c>
      <c r="BE20" s="160" t="s">
        <v>131</v>
      </c>
      <c r="BF20" s="162">
        <f>BF18/BD18-1</f>
        <v>-9.9573529800100258E-2</v>
      </c>
      <c r="BG20" s="162">
        <f>BG18/BF18-1</f>
        <v>7.9381954038278302E-2</v>
      </c>
      <c r="BH20" s="162">
        <f>BH18/BG18-1</f>
        <v>-4.5766252871065061E-2</v>
      </c>
      <c r="BI20" s="162">
        <f>BI18/BH18-1</f>
        <v>6.5084906399071718E-2</v>
      </c>
      <c r="BJ20" s="160" t="s">
        <v>131</v>
      </c>
      <c r="BK20" s="162">
        <f>BK18/BI18-1</f>
        <v>-0.14066050526074581</v>
      </c>
      <c r="BL20" s="162">
        <f>BL18/BK18-1</f>
        <v>-7.055124409063307E-4</v>
      </c>
      <c r="BM20" s="162">
        <f>BM18/BL18-1</f>
        <v>-1.9897267127704454E-2</v>
      </c>
      <c r="BN20" s="162">
        <f>BN18/BM18-1</f>
        <v>5.1536883851148518E-2</v>
      </c>
      <c r="BO20" s="1471" t="s">
        <v>131</v>
      </c>
      <c r="BP20" s="162">
        <f>BP18/BN18-1</f>
        <v>-3.4454746994190488E-2</v>
      </c>
      <c r="BQ20" s="162">
        <f>BQ18/BP18-1</f>
        <v>6.807021542607572E-2</v>
      </c>
      <c r="BR20" s="162">
        <f>BR18/BQ18-1</f>
        <v>-6.2155509597349501E-2</v>
      </c>
      <c r="BS20" s="162">
        <f>BS18/BR18-1</f>
        <v>6.7350121134514884E-2</v>
      </c>
      <c r="BT20" s="1471" t="s">
        <v>131</v>
      </c>
      <c r="BU20" s="162">
        <f>BU18/BS18-1</f>
        <v>4.9441689613911599E-2</v>
      </c>
      <c r="BV20" s="162">
        <f>BV18/BU18-1</f>
        <v>4.4099078285946502E-2</v>
      </c>
      <c r="BW20" s="162">
        <f>BW18/BV18-1</f>
        <v>5.3316115101463835E-2</v>
      </c>
      <c r="BX20" s="162">
        <f>BX18/BW18-1</f>
        <v>7.9252772765014079E-2</v>
      </c>
      <c r="BY20" s="1471" t="s">
        <v>131</v>
      </c>
      <c r="BZ20" s="162">
        <f>BZ18/BX18-1</f>
        <v>6.6641497403371108E-2</v>
      </c>
      <c r="CA20" s="162">
        <f>CA18/BZ18-1</f>
        <v>6.9578924020066157E-3</v>
      </c>
      <c r="CB20" s="162">
        <f>CB18/CA18-1</f>
        <v>5.417400922350124E-2</v>
      </c>
      <c r="CC20" s="162">
        <f>CC18/CB18-1</f>
        <v>9.9763478817571638E-2</v>
      </c>
      <c r="CD20" s="1471" t="s">
        <v>131</v>
      </c>
      <c r="CE20" s="162">
        <f>CE18/CC18-1</f>
        <v>5.5950718198840121E-2</v>
      </c>
      <c r="CF20" s="162">
        <f>CF18/CD18-1</f>
        <v>-0.6926400624214184</v>
      </c>
      <c r="CG20" s="162">
        <f>CG18/CE18-1</f>
        <v>0.10340209323262983</v>
      </c>
      <c r="CH20" s="162">
        <f>CH18/CF18-1</f>
        <v>0.14114491295797871</v>
      </c>
      <c r="CI20" s="1471" t="s">
        <v>131</v>
      </c>
      <c r="CJ20" s="162">
        <f>CJ18/CH18-1</f>
        <v>4.0290375744561624E-2</v>
      </c>
      <c r="CK20" s="168">
        <f>CK18/CJ18-1</f>
        <v>3.6398836121039002E-2</v>
      </c>
      <c r="CL20" s="168">
        <f>CL18/CK18-1</f>
        <v>4.6701272293915741E-2</v>
      </c>
      <c r="CM20" s="169">
        <f>CM18/CL18-1</f>
        <v>5.4044104036873097E-2</v>
      </c>
      <c r="CN20" s="1019" t="s">
        <v>131</v>
      </c>
      <c r="CO20" s="168">
        <f>CO18/CM18-1</f>
        <v>4.2603706621193282E-2</v>
      </c>
      <c r="CP20" s="168">
        <f>CP18/CO18-1</f>
        <v>3.2058252210890537E-2</v>
      </c>
      <c r="CQ20" s="168">
        <f>CQ18/CP18-1</f>
        <v>4.8665678890694508E-2</v>
      </c>
      <c r="CR20" s="169">
        <f>CR18/CQ18-1</f>
        <v>5.3478880418978303E-2</v>
      </c>
      <c r="CS20" s="1019" t="s">
        <v>131</v>
      </c>
      <c r="CT20" s="168">
        <f>CT18/CR18-1</f>
        <v>3.6578923977397038E-2</v>
      </c>
      <c r="CU20" s="168">
        <f>CU18/CT18-1</f>
        <v>2.4892979178399388E-2</v>
      </c>
      <c r="CV20" s="168">
        <f>CV18/CU18-1</f>
        <v>4.066111699541608E-2</v>
      </c>
      <c r="CW20" s="169">
        <f>CW18/CV18-1</f>
        <v>4.5761489910394637E-2</v>
      </c>
      <c r="CX20" s="1019" t="s">
        <v>131</v>
      </c>
      <c r="DA20" s="171"/>
      <c r="DB20" s="170"/>
      <c r="DC20" s="170"/>
    </row>
    <row r="21" spans="1:107" hidden="1" outlineLevel="1">
      <c r="A21" s="154" t="s">
        <v>556</v>
      </c>
      <c r="B21" s="145"/>
      <c r="C21" s="146">
        <v>0</v>
      </c>
      <c r="D21" s="147">
        <v>0</v>
      </c>
      <c r="E21" s="147">
        <v>0</v>
      </c>
      <c r="F21" s="148">
        <f>0-SUM(C21:E21)</f>
        <v>0</v>
      </c>
      <c r="G21" s="149">
        <f>SUM(C21:F21)</f>
        <v>0</v>
      </c>
      <c r="H21" s="147">
        <v>0</v>
      </c>
      <c r="I21" s="147">
        <v>1.105</v>
      </c>
      <c r="J21" s="147">
        <v>4.3739999999999997</v>
      </c>
      <c r="K21" s="148">
        <f>11.619-SUM(H21:J21)</f>
        <v>6.1400000000000006</v>
      </c>
      <c r="L21" s="148">
        <f>SUM(H21:K21)</f>
        <v>11.619</v>
      </c>
      <c r="M21" s="147">
        <v>6.14</v>
      </c>
      <c r="N21" s="147">
        <v>5.9960000000000004</v>
      </c>
      <c r="O21" s="147">
        <v>6.4889999999999999</v>
      </c>
      <c r="P21" s="148">
        <f>25.745-SUM(M21:O21)</f>
        <v>7.120000000000001</v>
      </c>
      <c r="Q21" s="149">
        <f>SUM(M21:P21)</f>
        <v>25.745000000000001</v>
      </c>
      <c r="R21" s="147">
        <v>7.5289999999999999</v>
      </c>
      <c r="S21" s="147">
        <v>7.532</v>
      </c>
      <c r="T21" s="147">
        <v>8.2629999999999999</v>
      </c>
      <c r="U21" s="148">
        <f>32.622-SUM(R21:T21)</f>
        <v>9.2980000000000018</v>
      </c>
      <c r="V21" s="149">
        <f>SUM(R21:U21)</f>
        <v>32.622</v>
      </c>
      <c r="W21" s="147">
        <v>9.7349999999999994</v>
      </c>
      <c r="X21" s="147">
        <v>10.409000000000001</v>
      </c>
      <c r="Y21" s="147">
        <v>10.984999999999999</v>
      </c>
      <c r="Z21" s="148">
        <f>43.043-SUM(W21:Y21)</f>
        <v>11.914000000000001</v>
      </c>
      <c r="AA21" s="149">
        <f>SUM(W21:Z21)</f>
        <v>43.042999999999999</v>
      </c>
      <c r="AB21" s="147">
        <v>18.652000000000001</v>
      </c>
      <c r="AC21" s="147">
        <v>20.561</v>
      </c>
      <c r="AD21" s="147">
        <v>23.006</v>
      </c>
      <c r="AE21" s="148">
        <v>28.37</v>
      </c>
      <c r="AF21" s="149">
        <f>SUM(AB21:AE21)</f>
        <v>90.588999999999999</v>
      </c>
      <c r="AG21" s="147">
        <v>29.109000000000002</v>
      </c>
      <c r="AH21" s="147">
        <v>32.107999999999997</v>
      </c>
      <c r="AI21" s="147">
        <v>38.304000000000002</v>
      </c>
      <c r="AJ21" s="148">
        <v>38.835999999999999</v>
      </c>
      <c r="AK21" s="149">
        <f>SUM(AG21:AJ21)</f>
        <v>138.357</v>
      </c>
      <c r="AL21" s="147">
        <v>38.482999999999997</v>
      </c>
      <c r="AM21" s="147">
        <v>45.585000000000001</v>
      </c>
      <c r="AN21" s="147">
        <v>48.444000000000003</v>
      </c>
      <c r="AO21" s="148">
        <v>50.835000000000001</v>
      </c>
      <c r="AP21" s="149">
        <f>SUM(AL21:AO21)</f>
        <v>183.34700000000001</v>
      </c>
      <c r="AQ21" s="147">
        <v>44.191000000000003</v>
      </c>
      <c r="AR21" s="147">
        <v>44.618000000000002</v>
      </c>
      <c r="AS21" s="147">
        <v>47.642000000000003</v>
      </c>
      <c r="AT21" s="147">
        <v>50.011000000000003</v>
      </c>
      <c r="AU21" s="149">
        <f>SUM(AQ21:AT21)</f>
        <v>186.46199999999999</v>
      </c>
      <c r="AV21" s="147">
        <v>59.255000000000003</v>
      </c>
      <c r="AW21" s="147">
        <v>55.496000000000002</v>
      </c>
      <c r="AX21" s="147">
        <f>62.591</f>
        <v>62.591000000000001</v>
      </c>
      <c r="AY21" s="147">
        <f>76.692</f>
        <v>76.691999999999993</v>
      </c>
      <c r="AZ21" s="149">
        <f>SUM(AV21:AY21)</f>
        <v>254.03399999999999</v>
      </c>
      <c r="BA21" s="147">
        <f>78.846</f>
        <v>78.846000000000004</v>
      </c>
      <c r="BB21" s="147">
        <v>83.728999999999999</v>
      </c>
      <c r="BC21" s="147">
        <v>86.736999999999995</v>
      </c>
      <c r="BD21" s="147">
        <f>91.829</f>
        <v>91.828999999999994</v>
      </c>
      <c r="BE21" s="149">
        <f>SUM(BA21:BD21)</f>
        <v>341.14099999999996</v>
      </c>
      <c r="BF21" s="147">
        <v>90.468999999999994</v>
      </c>
      <c r="BG21" s="147">
        <v>93.908000000000001</v>
      </c>
      <c r="BH21" s="147">
        <v>97.203000000000003</v>
      </c>
      <c r="BI21" s="147">
        <v>106.048</v>
      </c>
      <c r="BJ21" s="149">
        <f>SUM(BF21:BI21)</f>
        <v>387.62800000000004</v>
      </c>
      <c r="BK21" s="147">
        <f>107.818</f>
        <v>107.818</v>
      </c>
      <c r="BL21" s="147">
        <v>111.129</v>
      </c>
      <c r="BM21" s="147">
        <v>113.595</v>
      </c>
      <c r="BN21" s="147">
        <v>114.744</v>
      </c>
      <c r="BO21" s="1436">
        <f>SUM(BK21:BN21)</f>
        <v>447.28600000000006</v>
      </c>
      <c r="BP21" s="147">
        <v>105.10299999999999</v>
      </c>
      <c r="BQ21" s="147">
        <v>112.267</v>
      </c>
      <c r="BR21" s="147">
        <v>108.88500000000001</v>
      </c>
      <c r="BS21" s="147">
        <v>116.423</v>
      </c>
      <c r="BT21" s="1436">
        <f>SUM(BP21:BS21)</f>
        <v>442.678</v>
      </c>
      <c r="BU21" s="147">
        <v>104.965</v>
      </c>
      <c r="BV21" s="147">
        <v>113.657</v>
      </c>
      <c r="BW21" s="147">
        <v>113.36499999999999</v>
      </c>
      <c r="BX21" s="147">
        <v>114.474</v>
      </c>
      <c r="BY21" s="1436">
        <f>SUM(BU21:BX21)</f>
        <v>446.46100000000001</v>
      </c>
      <c r="BZ21" s="147">
        <v>111.973</v>
      </c>
      <c r="CA21" s="147">
        <v>118.501</v>
      </c>
      <c r="CB21" s="147">
        <v>114.405</v>
      </c>
      <c r="CC21" s="147">
        <v>124.22</v>
      </c>
      <c r="CD21" s="1436">
        <f>SUM(BZ21:CC21)</f>
        <v>469.09900000000005</v>
      </c>
      <c r="CE21" s="147">
        <v>114.405</v>
      </c>
      <c r="CF21" s="147">
        <v>116.955</v>
      </c>
      <c r="CG21" s="147">
        <v>111.777</v>
      </c>
      <c r="CH21" s="147">
        <v>117.732</v>
      </c>
      <c r="CI21" s="1436">
        <f>SUM(CE21:CH21)</f>
        <v>460.86900000000003</v>
      </c>
      <c r="CJ21" s="147">
        <v>113.98099999999999</v>
      </c>
      <c r="CK21" s="150">
        <f>'Revenue Drivers'!CK72</f>
        <v>138.51323710241442</v>
      </c>
      <c r="CL21" s="150">
        <f>'Revenue Drivers'!CL72</f>
        <v>129.88070521098598</v>
      </c>
      <c r="CM21" s="150">
        <f>'Revenue Drivers'!CM72</f>
        <v>133.00925385179997</v>
      </c>
      <c r="CN21" s="1017">
        <f>SUM(CJ21:CM21)</f>
        <v>515.38419616520036</v>
      </c>
      <c r="CO21" s="150">
        <f>'Revenue Drivers'!CO72</f>
        <v>125.93611856635641</v>
      </c>
      <c r="CP21" s="150">
        <f>'Revenue Drivers'!CP72</f>
        <v>153.34379245324268</v>
      </c>
      <c r="CQ21" s="150">
        <f>'Revenue Drivers'!CQ72</f>
        <v>142.86274781000324</v>
      </c>
      <c r="CR21" s="150">
        <f>'Revenue Drivers'!CR72</f>
        <v>145.84955786249077</v>
      </c>
      <c r="CS21" s="1017">
        <f>SUM(CO21:CR21)</f>
        <v>567.99221669209317</v>
      </c>
      <c r="CT21" s="150">
        <f>'Revenue Drivers'!CT72</f>
        <v>135.90689635067423</v>
      </c>
      <c r="CU21" s="150">
        <f>'Revenue Drivers'!CU72</f>
        <v>166.42981056483882</v>
      </c>
      <c r="CV21" s="150">
        <f>'Revenue Drivers'!CV72</f>
        <v>152.22819580817165</v>
      </c>
      <c r="CW21" s="150">
        <f>'Revenue Drivers'!CW72</f>
        <v>153.71105646118596</v>
      </c>
      <c r="CX21" s="1017">
        <f>SUM(CT21:CW21)</f>
        <v>608.27595918487066</v>
      </c>
      <c r="DA21" s="174"/>
      <c r="DB21" s="173"/>
      <c r="DC21" s="173"/>
    </row>
    <row r="22" spans="1:107" hidden="1" outlineLevel="1">
      <c r="A22" s="155" t="s">
        <v>630</v>
      </c>
      <c r="B22" s="156"/>
      <c r="C22" s="157" t="s">
        <v>131</v>
      </c>
      <c r="D22" s="158" t="s">
        <v>131</v>
      </c>
      <c r="E22" s="158" t="s">
        <v>131</v>
      </c>
      <c r="F22" s="159" t="s">
        <v>131</v>
      </c>
      <c r="G22" s="160" t="s">
        <v>131</v>
      </c>
      <c r="H22" s="158" t="s">
        <v>131</v>
      </c>
      <c r="I22" s="158" t="s">
        <v>131</v>
      </c>
      <c r="J22" s="158" t="s">
        <v>131</v>
      </c>
      <c r="K22" s="159" t="s">
        <v>131</v>
      </c>
      <c r="L22" s="159" t="s">
        <v>131</v>
      </c>
      <c r="M22" s="158" t="s">
        <v>131</v>
      </c>
      <c r="N22" s="162">
        <f t="shared" ref="N22:AZ22" si="1">N21/I21-1</f>
        <v>4.426244343891403</v>
      </c>
      <c r="O22" s="162">
        <f t="shared" si="1"/>
        <v>0.48353909465020584</v>
      </c>
      <c r="P22" s="161">
        <f t="shared" si="1"/>
        <v>0.15960912052117271</v>
      </c>
      <c r="Q22" s="163">
        <f t="shared" si="1"/>
        <v>1.215767277734745</v>
      </c>
      <c r="R22" s="162">
        <f t="shared" si="1"/>
        <v>0.22622149837133554</v>
      </c>
      <c r="S22" s="162">
        <f t="shared" si="1"/>
        <v>0.25617078052034681</v>
      </c>
      <c r="T22" s="162">
        <f t="shared" si="1"/>
        <v>0.27338572969640929</v>
      </c>
      <c r="U22" s="161">
        <f t="shared" si="1"/>
        <v>0.30589887640449454</v>
      </c>
      <c r="V22" s="163">
        <f t="shared" si="1"/>
        <v>0.26711982909302767</v>
      </c>
      <c r="W22" s="162">
        <f t="shared" si="1"/>
        <v>0.2930003984592906</v>
      </c>
      <c r="X22" s="162">
        <f t="shared" si="1"/>
        <v>0.38197026022304836</v>
      </c>
      <c r="Y22" s="162">
        <f t="shared" si="1"/>
        <v>0.32942030739440886</v>
      </c>
      <c r="Z22" s="161">
        <f t="shared" si="1"/>
        <v>0.28135082813508272</v>
      </c>
      <c r="AA22" s="163">
        <f t="shared" si="1"/>
        <v>0.31944699895775863</v>
      </c>
      <c r="AB22" s="162">
        <f t="shared" si="1"/>
        <v>0.91597329224447899</v>
      </c>
      <c r="AC22" s="162">
        <f t="shared" si="1"/>
        <v>0.97530982803343247</v>
      </c>
      <c r="AD22" s="162">
        <f t="shared" si="1"/>
        <v>1.0943104233045062</v>
      </c>
      <c r="AE22" s="161">
        <f t="shared" si="1"/>
        <v>1.3812321638408593</v>
      </c>
      <c r="AF22" s="163">
        <f t="shared" si="1"/>
        <v>1.1046163139186396</v>
      </c>
      <c r="AG22" s="162">
        <f t="shared" si="1"/>
        <v>0.56063692901565521</v>
      </c>
      <c r="AH22" s="162">
        <f t="shared" si="1"/>
        <v>0.56159719857983537</v>
      </c>
      <c r="AI22" s="162">
        <f t="shared" si="1"/>
        <v>0.6649569677475442</v>
      </c>
      <c r="AJ22" s="161">
        <f t="shared" si="1"/>
        <v>0.36891082129009511</v>
      </c>
      <c r="AK22" s="163">
        <f t="shared" si="1"/>
        <v>0.52730463963615892</v>
      </c>
      <c r="AL22" s="164">
        <f t="shared" si="1"/>
        <v>0.32203098697997157</v>
      </c>
      <c r="AM22" s="164">
        <f t="shared" si="1"/>
        <v>0.41973962875295889</v>
      </c>
      <c r="AN22" s="162">
        <f t="shared" si="1"/>
        <v>0.26472431077694236</v>
      </c>
      <c r="AO22" s="161">
        <f t="shared" si="1"/>
        <v>0.30896590792048628</v>
      </c>
      <c r="AP22" s="163">
        <f t="shared" si="1"/>
        <v>0.32517328360690101</v>
      </c>
      <c r="AQ22" s="164">
        <f t="shared" si="1"/>
        <v>0.14832523451913837</v>
      </c>
      <c r="AR22" s="162">
        <f t="shared" si="1"/>
        <v>-2.1213118350334459E-2</v>
      </c>
      <c r="AS22" s="162">
        <f t="shared" si="1"/>
        <v>-1.6555197754107853E-2</v>
      </c>
      <c r="AT22" s="162">
        <f t="shared" si="1"/>
        <v>-1.6209304612963438E-2</v>
      </c>
      <c r="AU22" s="163">
        <f t="shared" si="1"/>
        <v>1.6989642590279574E-2</v>
      </c>
      <c r="AV22" s="164">
        <f t="shared" si="1"/>
        <v>0.34088389038492006</v>
      </c>
      <c r="AW22" s="162">
        <f t="shared" si="1"/>
        <v>0.24380294948227177</v>
      </c>
      <c r="AX22" s="162">
        <f t="shared" si="1"/>
        <v>0.31377775912010408</v>
      </c>
      <c r="AY22" s="162">
        <f t="shared" si="1"/>
        <v>0.53350262942152704</v>
      </c>
      <c r="AZ22" s="163">
        <f t="shared" si="1"/>
        <v>0.36239019210348489</v>
      </c>
      <c r="BA22" s="164">
        <f t="shared" ref="BA22:BJ22" si="2">BA21/AV21-1</f>
        <v>0.33062188844823215</v>
      </c>
      <c r="BB22" s="162">
        <f t="shared" si="2"/>
        <v>0.50873936860314251</v>
      </c>
      <c r="BC22" s="162">
        <f t="shared" si="2"/>
        <v>0.38577431260085304</v>
      </c>
      <c r="BD22" s="162">
        <f t="shared" si="2"/>
        <v>0.1973739112293329</v>
      </c>
      <c r="BE22" s="163">
        <f t="shared" si="2"/>
        <v>0.34289504554508432</v>
      </c>
      <c r="BF22" s="164">
        <f t="shared" si="2"/>
        <v>0.1474139461735533</v>
      </c>
      <c r="BG22" s="162">
        <f t="shared" si="2"/>
        <v>0.12157078192740878</v>
      </c>
      <c r="BH22" s="162">
        <f t="shared" si="2"/>
        <v>0.12066361529681702</v>
      </c>
      <c r="BI22" s="162">
        <f t="shared" si="2"/>
        <v>0.15484215226126841</v>
      </c>
      <c r="BJ22" s="163">
        <f t="shared" si="2"/>
        <v>0.13626916729446203</v>
      </c>
      <c r="BK22" s="164">
        <f t="shared" ref="BK22:BX22" si="3">BK21/BF21-1</f>
        <v>0.1917673457206337</v>
      </c>
      <c r="BL22" s="162">
        <f t="shared" si="3"/>
        <v>0.18338160753077482</v>
      </c>
      <c r="BM22" s="162">
        <f t="shared" si="3"/>
        <v>0.1686367704700471</v>
      </c>
      <c r="BN22" s="162">
        <f t="shared" si="3"/>
        <v>8.2000603500301805E-2</v>
      </c>
      <c r="BO22" s="1437">
        <f t="shared" si="3"/>
        <v>0.15390529063947911</v>
      </c>
      <c r="BP22" s="164">
        <f t="shared" si="3"/>
        <v>-2.5181324083177192E-2</v>
      </c>
      <c r="BQ22" s="162">
        <f t="shared" si="3"/>
        <v>1.0240351303440143E-2</v>
      </c>
      <c r="BR22" s="162">
        <f t="shared" si="3"/>
        <v>-4.1463092565693804E-2</v>
      </c>
      <c r="BS22" s="162">
        <f t="shared" si="3"/>
        <v>1.4632573380743308E-2</v>
      </c>
      <c r="BT22" s="1437">
        <f t="shared" si="3"/>
        <v>-1.0302133310678308E-2</v>
      </c>
      <c r="BU22" s="164">
        <f t="shared" ref="BU22:CD22" si="4">BU21/BP21-1</f>
        <v>-1.3129977260400993E-3</v>
      </c>
      <c r="BV22" s="162">
        <f t="shared" si="3"/>
        <v>1.2381198393116355E-2</v>
      </c>
      <c r="BW22" s="162">
        <f t="shared" si="3"/>
        <v>4.1144326583092194E-2</v>
      </c>
      <c r="BX22" s="162">
        <f t="shared" si="3"/>
        <v>-1.6740678388290964E-2</v>
      </c>
      <c r="BY22" s="1437">
        <f t="shared" si="4"/>
        <v>8.5457149440451019E-3</v>
      </c>
      <c r="BZ22" s="164">
        <f t="shared" si="4"/>
        <v>6.6765112180250608E-2</v>
      </c>
      <c r="CA22" s="164">
        <f t="shared" si="4"/>
        <v>4.2619460306008605E-2</v>
      </c>
      <c r="CB22" s="164">
        <f t="shared" si="4"/>
        <v>9.1739072906100727E-3</v>
      </c>
      <c r="CC22" s="164">
        <f t="shared" si="4"/>
        <v>8.5137236403026062E-2</v>
      </c>
      <c r="CD22" s="1437">
        <f t="shared" si="4"/>
        <v>5.0705436757074063E-2</v>
      </c>
      <c r="CE22" s="164">
        <f t="shared" ref="CE22:CN22" si="5">CE21/BZ21-1</f>
        <v>2.1719521670402697E-2</v>
      </c>
      <c r="CF22" s="164">
        <f t="shared" si="5"/>
        <v>-1.3046303406722415E-2</v>
      </c>
      <c r="CG22" s="164">
        <f t="shared" si="5"/>
        <v>-2.2971023993706541E-2</v>
      </c>
      <c r="CH22" s="164">
        <f t="shared" si="5"/>
        <v>-5.2229914667525357E-2</v>
      </c>
      <c r="CI22" s="1437">
        <f t="shared" si="5"/>
        <v>-1.7544271038736015E-2</v>
      </c>
      <c r="CJ22" s="164">
        <f t="shared" si="5"/>
        <v>-3.7061317250121073E-3</v>
      </c>
      <c r="CK22" s="168">
        <f t="shared" si="5"/>
        <v>0.18432933266995355</v>
      </c>
      <c r="CL22" s="168">
        <f t="shared" si="5"/>
        <v>0.16196270441133676</v>
      </c>
      <c r="CM22" s="169">
        <f t="shared" si="5"/>
        <v>0.12976296887677075</v>
      </c>
      <c r="CN22" s="1018">
        <f t="shared" si="5"/>
        <v>0.11828783486240191</v>
      </c>
      <c r="CO22" s="168">
        <f t="shared" ref="CO22:CX22" si="6">CO21/CJ21-1</f>
        <v>0.10488694226543394</v>
      </c>
      <c r="CP22" s="168">
        <f t="shared" si="6"/>
        <v>0.10706958887880735</v>
      </c>
      <c r="CQ22" s="168">
        <f t="shared" si="6"/>
        <v>9.9953588779245095E-2</v>
      </c>
      <c r="CR22" s="169">
        <f t="shared" si="6"/>
        <v>9.6536922348256837E-2</v>
      </c>
      <c r="CS22" s="1018">
        <f t="shared" si="6"/>
        <v>0.10207534673808638</v>
      </c>
      <c r="CT22" s="168">
        <f t="shared" si="6"/>
        <v>7.9173297524364861E-2</v>
      </c>
      <c r="CU22" s="168">
        <f t="shared" si="6"/>
        <v>8.5337775349375811E-2</v>
      </c>
      <c r="CV22" s="168">
        <f t="shared" si="6"/>
        <v>6.555556393625972E-2</v>
      </c>
      <c r="CW22" s="169">
        <f t="shared" si="6"/>
        <v>5.3901422218277428E-2</v>
      </c>
      <c r="CX22" s="1018">
        <f t="shared" si="6"/>
        <v>7.0923053712574458E-2</v>
      </c>
      <c r="DA22" s="171"/>
      <c r="DB22" s="170"/>
      <c r="DC22" s="170"/>
    </row>
    <row r="23" spans="1:107" hidden="1" outlineLevel="1">
      <c r="A23" s="155" t="s">
        <v>105</v>
      </c>
      <c r="B23" s="156"/>
      <c r="C23" s="157" t="s">
        <v>131</v>
      </c>
      <c r="D23" s="158" t="s">
        <v>131</v>
      </c>
      <c r="E23" s="158" t="s">
        <v>131</v>
      </c>
      <c r="F23" s="159" t="s">
        <v>131</v>
      </c>
      <c r="G23" s="160" t="s">
        <v>131</v>
      </c>
      <c r="H23" s="158" t="s">
        <v>131</v>
      </c>
      <c r="I23" s="158" t="s">
        <v>131</v>
      </c>
      <c r="J23" s="162">
        <f>J21/I21-1</f>
        <v>2.9583710407239816</v>
      </c>
      <c r="K23" s="161">
        <f>K21/J21-1</f>
        <v>0.40374942844078676</v>
      </c>
      <c r="L23" s="159" t="s">
        <v>131</v>
      </c>
      <c r="M23" s="162">
        <f>M21/K21-1</f>
        <v>0</v>
      </c>
      <c r="N23" s="162">
        <f>N21/M21-1</f>
        <v>-2.3452768729641527E-2</v>
      </c>
      <c r="O23" s="162">
        <f>O21/N21-1</f>
        <v>8.2221480987324735E-2</v>
      </c>
      <c r="P23" s="161">
        <f>P21/O21-1</f>
        <v>9.7241485591000432E-2</v>
      </c>
      <c r="Q23" s="160" t="s">
        <v>131</v>
      </c>
      <c r="R23" s="162">
        <f>R21/P21-1</f>
        <v>5.7443820224718944E-2</v>
      </c>
      <c r="S23" s="162">
        <f>S21/R21-1</f>
        <v>3.9845929074244779E-4</v>
      </c>
      <c r="T23" s="162">
        <f>T21/S21-1</f>
        <v>9.7052575677111008E-2</v>
      </c>
      <c r="U23" s="161">
        <f>U21/T21-1</f>
        <v>0.12525717051918206</v>
      </c>
      <c r="V23" s="160" t="s">
        <v>131</v>
      </c>
      <c r="W23" s="162">
        <f>W21/U21-1</f>
        <v>4.6999354699935214E-2</v>
      </c>
      <c r="X23" s="162">
        <f>X21/W21-1</f>
        <v>6.9234720082177903E-2</v>
      </c>
      <c r="Y23" s="162">
        <f>Y21/X21-1</f>
        <v>5.5336727831684085E-2</v>
      </c>
      <c r="Z23" s="161">
        <f>Z21/Y21-1</f>
        <v>8.4569868001820758E-2</v>
      </c>
      <c r="AA23" s="160" t="s">
        <v>131</v>
      </c>
      <c r="AB23" s="162">
        <f>AB21/Z21-1</f>
        <v>0.56555313077052194</v>
      </c>
      <c r="AC23" s="162">
        <f>AC21/AB21-1</f>
        <v>0.10234827364357701</v>
      </c>
      <c r="AD23" s="162">
        <f>AD21/AC21-1</f>
        <v>0.11891444968629927</v>
      </c>
      <c r="AE23" s="161">
        <f>AE21/AD21-1</f>
        <v>0.23315656785186478</v>
      </c>
      <c r="AF23" s="160" t="s">
        <v>131</v>
      </c>
      <c r="AG23" s="162">
        <f>AG21/AE21-1</f>
        <v>2.6048642932675392E-2</v>
      </c>
      <c r="AH23" s="162">
        <f>AH21/AG21-1</f>
        <v>0.10302655536088468</v>
      </c>
      <c r="AI23" s="162">
        <f>AI21/AH21-1</f>
        <v>0.19297371371620797</v>
      </c>
      <c r="AJ23" s="161">
        <f>AJ21/AI21-1</f>
        <v>1.388888888888884E-2</v>
      </c>
      <c r="AK23" s="160" t="s">
        <v>131</v>
      </c>
      <c r="AL23" s="162">
        <f>AL21/AJ21-1</f>
        <v>-9.0895045833763177E-3</v>
      </c>
      <c r="AM23" s="162">
        <f>AM21/AL21-1</f>
        <v>0.1845490216459218</v>
      </c>
      <c r="AN23" s="162">
        <f>AN21/AM21-1</f>
        <v>6.2717999341888708E-2</v>
      </c>
      <c r="AO23" s="161">
        <f>AO21/AN21-1</f>
        <v>4.9355957394104477E-2</v>
      </c>
      <c r="AP23" s="160" t="s">
        <v>131</v>
      </c>
      <c r="AQ23" s="162">
        <f>AQ21/AO21-1</f>
        <v>-0.13069735418510864</v>
      </c>
      <c r="AR23" s="162">
        <f>AR21/AQ21-1</f>
        <v>9.6626009821003667E-3</v>
      </c>
      <c r="AS23" s="162">
        <f>AS21/AR21-1</f>
        <v>6.7775337307812933E-2</v>
      </c>
      <c r="AT23" s="162">
        <f>AT21/AS21-1</f>
        <v>4.972503253431837E-2</v>
      </c>
      <c r="AU23" s="160" t="s">
        <v>131</v>
      </c>
      <c r="AV23" s="162">
        <f>AV21/AT21-1</f>
        <v>0.18483933534622388</v>
      </c>
      <c r="AW23" s="162">
        <f>AW21/AV21-1</f>
        <v>-6.3437684583579457E-2</v>
      </c>
      <c r="AX23" s="162">
        <f>AX21/AW21-1</f>
        <v>0.12784705203978652</v>
      </c>
      <c r="AY23" s="162">
        <f>AY21/AX21-1</f>
        <v>0.22528798070010048</v>
      </c>
      <c r="AZ23" s="160" t="s">
        <v>131</v>
      </c>
      <c r="BA23" s="162">
        <f>BA21/AY21-1</f>
        <v>2.8086371459865589E-2</v>
      </c>
      <c r="BB23" s="162">
        <f>BB21/BA21-1</f>
        <v>6.19308525480049E-2</v>
      </c>
      <c r="BC23" s="162">
        <f>BC21/BB21-1</f>
        <v>3.5925426076986344E-2</v>
      </c>
      <c r="BD23" s="162">
        <f>BD21/BC21-1</f>
        <v>5.8706203811522251E-2</v>
      </c>
      <c r="BE23" s="160" t="s">
        <v>131</v>
      </c>
      <c r="BF23" s="162">
        <f>BF21/BD21-1</f>
        <v>-1.4810136231473758E-2</v>
      </c>
      <c r="BG23" s="162">
        <f>BG21/BF21-1</f>
        <v>3.801302103482973E-2</v>
      </c>
      <c r="BH23" s="162">
        <f>BH21/BG21-1</f>
        <v>3.5087532478596195E-2</v>
      </c>
      <c r="BI23" s="162">
        <f>BI21/BH21-1</f>
        <v>9.0995133895044322E-2</v>
      </c>
      <c r="BJ23" s="160" t="s">
        <v>131</v>
      </c>
      <c r="BK23" s="162">
        <f>BK21/BI21-1</f>
        <v>1.6690555220277625E-2</v>
      </c>
      <c r="BL23" s="162">
        <f>BL21/BK21-1</f>
        <v>3.0709158025561623E-2</v>
      </c>
      <c r="BM23" s="162">
        <f>BM21/BL21-1</f>
        <v>2.2190427341197916E-2</v>
      </c>
      <c r="BN23" s="162">
        <f>BN21/BM21-1</f>
        <v>1.0114881816981391E-2</v>
      </c>
      <c r="BO23" s="1471" t="s">
        <v>131</v>
      </c>
      <c r="BP23" s="162">
        <f>BP21/BN21-1</f>
        <v>-8.4021822491807896E-2</v>
      </c>
      <c r="BQ23" s="162">
        <f>BQ21/BP21-1</f>
        <v>6.8161708038781077E-2</v>
      </c>
      <c r="BR23" s="162">
        <f>BR21/BQ21-1</f>
        <v>-3.0124613644258669E-2</v>
      </c>
      <c r="BS23" s="162">
        <f>BS21/BR21-1</f>
        <v>6.9229003076640483E-2</v>
      </c>
      <c r="BT23" s="1471" t="s">
        <v>131</v>
      </c>
      <c r="BU23" s="162">
        <f>BU21/BS21-1</f>
        <v>-9.8416979462820908E-2</v>
      </c>
      <c r="BV23" s="162">
        <f>BV21/BU21-1</f>
        <v>8.2808555232696479E-2</v>
      </c>
      <c r="BW23" s="162">
        <f>BW21/BV21-1</f>
        <v>-2.5691334453663561E-3</v>
      </c>
      <c r="BX23" s="162">
        <f>BX21/BW21-1</f>
        <v>9.7825607550832139E-3</v>
      </c>
      <c r="BY23" s="1471" t="s">
        <v>131</v>
      </c>
      <c r="BZ23" s="162">
        <f>BZ21/BX21-1</f>
        <v>-2.1847755822282822E-2</v>
      </c>
      <c r="CA23" s="162">
        <f>CA21/BZ21-1</f>
        <v>5.8299768694238807E-2</v>
      </c>
      <c r="CB23" s="162">
        <f>CB21/CA21-1</f>
        <v>-3.456510915519706E-2</v>
      </c>
      <c r="CC23" s="162">
        <f>CC21/CB21-1</f>
        <v>8.5791704908002142E-2</v>
      </c>
      <c r="CD23" s="1471" t="s">
        <v>131</v>
      </c>
      <c r="CE23" s="162">
        <f>CE21/CC21-1</f>
        <v>-7.9013041378199977E-2</v>
      </c>
      <c r="CF23" s="162">
        <f>CF21/CD21-1</f>
        <v>-0.7506816258401745</v>
      </c>
      <c r="CG23" s="162">
        <f>CG21/CE21-1</f>
        <v>-2.2971023993706541E-2</v>
      </c>
      <c r="CH23" s="162">
        <f>CH21/CF21-1</f>
        <v>6.6435808644349503E-3</v>
      </c>
      <c r="CI23" s="1471" t="s">
        <v>131</v>
      </c>
      <c r="CJ23" s="162">
        <f>CJ21/CH21-1</f>
        <v>-3.186049672136726E-2</v>
      </c>
      <c r="CK23" s="168">
        <f>CK21/CJ21-1</f>
        <v>0.21523093412423489</v>
      </c>
      <c r="CL23" s="168">
        <f>CL21/CK21-1</f>
        <v>-6.2322793633403317E-2</v>
      </c>
      <c r="CM23" s="169">
        <f>CM21/CL21-1</f>
        <v>2.4087863056577952E-2</v>
      </c>
      <c r="CN23" s="1019" t="s">
        <v>131</v>
      </c>
      <c r="CO23" s="168">
        <f>CO21/CM21-1</f>
        <v>-5.3177768317717922E-2</v>
      </c>
      <c r="CP23" s="168">
        <f>CP21/CO21-1</f>
        <v>0.21763155954695423</v>
      </c>
      <c r="CQ23" s="168">
        <f>CQ21/CP21-1</f>
        <v>-6.8349976712851368E-2</v>
      </c>
      <c r="CR23" s="169">
        <f>CR21/CQ21-1</f>
        <v>2.0906850094048135E-2</v>
      </c>
      <c r="CS23" s="1019" t="s">
        <v>131</v>
      </c>
      <c r="CT23" s="168">
        <f>CT21/CR21-1</f>
        <v>-6.8170666113301692E-2</v>
      </c>
      <c r="CU23" s="168">
        <f>CU21/CT21-1</f>
        <v>0.22458694175023863</v>
      </c>
      <c r="CV23" s="168">
        <f>CV21/CU21-1</f>
        <v>-8.5330955484891446E-2</v>
      </c>
      <c r="CW23" s="169">
        <f>CW21/CV21-1</f>
        <v>9.7410380852369638E-3</v>
      </c>
      <c r="CX23" s="1019" t="s">
        <v>131</v>
      </c>
      <c r="DA23" s="171"/>
      <c r="DB23" s="170"/>
      <c r="DC23" s="170"/>
    </row>
    <row r="24" spans="1:107" collapsed="1">
      <c r="A24" s="175" t="s">
        <v>445</v>
      </c>
      <c r="B24" s="184"/>
      <c r="C24" s="176">
        <f t="shared" ref="C24:AH24" si="7">C18+C21</f>
        <v>328.96899999999999</v>
      </c>
      <c r="D24" s="177">
        <f t="shared" si="7"/>
        <v>344.09300000000002</v>
      </c>
      <c r="E24" s="177">
        <f t="shared" si="7"/>
        <v>292.11799999999999</v>
      </c>
      <c r="F24" s="178">
        <f t="shared" si="7"/>
        <v>264.53999999999996</v>
      </c>
      <c r="G24" s="179">
        <f t="shared" si="7"/>
        <v>1229.72</v>
      </c>
      <c r="H24" s="177">
        <f t="shared" si="7"/>
        <v>267.89600000000002</v>
      </c>
      <c r="I24" s="177">
        <f t="shared" si="7"/>
        <v>317.35900000000004</v>
      </c>
      <c r="J24" s="177">
        <f t="shared" si="7"/>
        <v>284.87900000000002</v>
      </c>
      <c r="K24" s="178">
        <f t="shared" si="7"/>
        <v>294.654</v>
      </c>
      <c r="L24" s="178">
        <f t="shared" si="7"/>
        <v>1164.788</v>
      </c>
      <c r="M24" s="177">
        <f t="shared" si="7"/>
        <v>296.89499999999998</v>
      </c>
      <c r="N24" s="177">
        <f t="shared" si="7"/>
        <v>320.14599999999996</v>
      </c>
      <c r="O24" s="177">
        <f t="shared" si="7"/>
        <v>319.12199999999996</v>
      </c>
      <c r="P24" s="178">
        <f t="shared" si="7"/>
        <v>358.5859999999999</v>
      </c>
      <c r="Q24" s="179">
        <f t="shared" si="7"/>
        <v>1294.7489999999998</v>
      </c>
      <c r="R24" s="177">
        <f t="shared" si="7"/>
        <v>423.28100000000001</v>
      </c>
      <c r="S24" s="177">
        <f t="shared" si="7"/>
        <v>410.08499999999998</v>
      </c>
      <c r="T24" s="177">
        <f t="shared" si="7"/>
        <v>403.71299999999997</v>
      </c>
      <c r="U24" s="178">
        <f t="shared" si="7"/>
        <v>429.50199999999995</v>
      </c>
      <c r="V24" s="179">
        <f t="shared" si="7"/>
        <v>1666.5810000000001</v>
      </c>
      <c r="W24" s="177">
        <f t="shared" si="7"/>
        <v>472.88200000000001</v>
      </c>
      <c r="X24" s="177">
        <f t="shared" si="7"/>
        <v>496.029</v>
      </c>
      <c r="Y24" s="177">
        <f t="shared" si="7"/>
        <v>487.03899999999999</v>
      </c>
      <c r="Z24" s="178">
        <f t="shared" si="7"/>
        <v>510.37100000000009</v>
      </c>
      <c r="AA24" s="179">
        <f t="shared" si="7"/>
        <v>1966.3209999999999</v>
      </c>
      <c r="AB24" s="177">
        <f t="shared" si="7"/>
        <v>655.47800000000007</v>
      </c>
      <c r="AC24" s="177">
        <f t="shared" si="7"/>
        <v>635.45600000000002</v>
      </c>
      <c r="AD24" s="177">
        <f t="shared" si="7"/>
        <v>602.19099999999992</v>
      </c>
      <c r="AE24" s="178">
        <f t="shared" si="7"/>
        <v>682.17499999999995</v>
      </c>
      <c r="AF24" s="179">
        <f t="shared" si="7"/>
        <v>2575.2999999999997</v>
      </c>
      <c r="AG24" s="177">
        <f t="shared" si="7"/>
        <v>649.40700000000004</v>
      </c>
      <c r="AH24" s="177">
        <f t="shared" si="7"/>
        <v>745.577</v>
      </c>
      <c r="AI24" s="177">
        <f t="shared" ref="AI24:AZ24" si="8">AI18+AI21</f>
        <v>851.68599999999992</v>
      </c>
      <c r="AJ24" s="178">
        <f t="shared" si="8"/>
        <v>911.21100000000001</v>
      </c>
      <c r="AK24" s="179">
        <f t="shared" si="8"/>
        <v>3157.8809999999999</v>
      </c>
      <c r="AL24" s="177">
        <f t="shared" si="8"/>
        <v>890.44499999999994</v>
      </c>
      <c r="AM24" s="177">
        <f t="shared" si="8"/>
        <v>886.88600000000008</v>
      </c>
      <c r="AN24" s="177">
        <f t="shared" si="8"/>
        <v>887.25699999999995</v>
      </c>
      <c r="AO24" s="178">
        <f t="shared" si="8"/>
        <v>915.30100000000004</v>
      </c>
      <c r="AP24" s="179">
        <f t="shared" si="8"/>
        <v>3579.8890000000001</v>
      </c>
      <c r="AQ24" s="177">
        <f t="shared" si="8"/>
        <v>786.39</v>
      </c>
      <c r="AR24" s="177">
        <f t="shared" si="8"/>
        <v>704.673</v>
      </c>
      <c r="AS24" s="177">
        <f t="shared" si="8"/>
        <v>697.50700000000006</v>
      </c>
      <c r="AT24" s="177">
        <f t="shared" si="8"/>
        <v>757.28300000000002</v>
      </c>
      <c r="AU24" s="179">
        <f t="shared" si="8"/>
        <v>2945.8529999999996</v>
      </c>
      <c r="AV24" s="177">
        <f t="shared" si="8"/>
        <v>858.7</v>
      </c>
      <c r="AW24" s="177">
        <f t="shared" si="8"/>
        <v>943.03499999999997</v>
      </c>
      <c r="AX24" s="177">
        <f t="shared" si="8"/>
        <v>990.31900000000007</v>
      </c>
      <c r="AY24" s="177">
        <f>AY18+AY21</f>
        <v>1007.9459999999999</v>
      </c>
      <c r="AZ24" s="179">
        <f t="shared" si="8"/>
        <v>3800</v>
      </c>
      <c r="BA24" s="177">
        <f>BA18+BA21</f>
        <v>1027.7060000000001</v>
      </c>
      <c r="BB24" s="177">
        <f>BB18+BB21</f>
        <v>1023.179</v>
      </c>
      <c r="BC24" s="177">
        <f>BC18+BC21</f>
        <v>1013.212</v>
      </c>
      <c r="BD24" s="177">
        <f>BD18+BD21</f>
        <v>1152.1609999999998</v>
      </c>
      <c r="BE24" s="179">
        <f>BE18+BE21</f>
        <v>4216.2579999999998</v>
      </c>
      <c r="BF24" s="177">
        <f t="shared" ref="BF24:BS24" si="9">BF18+BF21</f>
        <v>1045.22</v>
      </c>
      <c r="BG24" s="177">
        <f t="shared" si="9"/>
        <v>1124.4490000000001</v>
      </c>
      <c r="BH24" s="177">
        <f t="shared" si="9"/>
        <v>1080.58</v>
      </c>
      <c r="BI24" s="177">
        <f t="shared" si="9"/>
        <v>1153.4279999999999</v>
      </c>
      <c r="BJ24" s="179">
        <f t="shared" si="9"/>
        <v>4403.6769999999997</v>
      </c>
      <c r="BK24" s="177">
        <f t="shared" si="9"/>
        <v>1007.8729999999999</v>
      </c>
      <c r="BL24" s="177">
        <f t="shared" si="9"/>
        <v>1010.549</v>
      </c>
      <c r="BM24" s="177">
        <f t="shared" si="9"/>
        <v>995.11900000000003</v>
      </c>
      <c r="BN24" s="177">
        <f t="shared" si="9"/>
        <v>1041.6989999999998</v>
      </c>
      <c r="BO24" s="1445">
        <f t="shared" si="9"/>
        <v>4055.24</v>
      </c>
      <c r="BP24" s="177">
        <f>BP18+BP21</f>
        <v>1000.12</v>
      </c>
      <c r="BQ24" s="177">
        <f>BQ18+BQ21</f>
        <v>1068.2080000000001</v>
      </c>
      <c r="BR24" s="177">
        <f>BR18+BR21</f>
        <v>1005.4090000000001</v>
      </c>
      <c r="BS24" s="177">
        <f t="shared" si="9"/>
        <v>1073.328</v>
      </c>
      <c r="BT24" s="1445">
        <f>BT18+BT21</f>
        <v>4147.0649999999996</v>
      </c>
      <c r="BU24" s="177">
        <f t="shared" ref="BU24:CE24" si="10">BU18+BU21</f>
        <v>1109.181</v>
      </c>
      <c r="BV24" s="177">
        <f t="shared" si="10"/>
        <v>1162.1579999999999</v>
      </c>
      <c r="BW24" s="177">
        <f t="shared" si="10"/>
        <v>1217.768</v>
      </c>
      <c r="BX24" s="177">
        <f t="shared" si="10"/>
        <v>1306.4039999999998</v>
      </c>
      <c r="BY24" s="1445">
        <f t="shared" si="10"/>
        <v>4795.5109999999995</v>
      </c>
      <c r="BZ24" s="177">
        <f t="shared" si="10"/>
        <v>1383.335</v>
      </c>
      <c r="CA24" s="177">
        <f t="shared" si="10"/>
        <v>1398.7090000000001</v>
      </c>
      <c r="CB24" s="177">
        <f t="shared" si="10"/>
        <v>1463.9670000000001</v>
      </c>
      <c r="CC24" s="177">
        <f t="shared" si="10"/>
        <v>1608.4189999999999</v>
      </c>
      <c r="CD24" s="1445">
        <f t="shared" si="10"/>
        <v>5854.43</v>
      </c>
      <c r="CE24" s="177">
        <f t="shared" si="10"/>
        <v>1681.646</v>
      </c>
      <c r="CF24" s="177">
        <f t="shared" ref="CF24:CN24" si="11">CF18+CF21</f>
        <v>1772.19</v>
      </c>
      <c r="CG24" s="177">
        <f t="shared" ref="CG24:CH24" si="12">CG18+CG21</f>
        <v>1841.0740000000001</v>
      </c>
      <c r="CH24" s="177">
        <f t="shared" si="12"/>
        <v>2006.595</v>
      </c>
      <c r="CI24" s="1445">
        <f t="shared" si="11"/>
        <v>7301.5050000000001</v>
      </c>
      <c r="CJ24" s="177">
        <f t="shared" si="11"/>
        <v>2078.9470000000001</v>
      </c>
      <c r="CK24" s="180">
        <f t="shared" si="11"/>
        <v>2175.0017125198278</v>
      </c>
      <c r="CL24" s="180">
        <f t="shared" si="11"/>
        <v>2261.4757834422894</v>
      </c>
      <c r="CM24" s="181">
        <f t="shared" si="11"/>
        <v>2379.804478255523</v>
      </c>
      <c r="CN24" s="1227">
        <f t="shared" si="11"/>
        <v>8895.2289742176381</v>
      </c>
      <c r="CO24" s="180">
        <f t="shared" ref="CO24:CX24" si="13">CO18+CO21</f>
        <v>2468.4531475484737</v>
      </c>
      <c r="CP24" s="180">
        <f t="shared" si="13"/>
        <v>2570.9578231587748</v>
      </c>
      <c r="CQ24" s="180">
        <f t="shared" si="13"/>
        <v>2678.1316066154886</v>
      </c>
      <c r="CR24" s="181">
        <f t="shared" si="13"/>
        <v>2816.7017567979938</v>
      </c>
      <c r="CS24" s="1227">
        <f t="shared" si="13"/>
        <v>10534.244334120731</v>
      </c>
      <c r="CT24" s="180">
        <f t="shared" si="13"/>
        <v>2904.455994825903</v>
      </c>
      <c r="CU24" s="180">
        <f t="shared" si="13"/>
        <v>3003.8963441027872</v>
      </c>
      <c r="CV24" s="180">
        <f t="shared" si="13"/>
        <v>3105.0692880368842</v>
      </c>
      <c r="CW24" s="181">
        <f t="shared" si="13"/>
        <v>3241.6785565389209</v>
      </c>
      <c r="CX24" s="1227">
        <f t="shared" si="13"/>
        <v>12255.100183504495</v>
      </c>
      <c r="DA24" s="271"/>
      <c r="DB24" s="182"/>
      <c r="DC24" s="182"/>
    </row>
    <row r="25" spans="1:107">
      <c r="A25" s="183" t="s">
        <v>630</v>
      </c>
      <c r="B25" s="184"/>
      <c r="C25" s="157" t="s">
        <v>131</v>
      </c>
      <c r="D25" s="158" t="s">
        <v>131</v>
      </c>
      <c r="E25" s="158" t="s">
        <v>131</v>
      </c>
      <c r="F25" s="159" t="s">
        <v>131</v>
      </c>
      <c r="G25" s="160" t="s">
        <v>131</v>
      </c>
      <c r="H25" s="158" t="s">
        <v>131</v>
      </c>
      <c r="I25" s="158" t="s">
        <v>131</v>
      </c>
      <c r="J25" s="158" t="s">
        <v>131</v>
      </c>
      <c r="K25" s="161">
        <f t="shared" ref="K25:AZ25" si="14">K24/F24-1</f>
        <v>0.1138353368110685</v>
      </c>
      <c r="L25" s="161">
        <f t="shared" si="14"/>
        <v>-5.2802263930000315E-2</v>
      </c>
      <c r="M25" s="162">
        <f t="shared" si="14"/>
        <v>0.10824723026846228</v>
      </c>
      <c r="N25" s="162">
        <f t="shared" si="14"/>
        <v>8.7818527282979009E-3</v>
      </c>
      <c r="O25" s="162">
        <f t="shared" si="14"/>
        <v>0.12020191028471716</v>
      </c>
      <c r="P25" s="161">
        <f t="shared" si="14"/>
        <v>0.21697312780413602</v>
      </c>
      <c r="Q25" s="163">
        <f t="shared" si="14"/>
        <v>0.11157481018004978</v>
      </c>
      <c r="R25" s="162">
        <f t="shared" si="14"/>
        <v>0.42569258492059503</v>
      </c>
      <c r="S25" s="162">
        <f t="shared" si="14"/>
        <v>0.28093120013993622</v>
      </c>
      <c r="T25" s="162">
        <f t="shared" si="14"/>
        <v>0.26507417226013885</v>
      </c>
      <c r="U25" s="161">
        <f t="shared" si="14"/>
        <v>0.19776566848677879</v>
      </c>
      <c r="V25" s="163">
        <f t="shared" si="14"/>
        <v>0.28718462033954095</v>
      </c>
      <c r="W25" s="162">
        <f t="shared" si="14"/>
        <v>0.11718220283924863</v>
      </c>
      <c r="X25" s="162">
        <f t="shared" si="14"/>
        <v>0.20957606349903068</v>
      </c>
      <c r="Y25" s="162">
        <f t="shared" si="14"/>
        <v>0.20639910035099196</v>
      </c>
      <c r="Z25" s="161">
        <f t="shared" si="14"/>
        <v>0.18828550274503986</v>
      </c>
      <c r="AA25" s="163">
        <f t="shared" si="14"/>
        <v>0.17985324445676487</v>
      </c>
      <c r="AB25" s="162">
        <f t="shared" si="14"/>
        <v>0.38613438447646575</v>
      </c>
      <c r="AC25" s="162">
        <f t="shared" si="14"/>
        <v>0.28108638809424447</v>
      </c>
      <c r="AD25" s="162">
        <f t="shared" si="14"/>
        <v>0.23643281133543703</v>
      </c>
      <c r="AE25" s="161">
        <f t="shared" si="14"/>
        <v>0.33662570953286886</v>
      </c>
      <c r="AF25" s="163">
        <f t="shared" si="14"/>
        <v>0.30970477353392445</v>
      </c>
      <c r="AG25" s="162">
        <f t="shared" si="14"/>
        <v>-9.2619431926014295E-3</v>
      </c>
      <c r="AH25" s="162">
        <f t="shared" si="14"/>
        <v>0.17329445311713165</v>
      </c>
      <c r="AI25" s="162">
        <f t="shared" si="14"/>
        <v>0.41431207042283935</v>
      </c>
      <c r="AJ25" s="161">
        <f t="shared" si="14"/>
        <v>0.33574376076519963</v>
      </c>
      <c r="AK25" s="163">
        <f t="shared" si="14"/>
        <v>0.22621869296780961</v>
      </c>
      <c r="AL25" s="164">
        <f t="shared" si="14"/>
        <v>0.37116631018760171</v>
      </c>
      <c r="AM25" s="164">
        <f t="shared" si="14"/>
        <v>0.18952971993503032</v>
      </c>
      <c r="AN25" s="162">
        <f t="shared" si="14"/>
        <v>4.1765392409878865E-2</v>
      </c>
      <c r="AO25" s="161">
        <f t="shared" si="14"/>
        <v>4.4885322938374994E-3</v>
      </c>
      <c r="AP25" s="163">
        <f t="shared" si="14"/>
        <v>0.13363644798521546</v>
      </c>
      <c r="AQ25" s="164">
        <f t="shared" si="14"/>
        <v>-0.11685730168623554</v>
      </c>
      <c r="AR25" s="162">
        <f t="shared" si="14"/>
        <v>-0.2054525609830351</v>
      </c>
      <c r="AS25" s="162">
        <f t="shared" si="14"/>
        <v>-0.21386137274769301</v>
      </c>
      <c r="AT25" s="162">
        <f t="shared" si="14"/>
        <v>-0.17264047564680907</v>
      </c>
      <c r="AU25" s="237">
        <f t="shared" si="14"/>
        <v>-0.17711051934850508</v>
      </c>
      <c r="AV25" s="164">
        <f t="shared" si="14"/>
        <v>9.195183051666489E-2</v>
      </c>
      <c r="AW25" s="162">
        <f t="shared" si="14"/>
        <v>0.33825902226990379</v>
      </c>
      <c r="AX25" s="162">
        <f t="shared" si="14"/>
        <v>0.41979793751173822</v>
      </c>
      <c r="AY25" s="162">
        <f>AY24/AT24-1</f>
        <v>0.33100307282746333</v>
      </c>
      <c r="AZ25" s="237">
        <f t="shared" si="14"/>
        <v>0.28994895536199539</v>
      </c>
      <c r="BA25" s="164">
        <f>BA24/AV24-1</f>
        <v>0.19681611738674754</v>
      </c>
      <c r="BB25" s="162">
        <f>BB24/AW24-1</f>
        <v>8.4985180825738249E-2</v>
      </c>
      <c r="BC25" s="164">
        <f>BC24/AX24-1</f>
        <v>2.3116793679612169E-2</v>
      </c>
      <c r="BD25" s="162">
        <f>BD24/AY24-1</f>
        <v>0.14307810140622612</v>
      </c>
      <c r="BE25" s="237">
        <f>BE24/AZ24-1</f>
        <v>0.10954157894736838</v>
      </c>
      <c r="BF25" s="164">
        <f t="shared" ref="BF25:BW25" si="15">BF24/BA24-1</f>
        <v>1.704183881382404E-2</v>
      </c>
      <c r="BG25" s="162">
        <f t="shared" si="15"/>
        <v>9.8975839027188872E-2</v>
      </c>
      <c r="BH25" s="162">
        <f t="shared" si="15"/>
        <v>6.6489540194944352E-2</v>
      </c>
      <c r="BI25" s="162">
        <f t="shared" si="15"/>
        <v>1.0996727019922936E-3</v>
      </c>
      <c r="BJ25" s="237">
        <f t="shared" si="15"/>
        <v>4.4451501781911817E-2</v>
      </c>
      <c r="BK25" s="164">
        <f t="shared" si="15"/>
        <v>-3.573123361588959E-2</v>
      </c>
      <c r="BL25" s="164">
        <f t="shared" si="15"/>
        <v>-0.10129405602210517</v>
      </c>
      <c r="BM25" s="164">
        <f t="shared" si="15"/>
        <v>-7.9088082326158049E-2</v>
      </c>
      <c r="BN25" s="164">
        <f t="shared" si="15"/>
        <v>-9.6866904566214829E-2</v>
      </c>
      <c r="BO25" s="1429">
        <f t="shared" si="15"/>
        <v>-7.9124104697052E-2</v>
      </c>
      <c r="BP25" s="164">
        <f t="shared" si="15"/>
        <v>-7.6924374400345608E-3</v>
      </c>
      <c r="BQ25" s="164">
        <f t="shared" si="15"/>
        <v>5.7057104603537301E-2</v>
      </c>
      <c r="BR25" s="164">
        <f t="shared" si="15"/>
        <v>1.034047184306619E-2</v>
      </c>
      <c r="BS25" s="164">
        <f t="shared" si="15"/>
        <v>3.0362897535660682E-2</v>
      </c>
      <c r="BT25" s="1429">
        <f t="shared" si="15"/>
        <v>2.2643542675649275E-2</v>
      </c>
      <c r="BU25" s="164">
        <f t="shared" ref="BU25:CC25" si="16">BU24/BP24-1</f>
        <v>0.10904791425029003</v>
      </c>
      <c r="BV25" s="164">
        <f t="shared" si="15"/>
        <v>8.7951035753336182E-2</v>
      </c>
      <c r="BW25" s="164">
        <f t="shared" si="15"/>
        <v>0.21121652979036387</v>
      </c>
      <c r="BX25" s="164">
        <f t="shared" si="16"/>
        <v>0.21715263181431932</v>
      </c>
      <c r="BY25" s="1429">
        <f t="shared" si="16"/>
        <v>0.15636263236771075</v>
      </c>
      <c r="BZ25" s="164">
        <f t="shared" si="16"/>
        <v>0.24716795545542158</v>
      </c>
      <c r="CA25" s="164">
        <f t="shared" si="16"/>
        <v>0.20354461269465962</v>
      </c>
      <c r="CB25" s="164">
        <f t="shared" si="16"/>
        <v>0.20217233496035369</v>
      </c>
      <c r="CC25" s="164">
        <f t="shared" si="16"/>
        <v>0.23118040054990652</v>
      </c>
      <c r="CD25" s="1429">
        <v>0.188656687582233</v>
      </c>
      <c r="CE25" s="164">
        <f t="shared" ref="CE25:CN25" si="17">CE24/BZ24-1</f>
        <v>0.21564624620934181</v>
      </c>
      <c r="CF25" s="164">
        <f t="shared" si="17"/>
        <v>0.26701837194155464</v>
      </c>
      <c r="CG25" s="164">
        <f t="shared" si="17"/>
        <v>0.2575925550234397</v>
      </c>
      <c r="CH25" s="164">
        <f t="shared" si="17"/>
        <v>0.24755738399011706</v>
      </c>
      <c r="CI25" s="1429">
        <f t="shared" si="17"/>
        <v>0.24717607008709641</v>
      </c>
      <c r="CJ25" s="164">
        <f t="shared" si="17"/>
        <v>0.2362572146575439</v>
      </c>
      <c r="CK25" s="165">
        <f t="shared" si="17"/>
        <v>0.22729600805772954</v>
      </c>
      <c r="CL25" s="165">
        <f t="shared" si="17"/>
        <v>0.22834594559604304</v>
      </c>
      <c r="CM25" s="166">
        <f t="shared" si="17"/>
        <v>0.18599143237949023</v>
      </c>
      <c r="CN25" s="1128">
        <f t="shared" si="17"/>
        <v>0.21827335244139912</v>
      </c>
      <c r="CO25" s="165">
        <f t="shared" ref="CO25:CX25" si="18">CO24/CJ24-1</f>
        <v>0.1873574206309605</v>
      </c>
      <c r="CP25" s="165">
        <f t="shared" si="18"/>
        <v>0.18204864316185554</v>
      </c>
      <c r="CQ25" s="165">
        <f t="shared" si="18"/>
        <v>0.18424067426403723</v>
      </c>
      <c r="CR25" s="166">
        <f t="shared" si="18"/>
        <v>0.18358536700575123</v>
      </c>
      <c r="CS25" s="1128">
        <f t="shared" si="18"/>
        <v>0.18425780434137162</v>
      </c>
      <c r="CT25" s="165">
        <f t="shared" si="18"/>
        <v>0.17662998696590315</v>
      </c>
      <c r="CU25" s="165">
        <f t="shared" si="18"/>
        <v>0.16839580838089674</v>
      </c>
      <c r="CV25" s="165">
        <f t="shared" si="18"/>
        <v>0.15941624390929077</v>
      </c>
      <c r="CW25" s="166">
        <f t="shared" si="18"/>
        <v>0.15087745754951265</v>
      </c>
      <c r="CX25" s="1128">
        <f t="shared" si="18"/>
        <v>0.16335826233020456</v>
      </c>
      <c r="DA25" s="171"/>
      <c r="DB25" s="170"/>
      <c r="DC25" s="170"/>
    </row>
    <row r="26" spans="1:107">
      <c r="A26" s="183" t="s">
        <v>105</v>
      </c>
      <c r="B26" s="184"/>
      <c r="C26" s="157" t="s">
        <v>131</v>
      </c>
      <c r="D26" s="162">
        <f>D24/C24-1</f>
        <v>4.5973936753919142E-2</v>
      </c>
      <c r="E26" s="162">
        <f>E24/D24-1</f>
        <v>-0.15104928028178433</v>
      </c>
      <c r="F26" s="161">
        <f>F24/E24-1</f>
        <v>-9.4407054683381508E-2</v>
      </c>
      <c r="G26" s="160" t="s">
        <v>131</v>
      </c>
      <c r="H26" s="282">
        <f>H24/F24-1</f>
        <v>1.2686172223482561E-2</v>
      </c>
      <c r="I26" s="162">
        <f>I24/H24-1</f>
        <v>0.18463508227073211</v>
      </c>
      <c r="J26" s="162">
        <f>J24/I24-1</f>
        <v>-0.10234466329929204</v>
      </c>
      <c r="K26" s="161">
        <f>K24/J24-1</f>
        <v>3.4312813510297246E-2</v>
      </c>
      <c r="L26" s="159" t="s">
        <v>131</v>
      </c>
      <c r="M26" s="162">
        <f>M24/K24-1</f>
        <v>7.6055305544808771E-3</v>
      </c>
      <c r="N26" s="162">
        <f>N24/M24-1</f>
        <v>7.8313882012159164E-2</v>
      </c>
      <c r="O26" s="162">
        <f>O24/N24-1</f>
        <v>-3.198540665821259E-3</v>
      </c>
      <c r="P26" s="161">
        <f>P24/O24-1</f>
        <v>0.12366430393391847</v>
      </c>
      <c r="Q26" s="160" t="s">
        <v>131</v>
      </c>
      <c r="R26" s="162">
        <f>R24/P24-1</f>
        <v>0.18041697110316668</v>
      </c>
      <c r="S26" s="162">
        <f>S24/R24-1</f>
        <v>-3.117550752337106E-2</v>
      </c>
      <c r="T26" s="162">
        <f>T24/S24-1</f>
        <v>-1.5538242071765684E-2</v>
      </c>
      <c r="U26" s="161">
        <f>U24/T24-1</f>
        <v>6.387953818678116E-2</v>
      </c>
      <c r="V26" s="160" t="s">
        <v>131</v>
      </c>
      <c r="W26" s="162">
        <f>W24/U24-1</f>
        <v>0.10100069382680421</v>
      </c>
      <c r="X26" s="162">
        <f>X24/W24-1</f>
        <v>4.8948786377996933E-2</v>
      </c>
      <c r="Y26" s="162">
        <f>Y24/X24-1</f>
        <v>-1.812394033413367E-2</v>
      </c>
      <c r="Z26" s="161">
        <f>Z24/Y24-1</f>
        <v>4.7905814524093815E-2</v>
      </c>
      <c r="AA26" s="160" t="s">
        <v>131</v>
      </c>
      <c r="AB26" s="162">
        <f>AB24/Z24-1</f>
        <v>0.28431670294746358</v>
      </c>
      <c r="AC26" s="162">
        <f>AC24/AB24-1</f>
        <v>-3.0545647603733572E-2</v>
      </c>
      <c r="AD26" s="185">
        <f>AD24/AC24-1</f>
        <v>-5.2348234968274898E-2</v>
      </c>
      <c r="AE26" s="186">
        <f>AE24/AD24-1</f>
        <v>0.13282164628830406</v>
      </c>
      <c r="AF26" s="160" t="s">
        <v>131</v>
      </c>
      <c r="AG26" s="185">
        <f>AG24/AE24-1</f>
        <v>-4.8034595228496957E-2</v>
      </c>
      <c r="AH26" s="162">
        <f>AH24/AG24-1</f>
        <v>0.14808894884101953</v>
      </c>
      <c r="AI26" s="162">
        <f>AI24/AH24-1</f>
        <v>0.14231796313459233</v>
      </c>
      <c r="AJ26" s="161">
        <f>AJ24/AI24-1</f>
        <v>6.9890781344298381E-2</v>
      </c>
      <c r="AK26" s="160" t="s">
        <v>131</v>
      </c>
      <c r="AL26" s="162">
        <f>AL24/AJ24-1</f>
        <v>-2.2789452717318026E-2</v>
      </c>
      <c r="AM26" s="162">
        <f>AM24/AL24-1</f>
        <v>-3.9968779655115139E-3</v>
      </c>
      <c r="AN26" s="162">
        <f>AN24/AM24-1</f>
        <v>4.1831757407373438E-4</v>
      </c>
      <c r="AO26" s="161">
        <f>AO24/AN24-1</f>
        <v>3.1607527469493135E-2</v>
      </c>
      <c r="AP26" s="160" t="s">
        <v>131</v>
      </c>
      <c r="AQ26" s="162">
        <f>AQ24/AO24-1</f>
        <v>-0.14084000782256334</v>
      </c>
      <c r="AR26" s="162">
        <f>AR24/AQ24-1</f>
        <v>-0.10391408842940519</v>
      </c>
      <c r="AS26" s="162">
        <f>AS24/AR24-1</f>
        <v>-1.0169255810851152E-2</v>
      </c>
      <c r="AT26" s="162">
        <f>AT24/AS24-1</f>
        <v>8.5699498356288872E-2</v>
      </c>
      <c r="AU26" s="160" t="s">
        <v>131</v>
      </c>
      <c r="AV26" s="162">
        <f>AV24/AT24-1</f>
        <v>0.1339221928922214</v>
      </c>
      <c r="AW26" s="162">
        <f>AW24/AV24-1</f>
        <v>9.821241411435877E-2</v>
      </c>
      <c r="AX26" s="162">
        <f>AX24/AW24-1</f>
        <v>5.0140238697397255E-2</v>
      </c>
      <c r="AY26" s="162">
        <f>AY24/AX24-1</f>
        <v>1.7799315170162089E-2</v>
      </c>
      <c r="AZ26" s="160" t="s">
        <v>131</v>
      </c>
      <c r="BA26" s="162">
        <f>BA24/AY24-1</f>
        <v>1.9604224829504968E-2</v>
      </c>
      <c r="BB26" s="185">
        <f>BB24/BA24-1</f>
        <v>-4.4049562812712439E-3</v>
      </c>
      <c r="BC26" s="162">
        <f>BC24/BB24-1</f>
        <v>-9.7412085275401239E-3</v>
      </c>
      <c r="BD26" s="162">
        <f>BD24/BC24-1</f>
        <v>0.13713714405277466</v>
      </c>
      <c r="BE26" s="160" t="s">
        <v>131</v>
      </c>
      <c r="BF26" s="162">
        <f>BF24/BD24-1</f>
        <v>-9.2817757240524434E-2</v>
      </c>
      <c r="BG26" s="185">
        <f>BG24/BF24-1</f>
        <v>7.5801266718968252E-2</v>
      </c>
      <c r="BH26" s="185">
        <f>BH24/BG24-1</f>
        <v>-3.9013774746564867E-2</v>
      </c>
      <c r="BI26" s="185">
        <f>BI24/BH24-1</f>
        <v>6.7415647152455183E-2</v>
      </c>
      <c r="BJ26" s="160" t="s">
        <v>131</v>
      </c>
      <c r="BK26" s="162">
        <f>BK24/BI24-1</f>
        <v>-0.12619339915452021</v>
      </c>
      <c r="BL26" s="164">
        <f>BL24/BK24-1</f>
        <v>2.6550964258393872E-3</v>
      </c>
      <c r="BM26" s="164">
        <f>BM24/BL24-1</f>
        <v>-1.5268928077708188E-2</v>
      </c>
      <c r="BN26" s="164">
        <f>BN24/BM24-1</f>
        <v>4.6808472152576552E-2</v>
      </c>
      <c r="BO26" s="1471" t="s">
        <v>131</v>
      </c>
      <c r="BP26" s="162">
        <f>BP24/BN24-1</f>
        <v>-3.991460105078326E-2</v>
      </c>
      <c r="BQ26" s="164">
        <f>BQ24/BP24-1</f>
        <v>6.8079830420349596E-2</v>
      </c>
      <c r="BR26" s="164">
        <f>BR24/BQ24-1</f>
        <v>-5.878911223282357E-2</v>
      </c>
      <c r="BS26" s="164">
        <f>BS24/BR24-1</f>
        <v>6.7553602563732662E-2</v>
      </c>
      <c r="BT26" s="1471" t="s">
        <v>131</v>
      </c>
      <c r="BU26" s="162">
        <f>BU24/BS24-1</f>
        <v>3.3403582129600595E-2</v>
      </c>
      <c r="BV26" s="164">
        <f>BV24/BU24-1</f>
        <v>4.7762267835456784E-2</v>
      </c>
      <c r="BW26" s="164">
        <f>BW24/BV24-1</f>
        <v>4.7850636488326215E-2</v>
      </c>
      <c r="BX26" s="164">
        <f>BX24/BW24-1</f>
        <v>7.2785620906445025E-2</v>
      </c>
      <c r="BY26" s="1471" t="s">
        <v>131</v>
      </c>
      <c r="BZ26" s="162">
        <f>BZ24/BX24-1</f>
        <v>5.8887602916096515E-2</v>
      </c>
      <c r="CA26" s="162">
        <f>CA24/BZ24-1</f>
        <v>1.1113721549733002E-2</v>
      </c>
      <c r="CB26" s="162">
        <f>CB24/CA24-1</f>
        <v>4.6655880529831384E-2</v>
      </c>
      <c r="CC26" s="162">
        <f>CC24/CB24-1</f>
        <v>9.8671623062541514E-2</v>
      </c>
      <c r="CD26" s="1471" t="s">
        <v>131</v>
      </c>
      <c r="CE26" s="162">
        <f>CE24/CC24-1</f>
        <v>4.5527315954362768E-2</v>
      </c>
      <c r="CF26" s="162">
        <f>CF24/CE24-1</f>
        <v>5.3842485279303798E-2</v>
      </c>
      <c r="CG26" s="162">
        <f>CG24/CF24-1</f>
        <v>3.8869421450296038E-2</v>
      </c>
      <c r="CH26" s="162">
        <f>CH24/CG24-1</f>
        <v>8.990458830008996E-2</v>
      </c>
      <c r="CI26" s="1471" t="s">
        <v>131</v>
      </c>
      <c r="CJ26" s="162">
        <f>CJ24/CH24-1</f>
        <v>3.6057101707120731E-2</v>
      </c>
      <c r="CK26" s="168">
        <f>CK24/CJ24-1</f>
        <v>4.6203540792443265E-2</v>
      </c>
      <c r="CL26" s="168">
        <f>CL24/CK24-1</f>
        <v>3.9758162223365812E-2</v>
      </c>
      <c r="CM26" s="169">
        <f>CM24/CL24-1</f>
        <v>5.2323662132309101E-2</v>
      </c>
      <c r="CN26" s="1228" t="s">
        <v>131</v>
      </c>
      <c r="CO26" s="168">
        <f>CO24/CM24-1</f>
        <v>3.7250400233691972E-2</v>
      </c>
      <c r="CP26" s="168">
        <f>CP24/CO24-1</f>
        <v>4.1525874498409276E-2</v>
      </c>
      <c r="CQ26" s="168">
        <f>CQ24/CP24-1</f>
        <v>4.1686325030815263E-2</v>
      </c>
      <c r="CR26" s="169">
        <f>CR24/CQ24-1</f>
        <v>5.1741352008322083E-2</v>
      </c>
      <c r="CS26" s="1228" t="s">
        <v>131</v>
      </c>
      <c r="CT26" s="168">
        <f>CT24/CR24-1</f>
        <v>3.115496264953066E-2</v>
      </c>
      <c r="CU26" s="168">
        <f>CU24/CT24-1</f>
        <v>3.4237168493525427E-2</v>
      </c>
      <c r="CV26" s="168">
        <f>CV24/CU24-1</f>
        <v>3.3680570946703403E-2</v>
      </c>
      <c r="CW26" s="169">
        <f>CW24/CV24-1</f>
        <v>4.3995562040551217E-2</v>
      </c>
      <c r="CX26" s="1228" t="s">
        <v>131</v>
      </c>
      <c r="DA26" s="171"/>
      <c r="DB26" s="170"/>
      <c r="DC26" s="170"/>
    </row>
    <row r="27" spans="1:107" ht="12" hidden="1" customHeight="1" outlineLevel="1">
      <c r="A27" s="187" t="s">
        <v>299</v>
      </c>
      <c r="B27" s="115"/>
      <c r="C27" s="188"/>
      <c r="D27" s="189"/>
      <c r="E27" s="189"/>
      <c r="F27" s="190"/>
      <c r="G27" s="191"/>
      <c r="H27" s="192"/>
      <c r="I27" s="189"/>
      <c r="J27" s="189"/>
      <c r="K27" s="190"/>
      <c r="L27" s="193"/>
      <c r="M27" s="189"/>
      <c r="N27" s="189"/>
      <c r="O27" s="189"/>
      <c r="P27" s="190"/>
      <c r="Q27" s="191"/>
      <c r="R27" s="189"/>
      <c r="S27" s="189"/>
      <c r="T27" s="189"/>
      <c r="U27" s="190"/>
      <c r="V27" s="191"/>
      <c r="W27" s="189"/>
      <c r="X27" s="189"/>
      <c r="Y27" s="189"/>
      <c r="Z27" s="190"/>
      <c r="AA27" s="191"/>
      <c r="AB27" s="189"/>
      <c r="AC27" s="189"/>
      <c r="AD27" s="194"/>
      <c r="AE27" s="195"/>
      <c r="AF27" s="191"/>
      <c r="AG27" s="194"/>
      <c r="AH27" s="189"/>
      <c r="AI27" s="196">
        <f>AI24*AI28</f>
        <v>51.101159999999993</v>
      </c>
      <c r="AJ27" s="197">
        <f>AJ24*AJ28</f>
        <v>63.784770000000009</v>
      </c>
      <c r="AK27" s="191"/>
      <c r="AL27" s="196">
        <f>AL24*AL28</f>
        <v>44.52225</v>
      </c>
      <c r="AM27" s="196"/>
      <c r="AN27" s="196"/>
      <c r="AO27" s="197"/>
      <c r="AP27" s="191"/>
      <c r="AQ27" s="196"/>
      <c r="AR27" s="198"/>
      <c r="AS27" s="189"/>
      <c r="AT27" s="190"/>
      <c r="AU27" s="191"/>
      <c r="AV27" s="196"/>
      <c r="AW27" s="198"/>
      <c r="AX27" s="198"/>
      <c r="AY27" s="190"/>
      <c r="AZ27" s="191"/>
      <c r="BA27" s="196"/>
      <c r="BB27" s="198"/>
      <c r="BC27" s="189"/>
      <c r="BD27" s="190"/>
      <c r="BE27" s="191"/>
      <c r="BF27" s="196"/>
      <c r="BG27" s="198"/>
      <c r="BH27" s="198"/>
      <c r="BI27" s="198"/>
      <c r="BJ27" s="191"/>
      <c r="BK27" s="196"/>
      <c r="BL27" s="198"/>
      <c r="BM27" s="198"/>
      <c r="BN27" s="199"/>
      <c r="BO27" s="1472"/>
      <c r="BP27" s="196"/>
      <c r="BQ27" s="198"/>
      <c r="BR27" s="198"/>
      <c r="BS27" s="199"/>
      <c r="BT27" s="1472"/>
      <c r="BU27" s="196"/>
      <c r="BV27" s="198"/>
      <c r="BW27" s="198"/>
      <c r="BX27" s="199"/>
      <c r="BY27" s="1472"/>
      <c r="BZ27" s="198"/>
      <c r="CA27" s="198"/>
      <c r="CB27" s="198"/>
      <c r="CC27" s="199"/>
      <c r="CD27" s="1021"/>
      <c r="CE27" s="189"/>
      <c r="CF27" s="189"/>
      <c r="CG27" s="189"/>
      <c r="CH27" s="190"/>
      <c r="CI27" s="1472"/>
      <c r="CJ27" s="189"/>
      <c r="CK27" s="198"/>
      <c r="CL27" s="198"/>
      <c r="CM27" s="199"/>
      <c r="CN27" s="1021"/>
      <c r="CO27" s="198"/>
      <c r="CP27" s="198"/>
      <c r="CQ27" s="198"/>
      <c r="CR27" s="199"/>
      <c r="CS27" s="1021"/>
      <c r="CT27" s="198"/>
      <c r="CU27" s="198"/>
      <c r="CV27" s="198"/>
      <c r="CW27" s="199"/>
      <c r="CX27" s="1021"/>
      <c r="DA27" s="201"/>
      <c r="DB27" s="200"/>
      <c r="DC27" s="200"/>
    </row>
    <row r="28" spans="1:107" ht="12" hidden="1" customHeight="1" outlineLevel="1">
      <c r="A28" s="187" t="s">
        <v>298</v>
      </c>
      <c r="B28" s="115"/>
      <c r="C28" s="188"/>
      <c r="D28" s="189"/>
      <c r="E28" s="189"/>
      <c r="F28" s="190"/>
      <c r="G28" s="191"/>
      <c r="H28" s="192"/>
      <c r="I28" s="189"/>
      <c r="J28" s="189"/>
      <c r="K28" s="190"/>
      <c r="L28" s="193"/>
      <c r="M28" s="189"/>
      <c r="N28" s="189"/>
      <c r="O28" s="189"/>
      <c r="P28" s="190"/>
      <c r="Q28" s="191"/>
      <c r="R28" s="189"/>
      <c r="S28" s="189"/>
      <c r="T28" s="189"/>
      <c r="U28" s="190"/>
      <c r="V28" s="191"/>
      <c r="W28" s="189"/>
      <c r="X28" s="189"/>
      <c r="Y28" s="189"/>
      <c r="Z28" s="190"/>
      <c r="AA28" s="191"/>
      <c r="AB28" s="189"/>
      <c r="AC28" s="189"/>
      <c r="AD28" s="194"/>
      <c r="AE28" s="195"/>
      <c r="AF28" s="191"/>
      <c r="AG28" s="194"/>
      <c r="AH28" s="189"/>
      <c r="AI28" s="189">
        <v>0.06</v>
      </c>
      <c r="AJ28" s="190">
        <v>7.0000000000000007E-2</v>
      </c>
      <c r="AK28" s="191"/>
      <c r="AL28" s="189">
        <v>0.05</v>
      </c>
      <c r="AM28" s="189"/>
      <c r="AN28" s="189"/>
      <c r="AO28" s="190"/>
      <c r="AP28" s="191"/>
      <c r="AQ28" s="189"/>
      <c r="AR28" s="198"/>
      <c r="AS28" s="189"/>
      <c r="AT28" s="190"/>
      <c r="AU28" s="191"/>
      <c r="AV28" s="189"/>
      <c r="AW28" s="198"/>
      <c r="AX28" s="198"/>
      <c r="AY28" s="190"/>
      <c r="AZ28" s="191"/>
      <c r="BA28" s="189"/>
      <c r="BB28" s="198"/>
      <c r="BC28" s="189"/>
      <c r="BD28" s="190"/>
      <c r="BE28" s="191"/>
      <c r="BF28" s="189"/>
      <c r="BG28" s="198"/>
      <c r="BH28" s="198"/>
      <c r="BI28" s="198"/>
      <c r="BJ28" s="191"/>
      <c r="BK28" s="189"/>
      <c r="BL28" s="198"/>
      <c r="BM28" s="198"/>
      <c r="BN28" s="199"/>
      <c r="BO28" s="1472"/>
      <c r="BP28" s="189"/>
      <c r="BQ28" s="198"/>
      <c r="BR28" s="198"/>
      <c r="BS28" s="199"/>
      <c r="BT28" s="1472"/>
      <c r="BU28" s="189"/>
      <c r="BV28" s="198"/>
      <c r="BW28" s="198"/>
      <c r="BX28" s="199"/>
      <c r="BY28" s="1472"/>
      <c r="BZ28" s="198"/>
      <c r="CA28" s="198"/>
      <c r="CB28" s="198"/>
      <c r="CC28" s="199"/>
      <c r="CD28" s="1021"/>
      <c r="CE28" s="189"/>
      <c r="CF28" s="189"/>
      <c r="CG28" s="189"/>
      <c r="CH28" s="190"/>
      <c r="CI28" s="1472"/>
      <c r="CJ28" s="189"/>
      <c r="CK28" s="198"/>
      <c r="CL28" s="198"/>
      <c r="CM28" s="199"/>
      <c r="CN28" s="1021"/>
      <c r="CO28" s="198"/>
      <c r="CP28" s="198"/>
      <c r="CQ28" s="198"/>
      <c r="CR28" s="199"/>
      <c r="CS28" s="1021"/>
      <c r="CT28" s="198"/>
      <c r="CU28" s="198"/>
      <c r="CV28" s="198"/>
      <c r="CW28" s="199"/>
      <c r="CX28" s="1021"/>
      <c r="DA28" s="201"/>
      <c r="DB28" s="200"/>
      <c r="DC28" s="200"/>
    </row>
    <row r="29" spans="1:107" ht="12" hidden="1" customHeight="1" outlineLevel="1">
      <c r="A29" s="187" t="s">
        <v>14</v>
      </c>
      <c r="B29" s="115"/>
      <c r="C29" s="188"/>
      <c r="D29" s="189"/>
      <c r="E29" s="189"/>
      <c r="F29" s="190"/>
      <c r="G29" s="191"/>
      <c r="H29" s="192"/>
      <c r="I29" s="189"/>
      <c r="J29" s="189"/>
      <c r="K29" s="190"/>
      <c r="L29" s="193"/>
      <c r="M29" s="189"/>
      <c r="N29" s="189"/>
      <c r="O29" s="189"/>
      <c r="P29" s="190"/>
      <c r="Q29" s="191"/>
      <c r="R29" s="189"/>
      <c r="S29" s="189"/>
      <c r="T29" s="189"/>
      <c r="U29" s="190"/>
      <c r="V29" s="191"/>
      <c r="W29" s="189"/>
      <c r="X29" s="189"/>
      <c r="Y29" s="189"/>
      <c r="Z29" s="190"/>
      <c r="AA29" s="191"/>
      <c r="AB29" s="189"/>
      <c r="AC29" s="189"/>
      <c r="AD29" s="194"/>
      <c r="AE29" s="195"/>
      <c r="AF29" s="191"/>
      <c r="AG29" s="194"/>
      <c r="AH29" s="189"/>
      <c r="AI29" s="189"/>
      <c r="AJ29" s="190">
        <f>AJ27/AI27-1</f>
        <v>0.24820591156834837</v>
      </c>
      <c r="AK29" s="191" t="s">
        <v>131</v>
      </c>
      <c r="AL29" s="189">
        <f>AL27/AJ27-1</f>
        <v>-0.30199246622665576</v>
      </c>
      <c r="AM29" s="189"/>
      <c r="AN29" s="189"/>
      <c r="AO29" s="190"/>
      <c r="AP29" s="191"/>
      <c r="AQ29" s="189"/>
      <c r="AR29" s="198"/>
      <c r="AS29" s="189"/>
      <c r="AT29" s="190"/>
      <c r="AU29" s="191"/>
      <c r="AV29" s="189"/>
      <c r="AW29" s="198"/>
      <c r="AX29" s="198"/>
      <c r="AY29" s="190"/>
      <c r="AZ29" s="191"/>
      <c r="BA29" s="189"/>
      <c r="BB29" s="198"/>
      <c r="BC29" s="189"/>
      <c r="BD29" s="190"/>
      <c r="BE29" s="191"/>
      <c r="BF29" s="189"/>
      <c r="BG29" s="198"/>
      <c r="BH29" s="198"/>
      <c r="BI29" s="198"/>
      <c r="BJ29" s="191"/>
      <c r="BK29" s="189"/>
      <c r="BL29" s="198"/>
      <c r="BM29" s="198"/>
      <c r="BN29" s="199"/>
      <c r="BO29" s="1472"/>
      <c r="BP29" s="189"/>
      <c r="BQ29" s="198"/>
      <c r="BR29" s="198"/>
      <c r="BS29" s="199"/>
      <c r="BT29" s="1472"/>
      <c r="BU29" s="189"/>
      <c r="BV29" s="198"/>
      <c r="BW29" s="198"/>
      <c r="BX29" s="199"/>
      <c r="BY29" s="1472"/>
      <c r="BZ29" s="198"/>
      <c r="CA29" s="198"/>
      <c r="CB29" s="198"/>
      <c r="CC29" s="199"/>
      <c r="CD29" s="1021"/>
      <c r="CE29" s="189"/>
      <c r="CF29" s="189"/>
      <c r="CG29" s="189"/>
      <c r="CH29" s="190"/>
      <c r="CI29" s="1472"/>
      <c r="CJ29" s="189"/>
      <c r="CK29" s="198"/>
      <c r="CL29" s="198"/>
      <c r="CM29" s="199"/>
      <c r="CN29" s="1021"/>
      <c r="CO29" s="198"/>
      <c r="CP29" s="198"/>
      <c r="CQ29" s="198"/>
      <c r="CR29" s="199"/>
      <c r="CS29" s="1021"/>
      <c r="CT29" s="198"/>
      <c r="CU29" s="198"/>
      <c r="CV29" s="198"/>
      <c r="CW29" s="199"/>
      <c r="CX29" s="1021"/>
      <c r="DA29" s="201"/>
      <c r="DB29" s="200"/>
      <c r="DC29" s="200"/>
    </row>
    <row r="30" spans="1:107" ht="11.25" customHeight="1" collapsed="1">
      <c r="A30" s="114"/>
      <c r="B30" s="115"/>
      <c r="C30" s="116"/>
      <c r="D30" s="117"/>
      <c r="E30" s="117"/>
      <c r="F30" s="118"/>
      <c r="G30" s="119"/>
      <c r="H30" s="117"/>
      <c r="I30" s="117"/>
      <c r="J30" s="117"/>
      <c r="K30" s="118"/>
      <c r="L30" s="118"/>
      <c r="M30" s="117"/>
      <c r="N30" s="117"/>
      <c r="O30" s="117"/>
      <c r="P30" s="118"/>
      <c r="Q30" s="119"/>
      <c r="R30" s="117"/>
      <c r="S30" s="117"/>
      <c r="T30" s="117"/>
      <c r="U30" s="118"/>
      <c r="V30" s="119"/>
      <c r="W30" s="117"/>
      <c r="X30" s="117"/>
      <c r="Y30" s="117"/>
      <c r="Z30" s="118"/>
      <c r="AA30" s="120"/>
      <c r="AB30" s="121"/>
      <c r="AC30" s="121"/>
      <c r="AD30" s="202"/>
      <c r="AE30" s="203"/>
      <c r="AF30" s="120"/>
      <c r="AG30" s="202"/>
      <c r="AH30" s="202"/>
      <c r="AI30" s="202"/>
      <c r="AJ30" s="203"/>
      <c r="AK30" s="204"/>
      <c r="AL30" s="189"/>
      <c r="AM30" s="189"/>
      <c r="AN30" s="202"/>
      <c r="AO30" s="203"/>
      <c r="AP30" s="204"/>
      <c r="AQ30" s="189"/>
      <c r="AR30" s="1232"/>
      <c r="AS30" s="1070"/>
      <c r="AT30" s="1142"/>
      <c r="AU30" s="1139"/>
      <c r="AV30" s="189"/>
      <c r="AW30" s="1232"/>
      <c r="AX30" s="1232"/>
      <c r="AY30" s="1142"/>
      <c r="AZ30" s="1139"/>
      <c r="BA30" s="189"/>
      <c r="BB30" s="1232"/>
      <c r="BC30" s="1070"/>
      <c r="BD30" s="1142"/>
      <c r="BE30" s="1139"/>
      <c r="BF30" s="189"/>
      <c r="BG30" s="1232"/>
      <c r="BH30" s="1232"/>
      <c r="BI30" s="1232"/>
      <c r="BJ30" s="1139"/>
      <c r="BK30" s="189"/>
      <c r="BL30" s="1232"/>
      <c r="BM30" s="1232"/>
      <c r="BN30" s="1042"/>
      <c r="BO30" s="1473"/>
      <c r="BP30" s="189"/>
      <c r="BQ30" s="1232"/>
      <c r="BR30" s="1232"/>
      <c r="BS30" s="1042"/>
      <c r="BT30" s="1473"/>
      <c r="BU30" s="189"/>
      <c r="BV30" s="1232"/>
      <c r="BW30" s="1232"/>
      <c r="BX30" s="1042"/>
      <c r="BY30" s="1442"/>
      <c r="BZ30" s="1041"/>
      <c r="CA30" s="1041"/>
      <c r="CB30" s="1041"/>
      <c r="CC30" s="1042"/>
      <c r="CD30" s="1129"/>
      <c r="CE30" s="1070"/>
      <c r="CF30" s="1070"/>
      <c r="CG30" s="1070"/>
      <c r="CH30" s="1142"/>
      <c r="CI30" s="1442"/>
      <c r="CJ30" s="1070"/>
      <c r="CK30" s="1041"/>
      <c r="CL30" s="1041"/>
      <c r="CM30" s="1042"/>
      <c r="CN30" s="1129"/>
      <c r="CO30" s="1041"/>
      <c r="CP30" s="1041"/>
      <c r="CQ30" s="1041"/>
      <c r="CR30" s="1042"/>
      <c r="CS30" s="1129"/>
      <c r="CT30" s="1041"/>
      <c r="CU30" s="1041"/>
      <c r="CV30" s="1041"/>
      <c r="CW30" s="1042"/>
      <c r="CX30" s="1129"/>
      <c r="DA30" s="126"/>
      <c r="DB30" s="117"/>
      <c r="DC30" s="117"/>
    </row>
    <row r="31" spans="1:107">
      <c r="A31" s="127" t="s">
        <v>446</v>
      </c>
      <c r="B31" s="115"/>
      <c r="C31" s="205"/>
      <c r="D31" s="206"/>
      <c r="E31" s="206"/>
      <c r="F31" s="207"/>
      <c r="G31" s="208"/>
      <c r="H31" s="206"/>
      <c r="I31" s="206"/>
      <c r="J31" s="206"/>
      <c r="K31" s="207"/>
      <c r="L31" s="207"/>
      <c r="M31" s="209"/>
      <c r="N31" s="209"/>
      <c r="O31" s="210"/>
      <c r="P31" s="211"/>
      <c r="Q31" s="208"/>
      <c r="R31" s="206"/>
      <c r="S31" s="206"/>
      <c r="T31" s="206"/>
      <c r="U31" s="207"/>
      <c r="V31" s="208"/>
      <c r="W31" s="206"/>
      <c r="X31" s="206"/>
      <c r="Y31" s="206"/>
      <c r="Z31" s="207"/>
      <c r="AA31" s="208"/>
      <c r="AB31" s="206"/>
      <c r="AC31" s="206"/>
      <c r="AD31" s="206"/>
      <c r="AE31" s="207"/>
      <c r="AF31" s="208"/>
      <c r="AG31" s="206"/>
      <c r="AH31" s="206"/>
      <c r="AI31" s="206"/>
      <c r="AJ31" s="207"/>
      <c r="AK31" s="208"/>
      <c r="AL31" s="206"/>
      <c r="AM31" s="206"/>
      <c r="AN31" s="206"/>
      <c r="AO31" s="207"/>
      <c r="AP31" s="208"/>
      <c r="AQ31" s="206"/>
      <c r="AR31" s="1233"/>
      <c r="AS31" s="206"/>
      <c r="AT31" s="207"/>
      <c r="AU31" s="208"/>
      <c r="AV31" s="206"/>
      <c r="AW31" s="1233"/>
      <c r="AX31" s="1233"/>
      <c r="AY31" s="207"/>
      <c r="AZ31" s="208"/>
      <c r="BA31" s="206"/>
      <c r="BB31" s="1233"/>
      <c r="BC31" s="206"/>
      <c r="BD31" s="207"/>
      <c r="BE31" s="208"/>
      <c r="BF31" s="206"/>
      <c r="BG31" s="1233"/>
      <c r="BH31" s="1233"/>
      <c r="BI31" s="1233"/>
      <c r="BJ31" s="208"/>
      <c r="BK31" s="206"/>
      <c r="BL31" s="1233"/>
      <c r="BM31" s="1233"/>
      <c r="BN31" s="213"/>
      <c r="BO31" s="1442"/>
      <c r="BP31" s="206"/>
      <c r="BQ31" s="1233"/>
      <c r="BR31" s="1233"/>
      <c r="BS31" s="213"/>
      <c r="BT31" s="1442"/>
      <c r="BU31" s="206"/>
      <c r="BV31" s="1233"/>
      <c r="BW31" s="1233"/>
      <c r="BX31" s="213"/>
      <c r="BY31" s="1442"/>
      <c r="BZ31" s="212"/>
      <c r="CA31" s="212"/>
      <c r="CB31" s="212"/>
      <c r="CC31" s="213"/>
      <c r="CD31" s="1129"/>
      <c r="CE31" s="206"/>
      <c r="CF31" s="206"/>
      <c r="CG31" s="206"/>
      <c r="CH31" s="207"/>
      <c r="CI31" s="1442"/>
      <c r="CJ31" s="206"/>
      <c r="CK31" s="212"/>
      <c r="CL31" s="212"/>
      <c r="CM31" s="213"/>
      <c r="CN31" s="1129"/>
      <c r="CO31" s="212"/>
      <c r="CP31" s="212"/>
      <c r="CQ31" s="212"/>
      <c r="CR31" s="213"/>
      <c r="CS31" s="1129"/>
      <c r="CT31" s="212"/>
      <c r="CU31" s="212"/>
      <c r="CV31" s="212"/>
      <c r="CW31" s="213"/>
      <c r="CX31" s="1129"/>
      <c r="DA31" s="201"/>
      <c r="DB31" s="200"/>
      <c r="DC31" s="200"/>
    </row>
    <row r="32" spans="1:107" ht="10.5" customHeight="1">
      <c r="A32" s="144" t="s">
        <v>443</v>
      </c>
      <c r="B32" s="214"/>
      <c r="C32" s="146">
        <f>C34+C36</f>
        <v>20.015999999999998</v>
      </c>
      <c r="D32" s="147">
        <f>D34+D36</f>
        <v>22.359000000000002</v>
      </c>
      <c r="E32" s="147">
        <f>E34+E36</f>
        <v>20.041</v>
      </c>
      <c r="F32" s="148">
        <f>F34+F36</f>
        <v>19.034999999999997</v>
      </c>
      <c r="G32" s="149">
        <f>SUM(C32:F32)</f>
        <v>81.450999999999993</v>
      </c>
      <c r="H32" s="147">
        <f>H34+H36</f>
        <v>20.997</v>
      </c>
      <c r="I32" s="147">
        <f>I34+I36</f>
        <v>25.133000000000003</v>
      </c>
      <c r="J32" s="147">
        <f>J34+J36</f>
        <v>31.635999999999999</v>
      </c>
      <c r="K32" s="148">
        <f>K34+K36</f>
        <v>26.521999999999998</v>
      </c>
      <c r="L32" s="148">
        <f>SUM(H32:K32)</f>
        <v>104.28800000000001</v>
      </c>
      <c r="M32" s="147">
        <f>M34+M36</f>
        <v>22.361999999999998</v>
      </c>
      <c r="N32" s="147">
        <f>N34+N36</f>
        <v>23.356000000000002</v>
      </c>
      <c r="O32" s="147">
        <f>O34+O36</f>
        <v>22.076999999999998</v>
      </c>
      <c r="P32" s="148">
        <f>P34+P36</f>
        <v>25.226999999999997</v>
      </c>
      <c r="Q32" s="149">
        <f>SUM(M32:P32)</f>
        <v>93.021999999999991</v>
      </c>
      <c r="R32" s="147">
        <f>R34+R36</f>
        <v>24.181999999999999</v>
      </c>
      <c r="S32" s="147">
        <f>S34+S36</f>
        <v>27.254999999999999</v>
      </c>
      <c r="T32" s="147">
        <f>T34+T36</f>
        <v>23.568999999999999</v>
      </c>
      <c r="U32" s="148">
        <f>U34+U36</f>
        <v>29.372</v>
      </c>
      <c r="V32" s="149">
        <f>SUM(R32:U32)</f>
        <v>104.378</v>
      </c>
      <c r="W32" s="147">
        <f>W34+W36</f>
        <v>26.969000000000001</v>
      </c>
      <c r="X32" s="147">
        <f>X34+X36</f>
        <v>27.434000000000001</v>
      </c>
      <c r="Y32" s="147">
        <f>Y34+Y36</f>
        <v>27.48</v>
      </c>
      <c r="Z32" s="148">
        <f>Z34+Z36</f>
        <v>30.694999999999983</v>
      </c>
      <c r="AA32" s="149">
        <f>SUM(W32:Z32)</f>
        <v>112.57799999999999</v>
      </c>
      <c r="AB32" s="147">
        <f>AB34+AB36</f>
        <v>40.650999999999996</v>
      </c>
      <c r="AC32" s="147">
        <f>AC34+AC36</f>
        <v>28.945999999999998</v>
      </c>
      <c r="AD32" s="147">
        <f>AD34+AD36</f>
        <v>34.127000000000002</v>
      </c>
      <c r="AE32" s="148">
        <f>AE34+AE36</f>
        <v>43.018999999999998</v>
      </c>
      <c r="AF32" s="149">
        <f>SUM(AB32:AE32)</f>
        <v>146.74299999999999</v>
      </c>
      <c r="AG32" s="147">
        <f>AG34+AG36</f>
        <v>43.162999999999997</v>
      </c>
      <c r="AH32" s="147">
        <f>AH34+AH36</f>
        <v>51.901000000000003</v>
      </c>
      <c r="AI32" s="147">
        <f>AI34+AI36</f>
        <v>62.402999999999999</v>
      </c>
      <c r="AJ32" s="148">
        <f>AJ34+AJ36</f>
        <v>68.695999999999998</v>
      </c>
      <c r="AK32" s="149">
        <f>SUM(AG32:AJ32)</f>
        <v>226.16299999999998</v>
      </c>
      <c r="AL32" s="147">
        <f>AL34+AL36</f>
        <v>59.695</v>
      </c>
      <c r="AM32" s="147">
        <f>AM34+AM36</f>
        <v>57.705999999999996</v>
      </c>
      <c r="AN32" s="147">
        <f>AN34+AN36</f>
        <v>60.250999999999998</v>
      </c>
      <c r="AO32" s="148">
        <f>AO34+AO36</f>
        <v>63.620000000000005</v>
      </c>
      <c r="AP32" s="149">
        <f>SUM(AL32:AO32)</f>
        <v>241.27199999999999</v>
      </c>
      <c r="AQ32" s="147">
        <f>AQ34+AQ36</f>
        <v>62.86</v>
      </c>
      <c r="AR32" s="147">
        <f>AR34+AR36</f>
        <v>56.364000000000004</v>
      </c>
      <c r="AS32" s="147">
        <f>AS34+AS36</f>
        <v>50.529000000000003</v>
      </c>
      <c r="AT32" s="148">
        <f>AT34+AT36</f>
        <v>63.36399999999999</v>
      </c>
      <c r="AU32" s="149">
        <f>SUM(AQ32:AT32)</f>
        <v>233.11700000000002</v>
      </c>
      <c r="AV32" s="147">
        <f>AV34+AV36</f>
        <v>70.671999999999983</v>
      </c>
      <c r="AW32" s="147">
        <f>AW34+AW36</f>
        <v>88.353000000000023</v>
      </c>
      <c r="AX32" s="147">
        <f>AX34+AX36</f>
        <v>80.671999999999997</v>
      </c>
      <c r="AY32" s="148">
        <f>AY34+AY36</f>
        <v>88.918999999999997</v>
      </c>
      <c r="AZ32" s="149">
        <f>SUM(AV32:AY32)</f>
        <v>328.61599999999999</v>
      </c>
      <c r="BA32" s="147">
        <f>BA34+BA36</f>
        <v>88.039000000000001</v>
      </c>
      <c r="BB32" s="147">
        <f>BB34+BB36</f>
        <v>90.001000000000005</v>
      </c>
      <c r="BC32" s="147">
        <f>BC34+BC36</f>
        <v>87.053999999999988</v>
      </c>
      <c r="BD32" s="148">
        <f>BD34+BD36</f>
        <v>95.779000000000011</v>
      </c>
      <c r="BE32" s="149">
        <f>SUM(BA32:BD32)</f>
        <v>360.87299999999999</v>
      </c>
      <c r="BF32" s="147">
        <f>BF34+BF36</f>
        <v>87.365000000000009</v>
      </c>
      <c r="BG32" s="147">
        <f>BG34+BG36</f>
        <v>108.32700000000001</v>
      </c>
      <c r="BH32" s="147">
        <f>BH34+BH36</f>
        <v>96.621000000000009</v>
      </c>
      <c r="BI32" s="147">
        <f>BI34+BI36</f>
        <v>100.77800000000001</v>
      </c>
      <c r="BJ32" s="149">
        <f>SUM(BF32:BI32)</f>
        <v>393.09100000000001</v>
      </c>
      <c r="BK32" s="147">
        <f>BK34+BK36</f>
        <v>106.78400000000001</v>
      </c>
      <c r="BL32" s="147">
        <f>BL34+BL36</f>
        <v>111.88099999999999</v>
      </c>
      <c r="BM32" s="147">
        <f>BM34+BM36</f>
        <v>122.67600000000002</v>
      </c>
      <c r="BN32" s="148">
        <f>BN34+BN36</f>
        <v>126.116</v>
      </c>
      <c r="BO32" s="1436">
        <f>SUM(BK32:BN32)</f>
        <v>467.45699999999999</v>
      </c>
      <c r="BP32" s="147">
        <f>BP34+BP36</f>
        <v>125.90900000000002</v>
      </c>
      <c r="BQ32" s="147">
        <f>BQ34+BQ36</f>
        <v>131.804</v>
      </c>
      <c r="BR32" s="147">
        <f>BR34+BR36</f>
        <v>134.42400000000001</v>
      </c>
      <c r="BS32" s="148">
        <f>BS34+BS36</f>
        <v>137.04299999999998</v>
      </c>
      <c r="BT32" s="1436">
        <f>SUM(BP32:BS32)</f>
        <v>529.18000000000006</v>
      </c>
      <c r="BU32" s="147">
        <f>BU34+BU36</f>
        <v>142.298</v>
      </c>
      <c r="BV32" s="147">
        <f>BV34+BV36</f>
        <v>158.173</v>
      </c>
      <c r="BW32" s="147">
        <f>BW34+BW36</f>
        <v>163.58500000000001</v>
      </c>
      <c r="BX32" s="148">
        <f>BX34+BX36</f>
        <v>176.86099999999999</v>
      </c>
      <c r="BY32" s="1436">
        <f>SUM(BU32:BX32)</f>
        <v>640.91700000000003</v>
      </c>
      <c r="BZ32" s="147">
        <f>BZ34+BZ36</f>
        <v>175.17200000000003</v>
      </c>
      <c r="CA32" s="147">
        <f>CA34+CA36</f>
        <v>183.17599999999999</v>
      </c>
      <c r="CB32" s="147">
        <f>CB34+CB36</f>
        <v>184.30099999999999</v>
      </c>
      <c r="CC32" s="147">
        <f>CC34+CC36</f>
        <v>198.65600000000001</v>
      </c>
      <c r="CD32" s="1436">
        <f>SUM(BZ32:CC32)</f>
        <v>741.30500000000006</v>
      </c>
      <c r="CE32" s="147">
        <f>CE34+CE36</f>
        <v>213.637</v>
      </c>
      <c r="CF32" s="147">
        <f>CF34+CF36</f>
        <v>213.46000000000004</v>
      </c>
      <c r="CG32" s="147">
        <f>CG34+CG36</f>
        <v>237.422</v>
      </c>
      <c r="CH32" s="147">
        <f>CH34+CH36</f>
        <v>245.87199999999999</v>
      </c>
      <c r="CI32" s="1436">
        <f>SUM(CE32:CH32)</f>
        <v>910.39099999999996</v>
      </c>
      <c r="CJ32" s="147">
        <f>CJ34+CJ36</f>
        <v>234.60200000000003</v>
      </c>
      <c r="CK32" s="150">
        <f>CK34+CK36</f>
        <v>253.45659101525337</v>
      </c>
      <c r="CL32" s="150">
        <f>CL34+CL36</f>
        <v>281.18506437587376</v>
      </c>
      <c r="CM32" s="151">
        <f>CM34+CM36</f>
        <v>281.43086944463113</v>
      </c>
      <c r="CN32" s="1230">
        <f>SUM(CJ32:CM32)</f>
        <v>1050.6745248357583</v>
      </c>
      <c r="CO32" s="150">
        <f>CO34+CO36</f>
        <v>266.41032370418435</v>
      </c>
      <c r="CP32" s="150">
        <f>CP34+CP36</f>
        <v>286.79581916849412</v>
      </c>
      <c r="CQ32" s="150">
        <f>CQ34+CQ36</f>
        <v>319.21733079793728</v>
      </c>
      <c r="CR32" s="151">
        <f>CR34+CR36</f>
        <v>318.67190323489478</v>
      </c>
      <c r="CS32" s="1230">
        <f>SUM(CO32:CR32)</f>
        <v>1191.0953769055104</v>
      </c>
      <c r="CT32" s="150">
        <f>CT34+CT36</f>
        <v>298.40394181426382</v>
      </c>
      <c r="CU32" s="150">
        <f>CU34+CU36</f>
        <v>319.76350999771296</v>
      </c>
      <c r="CV32" s="150">
        <f>CV34+CV36</f>
        <v>353.67315565406636</v>
      </c>
      <c r="CW32" s="151">
        <f>CW34+CW36</f>
        <v>349.62811067832888</v>
      </c>
      <c r="CX32" s="1230">
        <f>SUM(CT32:CW32)</f>
        <v>1321.4687181443719</v>
      </c>
      <c r="DA32" s="153"/>
      <c r="DB32" s="152"/>
      <c r="DC32" s="152"/>
    </row>
    <row r="33" spans="1:107" hidden="1" outlineLevel="1">
      <c r="A33" s="215" t="s">
        <v>444</v>
      </c>
      <c r="B33" s="115"/>
      <c r="C33" s="216">
        <f t="shared" ref="C33:AH33" si="19">C32/C24</f>
        <v>6.084463885654879E-2</v>
      </c>
      <c r="D33" s="162">
        <f t="shared" si="19"/>
        <v>6.4979525883990669E-2</v>
      </c>
      <c r="E33" s="162">
        <f t="shared" si="19"/>
        <v>6.8605837367091388E-2</v>
      </c>
      <c r="F33" s="161">
        <f t="shared" si="19"/>
        <v>7.1955091857564074E-2</v>
      </c>
      <c r="G33" s="163">
        <f t="shared" si="19"/>
        <v>6.6235403181211974E-2</v>
      </c>
      <c r="H33" s="162">
        <f t="shared" si="19"/>
        <v>7.83774300474811E-2</v>
      </c>
      <c r="I33" s="162">
        <f t="shared" si="19"/>
        <v>7.9194224836856689E-2</v>
      </c>
      <c r="J33" s="162">
        <f t="shared" si="19"/>
        <v>0.11105065659455417</v>
      </c>
      <c r="K33" s="161">
        <f t="shared" si="19"/>
        <v>9.0010656566684985E-2</v>
      </c>
      <c r="L33" s="161">
        <f t="shared" si="19"/>
        <v>8.9533889428805941E-2</v>
      </c>
      <c r="M33" s="162">
        <f t="shared" si="19"/>
        <v>7.531955741928964E-2</v>
      </c>
      <c r="N33" s="162">
        <f t="shared" si="19"/>
        <v>7.2954214639570705E-2</v>
      </c>
      <c r="O33" s="162">
        <f t="shared" si="19"/>
        <v>6.9180438829037169E-2</v>
      </c>
      <c r="P33" s="161">
        <f t="shared" si="19"/>
        <v>7.0351324368491813E-2</v>
      </c>
      <c r="Q33" s="163">
        <f t="shared" si="19"/>
        <v>7.1845585515030327E-2</v>
      </c>
      <c r="R33" s="162">
        <f t="shared" si="19"/>
        <v>5.7129897160515114E-2</v>
      </c>
      <c r="S33" s="162">
        <f t="shared" si="19"/>
        <v>6.6461831083799702E-2</v>
      </c>
      <c r="T33" s="162">
        <f t="shared" si="19"/>
        <v>5.8380582245307934E-2</v>
      </c>
      <c r="U33" s="161">
        <f t="shared" si="19"/>
        <v>6.8386177479965171E-2</v>
      </c>
      <c r="V33" s="163">
        <f t="shared" si="19"/>
        <v>6.2630019182985996E-2</v>
      </c>
      <c r="W33" s="162">
        <f t="shared" si="19"/>
        <v>5.703114096117002E-2</v>
      </c>
      <c r="X33" s="162">
        <f t="shared" si="19"/>
        <v>5.5307250180937004E-2</v>
      </c>
      <c r="Y33" s="162">
        <f t="shared" si="19"/>
        <v>5.6422586281591414E-2</v>
      </c>
      <c r="Z33" s="161">
        <f t="shared" si="19"/>
        <v>6.014252377192273E-2</v>
      </c>
      <c r="AA33" s="163">
        <f t="shared" si="19"/>
        <v>5.7253113810003552E-2</v>
      </c>
      <c r="AB33" s="162">
        <f t="shared" si="19"/>
        <v>6.2017336966305493E-2</v>
      </c>
      <c r="AC33" s="162">
        <f t="shared" si="19"/>
        <v>4.5551540940678814E-2</v>
      </c>
      <c r="AD33" s="162">
        <f t="shared" si="19"/>
        <v>5.6671388313674576E-2</v>
      </c>
      <c r="AE33" s="161">
        <f t="shared" si="19"/>
        <v>6.3061531132040896E-2</v>
      </c>
      <c r="AF33" s="163">
        <f t="shared" si="19"/>
        <v>5.6980934260086206E-2</v>
      </c>
      <c r="AG33" s="162">
        <f t="shared" si="19"/>
        <v>6.6465252145418818E-2</v>
      </c>
      <c r="AH33" s="162">
        <f t="shared" si="19"/>
        <v>6.9611857661918228E-2</v>
      </c>
      <c r="AI33" s="162">
        <f t="shared" ref="AI33:AZ33" si="20">AI32/AI24</f>
        <v>7.3269960995014594E-2</v>
      </c>
      <c r="AJ33" s="161">
        <f t="shared" si="20"/>
        <v>7.5389783485932449E-2</v>
      </c>
      <c r="AK33" s="163">
        <f t="shared" si="20"/>
        <v>7.1618594874221037E-2</v>
      </c>
      <c r="AL33" s="162">
        <f t="shared" si="20"/>
        <v>6.7039513950889723E-2</v>
      </c>
      <c r="AM33" s="162">
        <f t="shared" si="20"/>
        <v>6.5065859648252414E-2</v>
      </c>
      <c r="AN33" s="162">
        <f t="shared" si="20"/>
        <v>6.7907043844117318E-2</v>
      </c>
      <c r="AO33" s="161">
        <f t="shared" si="20"/>
        <v>6.950718943822852E-2</v>
      </c>
      <c r="AP33" s="163">
        <f t="shared" si="20"/>
        <v>6.7396503075933353E-2</v>
      </c>
      <c r="AQ33" s="162">
        <f t="shared" si="20"/>
        <v>7.9934892356210027E-2</v>
      </c>
      <c r="AR33" s="162">
        <f t="shared" si="20"/>
        <v>7.9986036076307734E-2</v>
      </c>
      <c r="AS33" s="162">
        <f t="shared" si="20"/>
        <v>7.2442283733353208E-2</v>
      </c>
      <c r="AT33" s="161">
        <f t="shared" si="20"/>
        <v>8.3672814522444044E-2</v>
      </c>
      <c r="AU33" s="163">
        <f t="shared" si="20"/>
        <v>7.9133955428190086E-2</v>
      </c>
      <c r="AV33" s="162">
        <f t="shared" si="20"/>
        <v>8.2301152905554883E-2</v>
      </c>
      <c r="AW33" s="162">
        <f>AW32/AW24</f>
        <v>9.3690053921646629E-2</v>
      </c>
      <c r="AX33" s="162">
        <f t="shared" si="20"/>
        <v>8.1460620264783359E-2</v>
      </c>
      <c r="AY33" s="161">
        <f t="shared" si="20"/>
        <v>8.8218019616130239E-2</v>
      </c>
      <c r="AZ33" s="163">
        <f t="shared" si="20"/>
        <v>8.6477894736842101E-2</v>
      </c>
      <c r="BA33" s="162">
        <f t="shared" ref="BA33:BJ33" si="21">BA32/BA24</f>
        <v>8.5665550264375209E-2</v>
      </c>
      <c r="BB33" s="162">
        <f t="shared" si="21"/>
        <v>8.7962125884131714E-2</v>
      </c>
      <c r="BC33" s="162">
        <f t="shared" si="21"/>
        <v>8.5918840282191669E-2</v>
      </c>
      <c r="BD33" s="161">
        <f t="shared" si="21"/>
        <v>8.3129875078222601E-2</v>
      </c>
      <c r="BE33" s="163">
        <f t="shared" si="21"/>
        <v>8.559082484990245E-2</v>
      </c>
      <c r="BF33" s="162">
        <f t="shared" si="21"/>
        <v>8.3585273913625843E-2</v>
      </c>
      <c r="BG33" s="162">
        <f t="shared" si="21"/>
        <v>9.6337850805149908E-2</v>
      </c>
      <c r="BH33" s="162">
        <f t="shared" si="21"/>
        <v>8.9415869255399891E-2</v>
      </c>
      <c r="BI33" s="162">
        <f t="shared" si="21"/>
        <v>8.7372597162545057E-2</v>
      </c>
      <c r="BJ33" s="163">
        <f t="shared" si="21"/>
        <v>8.9264267111325388E-2</v>
      </c>
      <c r="BK33" s="162">
        <f t="shared" ref="BK33:BS33" si="22">BK32/BK24</f>
        <v>0.10594985677759004</v>
      </c>
      <c r="BL33" s="162">
        <f t="shared" si="22"/>
        <v>0.11071308763850143</v>
      </c>
      <c r="BM33" s="162">
        <f t="shared" si="22"/>
        <v>0.12327771854421432</v>
      </c>
      <c r="BN33" s="161">
        <f t="shared" si="22"/>
        <v>0.12106760206163203</v>
      </c>
      <c r="BO33" s="1437">
        <f t="shared" si="22"/>
        <v>0.11527233899843166</v>
      </c>
      <c r="BP33" s="162">
        <f t="shared" si="22"/>
        <v>0.12589389273287208</v>
      </c>
      <c r="BQ33" s="162">
        <f t="shared" si="22"/>
        <v>0.12338795440588349</v>
      </c>
      <c r="BR33" s="162">
        <f t="shared" si="22"/>
        <v>0.13370081230623557</v>
      </c>
      <c r="BS33" s="161">
        <f t="shared" si="22"/>
        <v>0.12768044810160545</v>
      </c>
      <c r="BT33" s="1437">
        <f>BT32/BT24</f>
        <v>0.12760349789549963</v>
      </c>
      <c r="BU33" s="162">
        <f t="shared" ref="BU33:CD33" si="23">BU32/BU24</f>
        <v>0.12829105439058189</v>
      </c>
      <c r="BV33" s="162">
        <f t="shared" si="23"/>
        <v>0.13610283627527411</v>
      </c>
      <c r="BW33" s="162">
        <f t="shared" si="23"/>
        <v>0.13433182675189362</v>
      </c>
      <c r="BX33" s="161">
        <f t="shared" si="23"/>
        <v>0.1353800202693807</v>
      </c>
      <c r="BY33" s="1437">
        <f t="shared" si="23"/>
        <v>0.13364936499989263</v>
      </c>
      <c r="BZ33" s="162">
        <f t="shared" si="23"/>
        <v>0.12663020887926643</v>
      </c>
      <c r="CA33" s="162">
        <f t="shared" si="23"/>
        <v>0.1309607645335806</v>
      </c>
      <c r="CB33" s="162">
        <f t="shared" si="23"/>
        <v>0.12589149892039914</v>
      </c>
      <c r="CC33" s="162">
        <f t="shared" si="23"/>
        <v>0.12351010526485948</v>
      </c>
      <c r="CD33" s="1437">
        <f t="shared" si="23"/>
        <v>0.12662291632148648</v>
      </c>
      <c r="CE33" s="162">
        <f t="shared" ref="CE33:CN33" si="24">CE32/CE24</f>
        <v>0.12704041159673321</v>
      </c>
      <c r="CF33" s="162">
        <f t="shared" si="24"/>
        <v>0.12044983889989223</v>
      </c>
      <c r="CG33" s="162">
        <f t="shared" si="24"/>
        <v>0.12895842318125181</v>
      </c>
      <c r="CH33" s="162">
        <f t="shared" si="24"/>
        <v>0.12253195089193383</v>
      </c>
      <c r="CI33" s="1437">
        <f t="shared" si="24"/>
        <v>0.12468539020380044</v>
      </c>
      <c r="CJ33" s="162">
        <f t="shared" si="24"/>
        <v>0.1128465516436927</v>
      </c>
      <c r="CK33" s="168">
        <f t="shared" si="24"/>
        <v>0.11653167423101181</v>
      </c>
      <c r="CL33" s="168">
        <f t="shared" si="24"/>
        <v>0.12433697784190724</v>
      </c>
      <c r="CM33" s="169">
        <f t="shared" si="24"/>
        <v>0.11825797960130298</v>
      </c>
      <c r="CN33" s="1018">
        <f t="shared" si="24"/>
        <v>0.11811663621938055</v>
      </c>
      <c r="CO33" s="168">
        <f t="shared" ref="CO33:CX33" si="25">CO32/CO24</f>
        <v>0.10792601997277843</v>
      </c>
      <c r="CP33" s="168">
        <f t="shared" si="25"/>
        <v>0.11155212916566871</v>
      </c>
      <c r="CQ33" s="168">
        <f t="shared" si="25"/>
        <v>0.11919404184970241</v>
      </c>
      <c r="CR33" s="169">
        <f t="shared" si="25"/>
        <v>0.11313654435219961</v>
      </c>
      <c r="CS33" s="1018">
        <f t="shared" si="25"/>
        <v>0.11306889598597188</v>
      </c>
      <c r="CT33" s="168">
        <f t="shared" si="25"/>
        <v>0.1027400457592922</v>
      </c>
      <c r="CU33" s="168">
        <f t="shared" si="25"/>
        <v>0.10644958193230229</v>
      </c>
      <c r="CV33" s="168">
        <f t="shared" si="25"/>
        <v>0.11390185623769732</v>
      </c>
      <c r="CW33" s="169">
        <f t="shared" si="25"/>
        <v>0.10785403443937397</v>
      </c>
      <c r="CX33" s="1018">
        <f t="shared" si="25"/>
        <v>0.10783010325146782</v>
      </c>
      <c r="DA33" s="171"/>
      <c r="DB33" s="170"/>
      <c r="DC33" s="170"/>
    </row>
    <row r="34" spans="1:107" hidden="1" outlineLevel="1">
      <c r="A34" s="217" t="s">
        <v>98</v>
      </c>
      <c r="B34" s="115"/>
      <c r="C34" s="218">
        <v>20.015999999999998</v>
      </c>
      <c r="D34" s="219">
        <v>22.359000000000002</v>
      </c>
      <c r="E34" s="219">
        <v>20.041</v>
      </c>
      <c r="F34" s="220">
        <f>81.451-SUM(C34:E34)</f>
        <v>19.034999999999997</v>
      </c>
      <c r="G34" s="221">
        <f>SUM(C34:F34)</f>
        <v>81.450999999999993</v>
      </c>
      <c r="H34" s="219">
        <v>20.997</v>
      </c>
      <c r="I34" s="219">
        <v>23.835000000000001</v>
      </c>
      <c r="J34" s="219">
        <v>28.471</v>
      </c>
      <c r="K34" s="220">
        <f>96.853-SUM(H34:J34)</f>
        <v>23.549999999999997</v>
      </c>
      <c r="L34" s="220">
        <f>SUM(H34:K34)</f>
        <v>96.852999999999994</v>
      </c>
      <c r="M34" s="219">
        <v>19.36</v>
      </c>
      <c r="N34" s="219">
        <v>20.212</v>
      </c>
      <c r="O34" s="219">
        <v>18.853999999999999</v>
      </c>
      <c r="P34" s="220">
        <f>79.902-SUM(M34:O34)</f>
        <v>21.475999999999999</v>
      </c>
      <c r="Q34" s="221">
        <f>SUM(M34:P34)</f>
        <v>79.902000000000001</v>
      </c>
      <c r="R34" s="219">
        <v>20.443999999999999</v>
      </c>
      <c r="S34" s="219">
        <v>23.206</v>
      </c>
      <c r="T34" s="219">
        <v>19.035</v>
      </c>
      <c r="U34" s="220">
        <f>86.572-SUM(R34:T34)</f>
        <v>23.887</v>
      </c>
      <c r="V34" s="221">
        <f>SUM(R34:U34)</f>
        <v>86.572000000000003</v>
      </c>
      <c r="W34" s="219">
        <v>21.855</v>
      </c>
      <c r="X34" s="219">
        <v>21.774000000000001</v>
      </c>
      <c r="Y34" s="219">
        <v>21.593</v>
      </c>
      <c r="Z34" s="220">
        <f>89.942-SUM(W34:Y34)</f>
        <v>24.719999999999985</v>
      </c>
      <c r="AA34" s="221">
        <f>SUM(W34:Z34)</f>
        <v>89.941999999999993</v>
      </c>
      <c r="AB34" s="219">
        <f>62.849-34.043</f>
        <v>28.805999999999997</v>
      </c>
      <c r="AC34" s="219">
        <f>49.269-34.235</f>
        <v>15.033999999999999</v>
      </c>
      <c r="AD34" s="219">
        <f>53.308-34.534</f>
        <v>18.774000000000001</v>
      </c>
      <c r="AE34" s="220">
        <f>61.08-34.722</f>
        <v>26.357999999999997</v>
      </c>
      <c r="AF34" s="221">
        <f>SUM(AB34:AE34)</f>
        <v>88.971999999999994</v>
      </c>
      <c r="AG34" s="219">
        <f>53.815-28.7</f>
        <v>25.114999999999998</v>
      </c>
      <c r="AH34" s="219">
        <f>70.715-38.76</f>
        <v>31.955000000000005</v>
      </c>
      <c r="AI34" s="219">
        <f>69.002-29.4</f>
        <v>39.601999999999997</v>
      </c>
      <c r="AJ34" s="220">
        <f>77.286-29.2</f>
        <v>48.085999999999999</v>
      </c>
      <c r="AK34" s="221">
        <f>SUM(AG34:AJ34)</f>
        <v>144.75799999999998</v>
      </c>
      <c r="AL34" s="219">
        <f>59.805-22.78</f>
        <v>37.024999999999999</v>
      </c>
      <c r="AM34" s="219">
        <f>58.229-1.188-23.972</f>
        <v>33.068999999999996</v>
      </c>
      <c r="AN34" s="219">
        <f>84.623-1.4-49.2</f>
        <v>34.022999999999996</v>
      </c>
      <c r="AO34" s="220">
        <f>63.732-0.846-22.972+1</f>
        <v>40.914000000000001</v>
      </c>
      <c r="AP34" s="221">
        <f>SUM(AL34:AO34)</f>
        <v>145.03100000000001</v>
      </c>
      <c r="AQ34" s="219">
        <f>58.918-14.39-0.103</f>
        <v>44.424999999999997</v>
      </c>
      <c r="AR34" s="219">
        <f>55.758-1.4-AR57</f>
        <v>40.114000000000004</v>
      </c>
      <c r="AS34" s="219">
        <f>49.365-0.6-AS57</f>
        <v>34.847000000000001</v>
      </c>
      <c r="AT34" s="220">
        <f>64.856-0.4-AT57</f>
        <v>45.895999999999987</v>
      </c>
      <c r="AU34" s="221">
        <f>SUM(AQ34:AT34)</f>
        <v>165.28199999999998</v>
      </c>
      <c r="AV34" s="219">
        <f>69.782-0.9-AV57</f>
        <v>51.085999999999984</v>
      </c>
      <c r="AW34" s="219">
        <f>39.645+50.19-1.6-AW57</f>
        <v>70.355000000000018</v>
      </c>
      <c r="AX34" s="219">
        <f>29.147+50.483-1.1-AX57</f>
        <v>61.218000000000004</v>
      </c>
      <c r="AY34" s="220">
        <f>35.151+49.187-1.4-AY57</f>
        <v>66.039999999999992</v>
      </c>
      <c r="AZ34" s="221">
        <f>SUM(AV34:AY34)</f>
        <v>248.69899999999998</v>
      </c>
      <c r="BA34" s="219">
        <f>30.717+47.878-3.7-15.9</f>
        <v>58.994999999999997</v>
      </c>
      <c r="BB34" s="219">
        <f>34.666+47.329-4.2-15</f>
        <v>62.795000000000002</v>
      </c>
      <c r="BC34" s="219">
        <f>26.209+47.492-3.9-13.7</f>
        <v>56.100999999999985</v>
      </c>
      <c r="BD34" s="220">
        <f>34.048+51.334-4-16.6</f>
        <v>64.782000000000011</v>
      </c>
      <c r="BE34" s="221">
        <f>SUM(BA34:BD34)</f>
        <v>242.67299999999997</v>
      </c>
      <c r="BF34" s="219">
        <f>25.668+48.78-4.5-16.4</f>
        <v>53.548000000000009</v>
      </c>
      <c r="BG34" s="219">
        <f>40.074+54.832-4.5-18.1</f>
        <v>72.306000000000012</v>
      </c>
      <c r="BH34" s="219">
        <f>27.234+56.191-4.9-18.1</f>
        <v>60.425000000000004</v>
      </c>
      <c r="BI34" s="219">
        <f>28.687+59.308-5.6-18.6</f>
        <v>63.795000000000009</v>
      </c>
      <c r="BJ34" s="221">
        <f>SUM(BF34:BI34)</f>
        <v>250.07400000000004</v>
      </c>
      <c r="BK34" s="219">
        <f>51.982-5+62.58-44.9</f>
        <v>64.662000000000006</v>
      </c>
      <c r="BL34" s="219">
        <f>26.805+66.527-4.8-18.6</f>
        <v>69.931999999999988</v>
      </c>
      <c r="BM34" s="219">
        <f>32.564+71.656-5.1-19.3</f>
        <v>79.820000000000007</v>
      </c>
      <c r="BN34" s="220">
        <f>26.803+77.314-18.8-2.6</f>
        <v>82.716999999999999</v>
      </c>
      <c r="BO34" s="1438">
        <f>SUM(BK34:BN34)</f>
        <v>297.13099999999997</v>
      </c>
      <c r="BP34" s="219">
        <f>27.498+76.732-4.1-18.5</f>
        <v>81.63000000000001</v>
      </c>
      <c r="BQ34" s="219">
        <f>24.499+84.147-4.6-18.5</f>
        <v>85.546000000000006</v>
      </c>
      <c r="BR34" s="219">
        <f>23.172+86.67-4.6-18.7</f>
        <v>86.542000000000002</v>
      </c>
      <c r="BS34" s="220">
        <f>21.93+87.883-18.9-5</f>
        <v>85.912999999999982</v>
      </c>
      <c r="BT34" s="1438">
        <f>SUM(BP34:BS34)</f>
        <v>339.63099999999997</v>
      </c>
      <c r="BU34" s="219">
        <f>95.527+19.703-5-19.5</f>
        <v>90.73</v>
      </c>
      <c r="BV34" s="219">
        <f>103.694+21.467-22-5</f>
        <v>98.161000000000001</v>
      </c>
      <c r="BW34" s="219">
        <f>-22.8-4.6+103.605+24.545</f>
        <v>100.75000000000001</v>
      </c>
      <c r="BX34" s="220">
        <f>106.368+24.32-4.9-19.6</f>
        <v>106.18799999999999</v>
      </c>
      <c r="BY34" s="1438">
        <f>SUM(BU34:BX34)</f>
        <v>395.82900000000001</v>
      </c>
      <c r="BZ34" s="219">
        <f>107.275+20.299-5.5-17.9</f>
        <v>104.17400000000001</v>
      </c>
      <c r="CA34" s="219">
        <f>115.399+15.753-5.3-13.6</f>
        <v>112.252</v>
      </c>
      <c r="CB34" s="219">
        <f>116.99+15.435-5-13.4</f>
        <v>114.02499999999998</v>
      </c>
      <c r="CC34" s="219">
        <f>122.196+17.427-5.3-12.6</f>
        <v>121.72299999999998</v>
      </c>
      <c r="CD34" s="1438">
        <f>SUM(BZ34:CC34)</f>
        <v>452.17399999999998</v>
      </c>
      <c r="CE34" s="219">
        <f>141.181+14.333-7.4-16.3</f>
        <v>131.81399999999999</v>
      </c>
      <c r="CF34" s="219">
        <f>142.734+15.488-8.7-17.2</f>
        <v>132.32200000000003</v>
      </c>
      <c r="CG34" s="219">
        <f>168.915+11.709-8.3-17.2</f>
        <v>155.124</v>
      </c>
      <c r="CH34" s="219">
        <f>15.552+170.218-8.9-16.1</f>
        <v>160.76999999999998</v>
      </c>
      <c r="CI34" s="1438">
        <f>SUM(CE34:CH34)</f>
        <v>580.03</v>
      </c>
      <c r="CJ34" s="219">
        <f>164.685+12.877+-9.7-14.6</f>
        <v>153.26200000000003</v>
      </c>
      <c r="CK34" s="222">
        <f>CK35*CK18</f>
        <v>157.70876071383469</v>
      </c>
      <c r="CL34" s="222">
        <f>CL35*CL18</f>
        <v>185.88255949125704</v>
      </c>
      <c r="CM34" s="223">
        <f>CM35*CM18</f>
        <v>185.61830440190965</v>
      </c>
      <c r="CN34" s="1023">
        <f>SUM(CJ34:CM34)</f>
        <v>682.47162460700133</v>
      </c>
      <c r="CO34" s="222">
        <f>CO35*CO18</f>
        <v>176.85366011672983</v>
      </c>
      <c r="CP34" s="222">
        <f>CP35*CP18</f>
        <v>181.17966752179785</v>
      </c>
      <c r="CQ34" s="222">
        <f>CQ35*CQ18</f>
        <v>214.7461553999766</v>
      </c>
      <c r="CR34" s="223">
        <f>CR35*CR18</f>
        <v>213.97451193531305</v>
      </c>
      <c r="CS34" s="1023">
        <f>SUM(CO34:CR34)</f>
        <v>786.75399497381727</v>
      </c>
      <c r="CT34" s="222">
        <f>CT35*CT18</f>
        <v>202.096549096187</v>
      </c>
      <c r="CU34" s="222">
        <f>CU35*CU18</f>
        <v>205.55038545493741</v>
      </c>
      <c r="CV34" s="222">
        <f>CV35*CV18</f>
        <v>242.73388392732886</v>
      </c>
      <c r="CW34" s="223">
        <f>CW35*CW18</f>
        <v>239.67165872630912</v>
      </c>
      <c r="CX34" s="1023">
        <f>SUM(CT34:CW34)</f>
        <v>890.05247720476245</v>
      </c>
      <c r="DA34" s="171"/>
      <c r="DB34" s="170"/>
      <c r="DC34" s="170"/>
    </row>
    <row r="35" spans="1:107" hidden="1" outlineLevel="1">
      <c r="A35" s="217" t="s">
        <v>100</v>
      </c>
      <c r="B35" s="115"/>
      <c r="C35" s="224">
        <f t="shared" ref="C35:AH35" si="26">C34/C18</f>
        <v>6.084463885654879E-2</v>
      </c>
      <c r="D35" s="225">
        <f t="shared" si="26"/>
        <v>6.4979525883990669E-2</v>
      </c>
      <c r="E35" s="225">
        <f t="shared" si="26"/>
        <v>6.8605837367091388E-2</v>
      </c>
      <c r="F35" s="226">
        <f t="shared" si="26"/>
        <v>7.1955091857564074E-2</v>
      </c>
      <c r="G35" s="227">
        <f t="shared" si="26"/>
        <v>6.6235403181211974E-2</v>
      </c>
      <c r="H35" s="225">
        <f t="shared" si="26"/>
        <v>7.83774300474811E-2</v>
      </c>
      <c r="I35" s="225">
        <f t="shared" si="26"/>
        <v>7.5366635678916313E-2</v>
      </c>
      <c r="J35" s="225">
        <f t="shared" si="26"/>
        <v>0.10149908201279835</v>
      </c>
      <c r="K35" s="226">
        <f t="shared" si="26"/>
        <v>8.1625155105124872E-2</v>
      </c>
      <c r="L35" s="226">
        <f t="shared" si="26"/>
        <v>8.3988556751005264E-2</v>
      </c>
      <c r="M35" s="225">
        <f t="shared" si="26"/>
        <v>6.6585269384877299E-2</v>
      </c>
      <c r="N35" s="225">
        <f t="shared" si="26"/>
        <v>6.4338691707782905E-2</v>
      </c>
      <c r="O35" s="225">
        <f t="shared" si="26"/>
        <v>6.0307133284074298E-2</v>
      </c>
      <c r="P35" s="226">
        <f t="shared" si="26"/>
        <v>6.1104061274774815E-2</v>
      </c>
      <c r="Q35" s="227">
        <f t="shared" si="26"/>
        <v>6.2964340537933691E-2</v>
      </c>
      <c r="R35" s="225">
        <f t="shared" si="26"/>
        <v>4.9173545767669184E-2</v>
      </c>
      <c r="S35" s="225">
        <f t="shared" si="26"/>
        <v>5.7647067591099804E-2</v>
      </c>
      <c r="T35" s="225">
        <f t="shared" si="26"/>
        <v>4.8135036034896952E-2</v>
      </c>
      <c r="U35" s="226">
        <f t="shared" si="26"/>
        <v>5.6846198513103165E-2</v>
      </c>
      <c r="V35" s="227">
        <f t="shared" si="26"/>
        <v>5.2982969584916148E-2</v>
      </c>
      <c r="W35" s="225">
        <f t="shared" si="26"/>
        <v>4.7188041809619843E-2</v>
      </c>
      <c r="X35" s="225">
        <f t="shared" si="26"/>
        <v>4.483752728470821E-2</v>
      </c>
      <c r="Y35" s="225">
        <f t="shared" si="26"/>
        <v>4.5358299688690783E-2</v>
      </c>
      <c r="Z35" s="226">
        <f t="shared" si="26"/>
        <v>4.9593044134198093E-2</v>
      </c>
      <c r="AA35" s="227">
        <f t="shared" si="26"/>
        <v>4.6764950256801142E-2</v>
      </c>
      <c r="AB35" s="225">
        <f t="shared" si="26"/>
        <v>4.5233705910248632E-2</v>
      </c>
      <c r="AC35" s="225">
        <f t="shared" si="26"/>
        <v>2.4449702794786102E-2</v>
      </c>
      <c r="AD35" s="225">
        <f t="shared" si="26"/>
        <v>3.2414513497414477E-2</v>
      </c>
      <c r="AE35" s="226">
        <f t="shared" si="26"/>
        <v>4.0314772753343886E-2</v>
      </c>
      <c r="AF35" s="227">
        <f t="shared" si="26"/>
        <v>3.5807786096652687E-2</v>
      </c>
      <c r="AG35" s="225">
        <f t="shared" si="26"/>
        <v>4.048860386459411E-2</v>
      </c>
      <c r="AH35" s="225">
        <f t="shared" si="26"/>
        <v>4.4788210840274775E-2</v>
      </c>
      <c r="AI35" s="225">
        <f t="shared" ref="AI35:AZ35" si="27">AI34/AI18</f>
        <v>4.8688070303990007E-2</v>
      </c>
      <c r="AJ35" s="226">
        <f t="shared" si="27"/>
        <v>5.5120790944261353E-2</v>
      </c>
      <c r="AK35" s="227">
        <f t="shared" si="27"/>
        <v>4.7940668794154304E-2</v>
      </c>
      <c r="AL35" s="225">
        <f t="shared" si="27"/>
        <v>4.3458511060352457E-2</v>
      </c>
      <c r="AM35" s="225">
        <f t="shared" si="27"/>
        <v>3.930697812079148E-2</v>
      </c>
      <c r="AN35" s="225">
        <f t="shared" si="27"/>
        <v>4.0560887826011277E-2</v>
      </c>
      <c r="AO35" s="226">
        <f t="shared" si="27"/>
        <v>4.7328639877103326E-2</v>
      </c>
      <c r="AP35" s="227">
        <f t="shared" si="27"/>
        <v>4.2699604480085925E-2</v>
      </c>
      <c r="AQ35" s="225">
        <f t="shared" si="27"/>
        <v>5.9855914653617157E-2</v>
      </c>
      <c r="AR35" s="225">
        <f t="shared" si="27"/>
        <v>6.0773723401837738E-2</v>
      </c>
      <c r="AS35" s="225">
        <f t="shared" si="27"/>
        <v>5.3621906088187545E-2</v>
      </c>
      <c r="AT35" s="226">
        <v>5.7000000000000002E-2</v>
      </c>
      <c r="AU35" s="227">
        <f t="shared" si="27"/>
        <v>5.9897999232439332E-2</v>
      </c>
      <c r="AV35" s="225">
        <f>AV34/AV18</f>
        <v>6.3901831895877739E-2</v>
      </c>
      <c r="AW35" s="225">
        <f>AW34/AW18</f>
        <v>7.926975603325602E-2</v>
      </c>
      <c r="AX35" s="225">
        <f>AX34/AX18</f>
        <v>6.5987013434972319E-2</v>
      </c>
      <c r="AY35" s="226">
        <f>AY34/AY18</f>
        <v>7.0915131639703019E-2</v>
      </c>
      <c r="AZ35" s="227">
        <f t="shared" si="27"/>
        <v>7.013575426273122E-2</v>
      </c>
      <c r="BA35" s="225">
        <f>BA34/BA18</f>
        <v>6.2174609531437719E-2</v>
      </c>
      <c r="BB35" s="225">
        <f>BB34/BB18</f>
        <v>6.6842301346532546E-2</v>
      </c>
      <c r="BC35" s="225">
        <f>BC34/BC18</f>
        <v>6.0553171969022351E-2</v>
      </c>
      <c r="BD35" s="226">
        <f>AY35-0.004</f>
        <v>6.6915131639703015E-2</v>
      </c>
      <c r="BE35" s="227">
        <f t="shared" ref="BE35:BS35" si="28">BE34/BE18</f>
        <v>6.2623399499937671E-2</v>
      </c>
      <c r="BF35" s="225">
        <f t="shared" si="28"/>
        <v>5.6085827613691956E-2</v>
      </c>
      <c r="BG35" s="225">
        <f t="shared" si="28"/>
        <v>7.0163147317768043E-2</v>
      </c>
      <c r="BH35" s="225">
        <f t="shared" si="28"/>
        <v>6.1446423904565603E-2</v>
      </c>
      <c r="BI35" s="225">
        <f t="shared" si="28"/>
        <v>6.0909125627756897E-2</v>
      </c>
      <c r="BJ35" s="227">
        <f t="shared" si="28"/>
        <v>6.2268662558649074E-2</v>
      </c>
      <c r="BK35" s="225">
        <f t="shared" si="28"/>
        <v>7.1842276305336905E-2</v>
      </c>
      <c r="BL35" s="225">
        <f t="shared" si="28"/>
        <v>7.775232927886859E-2</v>
      </c>
      <c r="BM35" s="1426">
        <f t="shared" si="28"/>
        <v>9.0547733243791437E-2</v>
      </c>
      <c r="BN35" s="1426">
        <f t="shared" si="28"/>
        <v>8.9235184016484087E-2</v>
      </c>
      <c r="BO35" s="1439">
        <f>BO34/BO18</f>
        <v>8.2354431348071508E-2</v>
      </c>
      <c r="BP35" s="225">
        <f t="shared" si="28"/>
        <v>9.1204971525680523E-2</v>
      </c>
      <c r="BQ35" s="225">
        <f t="shared" si="28"/>
        <v>8.9488786441841078E-2</v>
      </c>
      <c r="BR35" s="1426">
        <f t="shared" si="28"/>
        <v>9.6530600407797221E-2</v>
      </c>
      <c r="BS35" s="1426">
        <f t="shared" si="28"/>
        <v>8.9782162283612257E-2</v>
      </c>
      <c r="BT35" s="1439">
        <f>BT34/BT18</f>
        <v>9.168345531932813E-2</v>
      </c>
      <c r="BU35" s="225">
        <f>BP35-0.004</f>
        <v>8.7204971525680519E-2</v>
      </c>
      <c r="BV35" s="225">
        <f t="shared" ref="BV35:CJ35" si="29">BV34/BV18</f>
        <v>9.362032081991338E-2</v>
      </c>
      <c r="BW35" s="1426">
        <f t="shared" si="29"/>
        <v>9.1225757264331964E-2</v>
      </c>
      <c r="BX35" s="1426">
        <f t="shared" si="29"/>
        <v>8.9089124361329944E-2</v>
      </c>
      <c r="BY35" s="1660">
        <f t="shared" si="29"/>
        <v>9.1015049263632311E-2</v>
      </c>
      <c r="BZ35" s="1426">
        <f t="shared" si="29"/>
        <v>8.1938897025394808E-2</v>
      </c>
      <c r="CA35" s="1426">
        <f t="shared" si="29"/>
        <v>8.7682626573181849E-2</v>
      </c>
      <c r="CB35" s="1426">
        <f t="shared" si="29"/>
        <v>8.4490375395869149E-2</v>
      </c>
      <c r="CC35" s="1426">
        <f t="shared" si="29"/>
        <v>8.2012587260872696E-2</v>
      </c>
      <c r="CD35" s="1660">
        <f>CD34/CD18</f>
        <v>8.396401261129538E-2</v>
      </c>
      <c r="CE35" s="1426">
        <f t="shared" si="29"/>
        <v>8.4105762929887612E-2</v>
      </c>
      <c r="CF35" s="1426">
        <f t="shared" si="29"/>
        <v>7.9941518877984105E-2</v>
      </c>
      <c r="CG35" s="1426">
        <f t="shared" si="29"/>
        <v>8.9703503793738149E-2</v>
      </c>
      <c r="CH35" s="1426">
        <f t="shared" si="29"/>
        <v>8.5114695983774358E-2</v>
      </c>
      <c r="CI35" s="1660">
        <f>CI34/CI18</f>
        <v>8.4791823450334147E-2</v>
      </c>
      <c r="CJ35" s="1426">
        <f t="shared" si="29"/>
        <v>7.7997278324408684E-2</v>
      </c>
      <c r="CK35" s="228">
        <f t="shared" ref="CK35:CL35" si="30">CF35-0.0025</f>
        <v>7.7441518877984103E-2</v>
      </c>
      <c r="CL35" s="228">
        <f t="shared" si="30"/>
        <v>8.7203503793738146E-2</v>
      </c>
      <c r="CM35" s="228">
        <f t="shared" ref="CM35" si="31">CH35-0.0025</f>
        <v>8.2614695983774356E-2</v>
      </c>
      <c r="CN35" s="1024">
        <f>CN34/CN18</f>
        <v>8.1442036539203622E-2</v>
      </c>
      <c r="CO35" s="228">
        <f>CJ35-0.0025</f>
        <v>7.5497278324408681E-2</v>
      </c>
      <c r="CP35" s="228">
        <f t="shared" ref="CP35" si="32">CK35-0.0025</f>
        <v>7.4941518877984101E-2</v>
      </c>
      <c r="CQ35" s="228">
        <f t="shared" ref="CQ35" si="33">CL35-0.0025</f>
        <v>8.4703503793738144E-2</v>
      </c>
      <c r="CR35" s="228">
        <f t="shared" ref="CR35" si="34">CM35-0.0025</f>
        <v>8.0114695983774353E-2</v>
      </c>
      <c r="CS35" s="1024">
        <f>CS34/CS18</f>
        <v>7.894181139547625E-2</v>
      </c>
      <c r="CT35" s="228">
        <f>CO35-0.0025</f>
        <v>7.2997278324408679E-2</v>
      </c>
      <c r="CU35" s="228">
        <f t="shared" ref="CU35" si="35">CP35-0.0025</f>
        <v>7.2441518877984099E-2</v>
      </c>
      <c r="CV35" s="228">
        <f t="shared" ref="CV35" si="36">CQ35-0.0025</f>
        <v>8.2203503793738142E-2</v>
      </c>
      <c r="CW35" s="228">
        <f t="shared" ref="CW35" si="37">CR35-0.0025</f>
        <v>7.7614695983774351E-2</v>
      </c>
      <c r="CX35" s="1024">
        <f>CX34/CX18</f>
        <v>7.6420186315360725E-2</v>
      </c>
      <c r="DA35" s="171"/>
      <c r="DB35" s="170"/>
      <c r="DC35" s="170"/>
    </row>
    <row r="36" spans="1:107" hidden="1" outlineLevel="1">
      <c r="A36" s="217" t="s">
        <v>99</v>
      </c>
      <c r="B36" s="115"/>
      <c r="C36" s="218">
        <v>0</v>
      </c>
      <c r="D36" s="219">
        <v>0</v>
      </c>
      <c r="E36" s="219">
        <v>0</v>
      </c>
      <c r="F36" s="220">
        <v>0</v>
      </c>
      <c r="G36" s="221">
        <f>SUM(C36:F36)</f>
        <v>0</v>
      </c>
      <c r="H36" s="219">
        <v>0</v>
      </c>
      <c r="I36" s="219">
        <v>1.298</v>
      </c>
      <c r="J36" s="219">
        <v>3.165</v>
      </c>
      <c r="K36" s="220">
        <f>7.435-SUM(H36:J36)</f>
        <v>2.9719999999999995</v>
      </c>
      <c r="L36" s="220">
        <f>SUM(H36:K36)</f>
        <v>7.4349999999999996</v>
      </c>
      <c r="M36" s="219">
        <v>3.0019999999999998</v>
      </c>
      <c r="N36" s="219">
        <v>3.1440000000000001</v>
      </c>
      <c r="O36" s="219">
        <v>3.2229999999999999</v>
      </c>
      <c r="P36" s="220">
        <f>13.12-SUM(M36:O36)</f>
        <v>3.7509999999999994</v>
      </c>
      <c r="Q36" s="221">
        <f>SUM(M36:P36)</f>
        <v>13.12</v>
      </c>
      <c r="R36" s="219">
        <v>3.738</v>
      </c>
      <c r="S36" s="219">
        <v>4.0490000000000004</v>
      </c>
      <c r="T36" s="219">
        <v>4.5339999999999998</v>
      </c>
      <c r="U36" s="220">
        <f>17.806-SUM(R36:T36)</f>
        <v>5.4849999999999994</v>
      </c>
      <c r="V36" s="221">
        <f>SUM(R36:U36)</f>
        <v>17.806000000000001</v>
      </c>
      <c r="W36" s="219">
        <v>5.1139999999999999</v>
      </c>
      <c r="X36" s="219">
        <v>5.66</v>
      </c>
      <c r="Y36" s="219">
        <v>5.8869999999999996</v>
      </c>
      <c r="Z36" s="220">
        <f>22.636-SUM(W36:Y36)</f>
        <v>5.9749999999999979</v>
      </c>
      <c r="AA36" s="221">
        <f>SUM(W36:Z36)</f>
        <v>22.635999999999999</v>
      </c>
      <c r="AB36" s="219">
        <f>14.897-0.503-2.549</f>
        <v>11.845000000000001</v>
      </c>
      <c r="AC36" s="219">
        <f>16.338-0.677-1.749</f>
        <v>13.912000000000001</v>
      </c>
      <c r="AD36" s="219">
        <f>16.171-0.569-0.249</f>
        <v>15.353</v>
      </c>
      <c r="AE36" s="220">
        <f>18.545-0.75-1.134</f>
        <v>16.661000000000001</v>
      </c>
      <c r="AF36" s="221">
        <f>SUM(AB36:AE36)</f>
        <v>57.771000000000001</v>
      </c>
      <c r="AG36" s="219">
        <f>18.448-0.4</f>
        <v>18.048000000000002</v>
      </c>
      <c r="AH36" s="219">
        <f>20.499-0.553</f>
        <v>19.945999999999998</v>
      </c>
      <c r="AI36" s="219">
        <f>23.619-0.9+0.082</f>
        <v>22.801000000000002</v>
      </c>
      <c r="AJ36" s="220">
        <f>21.31-0.7</f>
        <v>20.61</v>
      </c>
      <c r="AK36" s="221">
        <f>SUM(AG36:AJ36)</f>
        <v>81.405000000000001</v>
      </c>
      <c r="AL36" s="219">
        <f>22.67-0</f>
        <v>22.67</v>
      </c>
      <c r="AM36" s="219">
        <v>24.637</v>
      </c>
      <c r="AN36" s="219">
        <v>26.228000000000002</v>
      </c>
      <c r="AO36" s="220">
        <v>22.706</v>
      </c>
      <c r="AP36" s="221">
        <f>SUM(AL36:AO36)</f>
        <v>96.241</v>
      </c>
      <c r="AQ36" s="219">
        <v>18.434999999999999</v>
      </c>
      <c r="AR36" s="219">
        <f>16.25</f>
        <v>16.25</v>
      </c>
      <c r="AS36" s="219">
        <v>15.682</v>
      </c>
      <c r="AT36" s="219">
        <f>17.468</f>
        <v>17.468</v>
      </c>
      <c r="AU36" s="221">
        <f>SUM(AQ36:AT36)</f>
        <v>67.835000000000008</v>
      </c>
      <c r="AV36" s="219">
        <f>19.586</f>
        <v>19.585999999999999</v>
      </c>
      <c r="AW36" s="219">
        <f>17.998</f>
        <v>17.998000000000001</v>
      </c>
      <c r="AX36" s="219">
        <f>19.454</f>
        <v>19.454000000000001</v>
      </c>
      <c r="AY36" s="219">
        <v>22.879000000000001</v>
      </c>
      <c r="AZ36" s="221">
        <f>SUM(AV36:AY36)</f>
        <v>79.917000000000002</v>
      </c>
      <c r="BA36" s="219">
        <v>29.044</v>
      </c>
      <c r="BB36" s="219">
        <f>27.206</f>
        <v>27.206</v>
      </c>
      <c r="BC36" s="219">
        <f>30.953</f>
        <v>30.952999999999999</v>
      </c>
      <c r="BD36" s="219">
        <v>30.997</v>
      </c>
      <c r="BE36" s="221">
        <f>SUM(BA36:BD36)</f>
        <v>118.2</v>
      </c>
      <c r="BF36" s="219">
        <f>33.817</f>
        <v>33.817</v>
      </c>
      <c r="BG36" s="219">
        <f>36.021</f>
        <v>36.021000000000001</v>
      </c>
      <c r="BH36" s="219">
        <f>36.196</f>
        <v>36.195999999999998</v>
      </c>
      <c r="BI36" s="219">
        <f>36.983</f>
        <v>36.982999999999997</v>
      </c>
      <c r="BJ36" s="221">
        <f>SUM(BF36:BI36)</f>
        <v>143.017</v>
      </c>
      <c r="BK36" s="219">
        <f>42.122</f>
        <v>42.122</v>
      </c>
      <c r="BL36" s="219">
        <f>41.949</f>
        <v>41.948999999999998</v>
      </c>
      <c r="BM36" s="219">
        <f>42.856</f>
        <v>42.856000000000002</v>
      </c>
      <c r="BN36" s="219">
        <v>43.399000000000001</v>
      </c>
      <c r="BO36" s="1438">
        <f>SUM(BK36:BN36)</f>
        <v>170.32599999999999</v>
      </c>
      <c r="BP36" s="219">
        <v>44.279000000000003</v>
      </c>
      <c r="BQ36" s="219">
        <v>46.258000000000003</v>
      </c>
      <c r="BR36" s="219">
        <v>47.881999999999998</v>
      </c>
      <c r="BS36" s="219">
        <v>51.13</v>
      </c>
      <c r="BT36" s="1438">
        <f>SUM(BP36:BS36)</f>
        <v>189.54900000000001</v>
      </c>
      <c r="BU36" s="219">
        <f>51.568</f>
        <v>51.567999999999998</v>
      </c>
      <c r="BV36" s="219">
        <v>60.012</v>
      </c>
      <c r="BW36" s="219">
        <v>62.835000000000001</v>
      </c>
      <c r="BX36" s="219">
        <v>70.673000000000002</v>
      </c>
      <c r="BY36" s="1438">
        <f>SUM(BU36:BX36)</f>
        <v>245.08799999999999</v>
      </c>
      <c r="BZ36" s="219">
        <v>70.998000000000005</v>
      </c>
      <c r="CA36" s="219">
        <v>70.924000000000007</v>
      </c>
      <c r="CB36" s="219">
        <v>70.275999999999996</v>
      </c>
      <c r="CC36" s="219">
        <v>76.933000000000007</v>
      </c>
      <c r="CD36" s="1438">
        <f>SUM(BZ36:CC36)</f>
        <v>289.13100000000003</v>
      </c>
      <c r="CE36" s="219">
        <v>81.822999999999993</v>
      </c>
      <c r="CF36" s="219">
        <v>81.138000000000005</v>
      </c>
      <c r="CG36" s="219">
        <v>82.298000000000002</v>
      </c>
      <c r="CH36" s="219">
        <v>85.102000000000004</v>
      </c>
      <c r="CI36" s="1438">
        <f>SUM(CE36:CH36)</f>
        <v>330.36099999999999</v>
      </c>
      <c r="CJ36" s="219">
        <v>81.34</v>
      </c>
      <c r="CK36" s="222">
        <f>CK37*CK21</f>
        <v>95.747830301418674</v>
      </c>
      <c r="CL36" s="222">
        <f>CL37*CL21</f>
        <v>95.302504884616724</v>
      </c>
      <c r="CM36" s="222">
        <f>CM37*CM21</f>
        <v>95.812565042721459</v>
      </c>
      <c r="CN36" s="1023">
        <f>SUM(CJ36:CM36)</f>
        <v>368.20290022875685</v>
      </c>
      <c r="CO36" s="222">
        <f>CO37*CO21</f>
        <v>89.556663587454509</v>
      </c>
      <c r="CP36" s="222">
        <f>CP37*CP21</f>
        <v>105.61615164669627</v>
      </c>
      <c r="CQ36" s="222">
        <f>CQ37*CQ21</f>
        <v>104.47117539796071</v>
      </c>
      <c r="CR36" s="222">
        <f>CR37*CR21</f>
        <v>104.69739129958175</v>
      </c>
      <c r="CS36" s="1023">
        <f>SUM(CO36:CR36)</f>
        <v>404.34138193169321</v>
      </c>
      <c r="CT36" s="222">
        <f>CT37*CT21</f>
        <v>96.307392718076812</v>
      </c>
      <c r="CU36" s="222">
        <f>CU37*CU21</f>
        <v>114.21312454277555</v>
      </c>
      <c r="CV36" s="222">
        <f>CV37*CV21</f>
        <v>110.9392717267375</v>
      </c>
      <c r="CW36" s="222">
        <f>CW37*CW21</f>
        <v>109.95645195201975</v>
      </c>
      <c r="CX36" s="1023">
        <f>SUM(CT36:CW36)</f>
        <v>431.41624093960957</v>
      </c>
      <c r="DA36" s="171"/>
      <c r="DB36" s="170"/>
      <c r="DC36" s="170"/>
    </row>
    <row r="37" spans="1:107" hidden="1" outlineLevel="1">
      <c r="A37" s="217" t="s">
        <v>557</v>
      </c>
      <c r="B37" s="115"/>
      <c r="C37" s="229" t="s">
        <v>131</v>
      </c>
      <c r="D37" s="230" t="s">
        <v>131</v>
      </c>
      <c r="E37" s="230" t="s">
        <v>131</v>
      </c>
      <c r="F37" s="231" t="s">
        <v>131</v>
      </c>
      <c r="G37" s="232" t="s">
        <v>131</v>
      </c>
      <c r="H37" s="230" t="s">
        <v>131</v>
      </c>
      <c r="I37" s="225">
        <f t="shared" ref="I37:AZ37" si="38">I36/I21</f>
        <v>1.1746606334841629</v>
      </c>
      <c r="J37" s="225">
        <f t="shared" si="38"/>
        <v>0.72359396433470513</v>
      </c>
      <c r="K37" s="226">
        <f t="shared" si="38"/>
        <v>0.48403908794788264</v>
      </c>
      <c r="L37" s="226">
        <f t="shared" si="38"/>
        <v>0.63990016352526036</v>
      </c>
      <c r="M37" s="225">
        <f t="shared" si="38"/>
        <v>0.48892508143322477</v>
      </c>
      <c r="N37" s="225">
        <f t="shared" si="38"/>
        <v>0.52434956637758501</v>
      </c>
      <c r="O37" s="225">
        <f t="shared" si="38"/>
        <v>0.4966867005701957</v>
      </c>
      <c r="P37" s="226">
        <f t="shared" si="38"/>
        <v>0.52682584269662902</v>
      </c>
      <c r="Q37" s="227">
        <f t="shared" si="38"/>
        <v>0.50961351718780346</v>
      </c>
      <c r="R37" s="225">
        <f t="shared" si="38"/>
        <v>0.49648027626510827</v>
      </c>
      <c r="S37" s="225">
        <f t="shared" si="38"/>
        <v>0.53757302177376531</v>
      </c>
      <c r="T37" s="225">
        <f t="shared" si="38"/>
        <v>0.54871112186857074</v>
      </c>
      <c r="U37" s="226">
        <f t="shared" si="38"/>
        <v>0.58991180899118068</v>
      </c>
      <c r="V37" s="227">
        <f t="shared" si="38"/>
        <v>0.54582796885537366</v>
      </c>
      <c r="W37" s="225">
        <f t="shared" si="38"/>
        <v>0.52532100667693893</v>
      </c>
      <c r="X37" s="225">
        <f t="shared" si="38"/>
        <v>0.54376020751272935</v>
      </c>
      <c r="Y37" s="225">
        <f t="shared" si="38"/>
        <v>0.53591260810195718</v>
      </c>
      <c r="Z37" s="226">
        <f t="shared" si="38"/>
        <v>0.50151082759778387</v>
      </c>
      <c r="AA37" s="227">
        <f t="shared" si="38"/>
        <v>0.5258927119392236</v>
      </c>
      <c r="AB37" s="225">
        <f t="shared" si="38"/>
        <v>0.63505254128243616</v>
      </c>
      <c r="AC37" s="225">
        <f t="shared" si="38"/>
        <v>0.67662078692670591</v>
      </c>
      <c r="AD37" s="225">
        <f t="shared" si="38"/>
        <v>0.66734764843953753</v>
      </c>
      <c r="AE37" s="226">
        <f t="shared" si="38"/>
        <v>0.58727529080014107</v>
      </c>
      <c r="AF37" s="227">
        <f t="shared" si="38"/>
        <v>0.63772643477684932</v>
      </c>
      <c r="AG37" s="225">
        <f t="shared" si="38"/>
        <v>0.62001442852725963</v>
      </c>
      <c r="AH37" s="225">
        <f t="shared" si="38"/>
        <v>0.62121589634981933</v>
      </c>
      <c r="AI37" s="225">
        <f t="shared" si="38"/>
        <v>0.59526420217209697</v>
      </c>
      <c r="AJ37" s="226">
        <f t="shared" si="38"/>
        <v>0.53069317128437532</v>
      </c>
      <c r="AK37" s="227">
        <f t="shared" si="38"/>
        <v>0.5883692187601639</v>
      </c>
      <c r="AL37" s="225">
        <f t="shared" si="38"/>
        <v>0.58909128706181957</v>
      </c>
      <c r="AM37" s="225">
        <f t="shared" si="38"/>
        <v>0.54046287155862671</v>
      </c>
      <c r="AN37" s="225">
        <f t="shared" si="38"/>
        <v>0.54140863677648421</v>
      </c>
      <c r="AO37" s="226">
        <f t="shared" si="38"/>
        <v>0.44666076522081244</v>
      </c>
      <c r="AP37" s="227">
        <f t="shared" si="38"/>
        <v>0.52491177930372457</v>
      </c>
      <c r="AQ37" s="225">
        <f t="shared" si="38"/>
        <v>0.41716639134665423</v>
      </c>
      <c r="AR37" s="225">
        <f t="shared" si="38"/>
        <v>0.36420278811242096</v>
      </c>
      <c r="AS37" s="225">
        <f t="shared" si="38"/>
        <v>0.32916334326854457</v>
      </c>
      <c r="AT37" s="226">
        <f t="shared" si="38"/>
        <v>0.34928315770530483</v>
      </c>
      <c r="AU37" s="227">
        <f t="shared" si="38"/>
        <v>0.36380066716006487</v>
      </c>
      <c r="AV37" s="225">
        <f>AV36/AV21</f>
        <v>0.33053750738334314</v>
      </c>
      <c r="AW37" s="225">
        <f>AW36/AW21</f>
        <v>0.32431166210177309</v>
      </c>
      <c r="AX37" s="225">
        <f>AX36/AX21</f>
        <v>0.31081145851640013</v>
      </c>
      <c r="AY37" s="226">
        <f>AY36/AY21</f>
        <v>0.29832316278099413</v>
      </c>
      <c r="AZ37" s="227">
        <f t="shared" si="38"/>
        <v>0.31459174756135005</v>
      </c>
      <c r="BA37" s="225">
        <f>BA36/BA21</f>
        <v>0.36836364558760115</v>
      </c>
      <c r="BB37" s="225">
        <f>BB36/BB21</f>
        <v>0.32492923598753121</v>
      </c>
      <c r="BC37" s="225">
        <f>BC36/BC21</f>
        <v>0.35686039406481662</v>
      </c>
      <c r="BD37" s="226">
        <f>AY37</f>
        <v>0.29832316278099413</v>
      </c>
      <c r="BE37" s="227">
        <f t="shared" ref="BE37:BS37" si="39">BE36/BE21</f>
        <v>0.34648429828135585</v>
      </c>
      <c r="BF37" s="225">
        <f t="shared" si="39"/>
        <v>0.37379654909416488</v>
      </c>
      <c r="BG37" s="225">
        <f t="shared" si="39"/>
        <v>0.38357754397921368</v>
      </c>
      <c r="BH37" s="225">
        <f t="shared" si="39"/>
        <v>0.37237533820972601</v>
      </c>
      <c r="BI37" s="225">
        <f t="shared" si="39"/>
        <v>0.34873830718165355</v>
      </c>
      <c r="BJ37" s="227">
        <f t="shared" si="39"/>
        <v>0.3689542551105699</v>
      </c>
      <c r="BK37" s="225">
        <f t="shared" si="39"/>
        <v>0.39067688141126716</v>
      </c>
      <c r="BL37" s="225">
        <f t="shared" si="39"/>
        <v>0.37748022568366491</v>
      </c>
      <c r="BM37" s="225">
        <f t="shared" si="39"/>
        <v>0.37727012632598267</v>
      </c>
      <c r="BN37" s="225">
        <f t="shared" si="39"/>
        <v>0.37822456947639965</v>
      </c>
      <c r="BO37" s="1439">
        <f>BO36/BO21</f>
        <v>0.38079886247278022</v>
      </c>
      <c r="BP37" s="225">
        <f t="shared" si="39"/>
        <v>0.42129149500965724</v>
      </c>
      <c r="BQ37" s="225">
        <f t="shared" si="39"/>
        <v>0.41203559371854598</v>
      </c>
      <c r="BR37" s="225">
        <f t="shared" si="39"/>
        <v>0.4397483583597373</v>
      </c>
      <c r="BS37" s="225">
        <f t="shared" si="39"/>
        <v>0.43917438994013214</v>
      </c>
      <c r="BT37" s="1439">
        <f>BT36/BT21</f>
        <v>0.42818707954766222</v>
      </c>
      <c r="BU37" s="225">
        <v>0.4</v>
      </c>
      <c r="BV37" s="225">
        <f t="shared" ref="BV37:CF37" si="40">BV36/BV21</f>
        <v>0.52800971343604008</v>
      </c>
      <c r="BW37" s="225">
        <f t="shared" si="40"/>
        <v>0.55427160058219027</v>
      </c>
      <c r="BX37" s="225">
        <f t="shared" si="40"/>
        <v>0.61737163023918096</v>
      </c>
      <c r="BY37" s="1660">
        <f t="shared" si="40"/>
        <v>0.54895724374581423</v>
      </c>
      <c r="BZ37" s="225">
        <f t="shared" si="40"/>
        <v>0.63406356889607318</v>
      </c>
      <c r="CA37" s="225">
        <f t="shared" si="40"/>
        <v>0.59850971721757629</v>
      </c>
      <c r="CB37" s="225">
        <f t="shared" si="40"/>
        <v>0.61427385166732218</v>
      </c>
      <c r="CC37" s="225">
        <f t="shared" si="40"/>
        <v>0.61932861052970545</v>
      </c>
      <c r="CD37" s="1660">
        <f>CD36/CD21</f>
        <v>0.61635390397336165</v>
      </c>
      <c r="CE37" s="225">
        <f t="shared" ref="CE37:CJ37" si="41">CE36/CE21</f>
        <v>0.71520475503693015</v>
      </c>
      <c r="CF37" s="225">
        <f t="shared" si="40"/>
        <v>0.69375400795177633</v>
      </c>
      <c r="CG37" s="225">
        <f t="shared" si="41"/>
        <v>0.7362695366667561</v>
      </c>
      <c r="CH37" s="225">
        <f t="shared" si="41"/>
        <v>0.72284510583358819</v>
      </c>
      <c r="CI37" s="1660">
        <f>CI36/CI21</f>
        <v>0.71682191685706775</v>
      </c>
      <c r="CJ37" s="225">
        <f t="shared" si="41"/>
        <v>0.71362770988147151</v>
      </c>
      <c r="CK37" s="228">
        <f>CF37-0.0025</f>
        <v>0.69125400795177638</v>
      </c>
      <c r="CL37" s="228">
        <f t="shared" ref="CL37:CM37" si="42">CG37-0.0025</f>
        <v>0.73376953666675615</v>
      </c>
      <c r="CM37" s="228">
        <f t="shared" si="42"/>
        <v>0.72034510583358824</v>
      </c>
      <c r="CN37" s="1024">
        <f>CN36/CN21</f>
        <v>0.71442411887758728</v>
      </c>
      <c r="CO37" s="228">
        <f>CJ37-0.0025</f>
        <v>0.71112770988147156</v>
      </c>
      <c r="CP37" s="228">
        <f t="shared" ref="CP37:CR37" si="43">CK37-0.0025</f>
        <v>0.68875400795177644</v>
      </c>
      <c r="CQ37" s="228">
        <f t="shared" si="43"/>
        <v>0.7312695366667562</v>
      </c>
      <c r="CR37" s="228">
        <f t="shared" si="43"/>
        <v>0.71784510583358829</v>
      </c>
      <c r="CS37" s="1024">
        <f>CS36/CS21</f>
        <v>0.71187838503583833</v>
      </c>
      <c r="CT37" s="228">
        <f>CO37-0.0025</f>
        <v>0.70862770988147161</v>
      </c>
      <c r="CU37" s="228">
        <f t="shared" ref="CU37" si="44">CP37-0.0025</f>
        <v>0.68625400795177649</v>
      </c>
      <c r="CV37" s="228">
        <f t="shared" ref="CV37" si="45">CQ37-0.0025</f>
        <v>0.72876953666675626</v>
      </c>
      <c r="CW37" s="228">
        <f t="shared" ref="CW37" si="46">CR37-0.0025</f>
        <v>0.71534510583358835</v>
      </c>
      <c r="CX37" s="1024">
        <f>CX36/CX21</f>
        <v>0.70924427379595179</v>
      </c>
      <c r="DA37" s="171"/>
      <c r="DB37" s="170"/>
      <c r="DC37" s="170"/>
    </row>
    <row r="38" spans="1:107" ht="10.5" customHeight="1" collapsed="1">
      <c r="A38" s="135" t="s">
        <v>447</v>
      </c>
      <c r="B38" s="115"/>
      <c r="C38" s="136">
        <f>C24-C32</f>
        <v>308.95299999999997</v>
      </c>
      <c r="D38" s="137">
        <f>D24-D32</f>
        <v>321.73400000000004</v>
      </c>
      <c r="E38" s="137">
        <f>E24-E32</f>
        <v>272.077</v>
      </c>
      <c r="F38" s="138">
        <f>F24-F32</f>
        <v>245.50499999999997</v>
      </c>
      <c r="G38" s="139">
        <f>SUM(C38:F38)</f>
        <v>1148.269</v>
      </c>
      <c r="H38" s="137">
        <f>H24-H32</f>
        <v>246.899</v>
      </c>
      <c r="I38" s="137">
        <f>I24-I32</f>
        <v>292.22600000000006</v>
      </c>
      <c r="J38" s="137">
        <f>J24-J32</f>
        <v>253.24300000000002</v>
      </c>
      <c r="K38" s="138">
        <f>K24-K32</f>
        <v>268.13200000000001</v>
      </c>
      <c r="L38" s="138">
        <f>SUM(H38:K38)</f>
        <v>1060.5</v>
      </c>
      <c r="M38" s="137">
        <f>M24-M32</f>
        <v>274.53299999999996</v>
      </c>
      <c r="N38" s="137">
        <f>N24-N32</f>
        <v>296.78999999999996</v>
      </c>
      <c r="O38" s="137">
        <f>O24-O32</f>
        <v>297.04499999999996</v>
      </c>
      <c r="P38" s="138">
        <f>P24-P32</f>
        <v>333.35899999999992</v>
      </c>
      <c r="Q38" s="139">
        <f>SUM(M38:P38)</f>
        <v>1201.7269999999999</v>
      </c>
      <c r="R38" s="137">
        <f>R24-R32</f>
        <v>399.09899999999999</v>
      </c>
      <c r="S38" s="137">
        <f>S24-S32</f>
        <v>382.83</v>
      </c>
      <c r="T38" s="233">
        <f>T24-T32</f>
        <v>380.14399999999995</v>
      </c>
      <c r="U38" s="138">
        <f>U24-U32</f>
        <v>400.12999999999994</v>
      </c>
      <c r="V38" s="139">
        <f>SUM(R38:U38)</f>
        <v>1562.2029999999997</v>
      </c>
      <c r="W38" s="137">
        <f>W24-W32</f>
        <v>445.91300000000001</v>
      </c>
      <c r="X38" s="137">
        <f>X24-X32</f>
        <v>468.59499999999997</v>
      </c>
      <c r="Y38" s="137">
        <f>Y24-Y32</f>
        <v>459.55899999999997</v>
      </c>
      <c r="Z38" s="138">
        <f>Z24-Z32</f>
        <v>479.6760000000001</v>
      </c>
      <c r="AA38" s="139">
        <f>SUM(W38:Z38)</f>
        <v>1853.7430000000002</v>
      </c>
      <c r="AB38" s="137">
        <f>AB24-AB32</f>
        <v>614.82700000000011</v>
      </c>
      <c r="AC38" s="137">
        <f>AC24-AC32</f>
        <v>606.51</v>
      </c>
      <c r="AD38" s="137">
        <f>AD24-AD32</f>
        <v>568.06399999999996</v>
      </c>
      <c r="AE38" s="138">
        <f>AE24-AE32</f>
        <v>639.15599999999995</v>
      </c>
      <c r="AF38" s="139">
        <f>SUM(AB38:AE38)</f>
        <v>2428.5569999999998</v>
      </c>
      <c r="AG38" s="137">
        <f>AG24-AG32</f>
        <v>606.24400000000003</v>
      </c>
      <c r="AH38" s="137">
        <f>AH24-AH32</f>
        <v>693.67600000000004</v>
      </c>
      <c r="AI38" s="137">
        <f>AI24-AI32</f>
        <v>789.2829999999999</v>
      </c>
      <c r="AJ38" s="138">
        <f>AJ24-AJ32</f>
        <v>842.51499999999999</v>
      </c>
      <c r="AK38" s="139">
        <f>SUM(AG38:AJ38)</f>
        <v>2931.7179999999998</v>
      </c>
      <c r="AL38" s="137">
        <f>AL24-AL32</f>
        <v>830.74999999999989</v>
      </c>
      <c r="AM38" s="137">
        <f>AM24-AM32</f>
        <v>829.18000000000006</v>
      </c>
      <c r="AN38" s="137">
        <f>AN24-AN32</f>
        <v>827.00599999999997</v>
      </c>
      <c r="AO38" s="138">
        <f>AO24-AO32</f>
        <v>851.68100000000004</v>
      </c>
      <c r="AP38" s="139">
        <f>SUM(AL38:AO38)</f>
        <v>3338.6169999999997</v>
      </c>
      <c r="AQ38" s="137">
        <f>AQ24-AQ32</f>
        <v>723.53</v>
      </c>
      <c r="AR38" s="137">
        <f>AR24-AR32</f>
        <v>648.30899999999997</v>
      </c>
      <c r="AS38" s="137">
        <f>AS24-AS32</f>
        <v>646.97800000000007</v>
      </c>
      <c r="AT38" s="138">
        <f>AT24-AT32</f>
        <v>693.91899999999998</v>
      </c>
      <c r="AU38" s="139">
        <f>SUM(AQ38:AT38)</f>
        <v>2712.7359999999999</v>
      </c>
      <c r="AV38" s="137">
        <f>AV24-AV32</f>
        <v>788.02800000000002</v>
      </c>
      <c r="AW38" s="137">
        <f>AW24-AW32</f>
        <v>854.6819999999999</v>
      </c>
      <c r="AX38" s="137">
        <f>AX24-AX32</f>
        <v>909.64700000000005</v>
      </c>
      <c r="AY38" s="138">
        <f>AY24-AY32</f>
        <v>919.02699999999993</v>
      </c>
      <c r="AZ38" s="139">
        <f>SUM(AV38:AY38)</f>
        <v>3471.384</v>
      </c>
      <c r="BA38" s="137">
        <f>BA24-BA32</f>
        <v>939.66700000000014</v>
      </c>
      <c r="BB38" s="137">
        <f>BB24-BB32</f>
        <v>933.178</v>
      </c>
      <c r="BC38" s="137">
        <f>BC24-BC32</f>
        <v>926.15800000000002</v>
      </c>
      <c r="BD38" s="138">
        <f>BD24-BD32</f>
        <v>1056.3819999999998</v>
      </c>
      <c r="BE38" s="139">
        <f>SUM(BA38:BD38)</f>
        <v>3855.3850000000002</v>
      </c>
      <c r="BF38" s="137">
        <f>BF24-BF32</f>
        <v>957.85500000000002</v>
      </c>
      <c r="BG38" s="137">
        <f>BG24-BG32</f>
        <v>1016.1220000000001</v>
      </c>
      <c r="BH38" s="137">
        <f>BH24-BH32</f>
        <v>983.95899999999995</v>
      </c>
      <c r="BI38" s="137">
        <f>BI24-BI32</f>
        <v>1052.6499999999999</v>
      </c>
      <c r="BJ38" s="139">
        <f>SUM(BF38:BI38)</f>
        <v>4010.5860000000002</v>
      </c>
      <c r="BK38" s="137">
        <f>BK24-BK32</f>
        <v>901.08899999999994</v>
      </c>
      <c r="BL38" s="137">
        <f>BL24-BL32</f>
        <v>898.66800000000001</v>
      </c>
      <c r="BM38" s="137">
        <f>BM24-BM32</f>
        <v>872.44299999999998</v>
      </c>
      <c r="BN38" s="138">
        <f>BN24-BN32</f>
        <v>915.58299999999986</v>
      </c>
      <c r="BO38" s="1440">
        <f>SUM(BK38:BN38)</f>
        <v>3587.7829999999994</v>
      </c>
      <c r="BP38" s="137">
        <f>BP24-BP32</f>
        <v>874.21100000000001</v>
      </c>
      <c r="BQ38" s="137">
        <f>BQ24-BQ32</f>
        <v>936.40400000000011</v>
      </c>
      <c r="BR38" s="137">
        <f>BR24-BR32</f>
        <v>870.98500000000013</v>
      </c>
      <c r="BS38" s="138">
        <f>BS24-BS32</f>
        <v>936.28499999999997</v>
      </c>
      <c r="BT38" s="1440">
        <f>SUM(BP38:BS38)</f>
        <v>3617.8850000000002</v>
      </c>
      <c r="BU38" s="137">
        <f>BU24-BU32</f>
        <v>966.88300000000004</v>
      </c>
      <c r="BV38" s="233">
        <f>BV24-BV32</f>
        <v>1003.9849999999999</v>
      </c>
      <c r="BW38" s="137">
        <f>BW24-BW32</f>
        <v>1054.183</v>
      </c>
      <c r="BX38" s="138">
        <f>BX24-BX32</f>
        <v>1129.5429999999997</v>
      </c>
      <c r="BY38" s="1440">
        <f>SUM(BU38:BX38)</f>
        <v>4154.5939999999991</v>
      </c>
      <c r="BZ38" s="137">
        <f>BZ24-BZ32</f>
        <v>1208.163</v>
      </c>
      <c r="CA38" s="137">
        <f>CA24-CA32</f>
        <v>1215.5330000000001</v>
      </c>
      <c r="CB38" s="137">
        <f>CB24-CB32</f>
        <v>1279.6660000000002</v>
      </c>
      <c r="CC38" s="137">
        <f>CC24-CC32</f>
        <v>1409.7629999999999</v>
      </c>
      <c r="CD38" s="1440">
        <f>SUM(BZ38:CC38)</f>
        <v>5113.125</v>
      </c>
      <c r="CE38" s="137">
        <f>CE24-CE32</f>
        <v>1468.009</v>
      </c>
      <c r="CF38" s="137">
        <f>CF24-CF32</f>
        <v>1558.73</v>
      </c>
      <c r="CG38" s="137">
        <f>CG24-CG32</f>
        <v>1603.652</v>
      </c>
      <c r="CH38" s="137">
        <f>CH24-CH32</f>
        <v>1760.723</v>
      </c>
      <c r="CI38" s="1440">
        <f>SUM(CE38:CH38)</f>
        <v>6391.1139999999996</v>
      </c>
      <c r="CJ38" s="137">
        <f>CJ24-CJ32</f>
        <v>1844.345</v>
      </c>
      <c r="CK38" s="140">
        <f>CK24-CK32</f>
        <v>1921.5451215045746</v>
      </c>
      <c r="CL38" s="140">
        <f>CL24-CL32</f>
        <v>1980.2907190664157</v>
      </c>
      <c r="CM38" s="141">
        <f>CM24-CM32</f>
        <v>2098.3736088108917</v>
      </c>
      <c r="CN38" s="1231">
        <f>SUM(CJ38:CM38)</f>
        <v>7844.5544493818816</v>
      </c>
      <c r="CO38" s="140">
        <f>CO24-CO32</f>
        <v>2202.0428238442892</v>
      </c>
      <c r="CP38" s="140">
        <f>CP24-CP32</f>
        <v>2284.1620039902805</v>
      </c>
      <c r="CQ38" s="140">
        <f>CQ24-CQ32</f>
        <v>2358.9142758175512</v>
      </c>
      <c r="CR38" s="141">
        <f>CR24-CR32</f>
        <v>2498.0298535630991</v>
      </c>
      <c r="CS38" s="1231">
        <f>SUM(CO38:CR38)</f>
        <v>9343.1489572152204</v>
      </c>
      <c r="CT38" s="140">
        <f>CT24-CT32</f>
        <v>2606.0520530116391</v>
      </c>
      <c r="CU38" s="140">
        <f>CU24-CU32</f>
        <v>2684.1328341050744</v>
      </c>
      <c r="CV38" s="140">
        <f>CV24-CV32</f>
        <v>2751.396132382818</v>
      </c>
      <c r="CW38" s="141">
        <f>CW24-CW32</f>
        <v>2892.0504458605919</v>
      </c>
      <c r="CX38" s="1231">
        <f>SUM(CT38:CW38)</f>
        <v>10933.631465360122</v>
      </c>
      <c r="DA38" s="143"/>
      <c r="DB38" s="142"/>
      <c r="DC38" s="142"/>
    </row>
    <row r="39" spans="1:107" ht="10.5" hidden="1" customHeight="1" outlineLevel="1">
      <c r="A39" s="234" t="s">
        <v>720</v>
      </c>
      <c r="B39" s="115" t="s">
        <v>18</v>
      </c>
      <c r="C39" s="216">
        <f t="shared" ref="C39:AH39" si="47">1-C35</f>
        <v>0.93915536114345122</v>
      </c>
      <c r="D39" s="162">
        <f t="shared" si="47"/>
        <v>0.9350204741160093</v>
      </c>
      <c r="E39" s="162">
        <f t="shared" si="47"/>
        <v>0.93139416263290864</v>
      </c>
      <c r="F39" s="161">
        <f t="shared" si="47"/>
        <v>0.9280449081424359</v>
      </c>
      <c r="G39" s="163">
        <f t="shared" si="47"/>
        <v>0.93376459681878798</v>
      </c>
      <c r="H39" s="162">
        <f t="shared" si="47"/>
        <v>0.9216225699525189</v>
      </c>
      <c r="I39" s="162">
        <f t="shared" si="47"/>
        <v>0.92463336432108367</v>
      </c>
      <c r="J39" s="162">
        <f t="shared" si="47"/>
        <v>0.89850091798720166</v>
      </c>
      <c r="K39" s="161">
        <f t="shared" si="47"/>
        <v>0.91837484489487509</v>
      </c>
      <c r="L39" s="161">
        <f t="shared" si="47"/>
        <v>0.91601144324899475</v>
      </c>
      <c r="M39" s="162">
        <f t="shared" si="47"/>
        <v>0.9334147306151227</v>
      </c>
      <c r="N39" s="162">
        <f t="shared" si="47"/>
        <v>0.93566130829221705</v>
      </c>
      <c r="O39" s="162">
        <f t="shared" si="47"/>
        <v>0.93969286671592567</v>
      </c>
      <c r="P39" s="161">
        <f t="shared" si="47"/>
        <v>0.93889593872522514</v>
      </c>
      <c r="Q39" s="163">
        <f t="shared" si="47"/>
        <v>0.93703565946206635</v>
      </c>
      <c r="R39" s="162">
        <f t="shared" si="47"/>
        <v>0.95082645423233081</v>
      </c>
      <c r="S39" s="162">
        <f t="shared" si="47"/>
        <v>0.94235293240890017</v>
      </c>
      <c r="T39" s="162">
        <f t="shared" si="47"/>
        <v>0.95186496396510301</v>
      </c>
      <c r="U39" s="161">
        <f t="shared" si="47"/>
        <v>0.94315380148689687</v>
      </c>
      <c r="V39" s="163">
        <f t="shared" si="47"/>
        <v>0.94701703041508389</v>
      </c>
      <c r="W39" s="162">
        <f t="shared" si="47"/>
        <v>0.95281195819038011</v>
      </c>
      <c r="X39" s="162">
        <f t="shared" si="47"/>
        <v>0.95516247271529175</v>
      </c>
      <c r="Y39" s="162">
        <f t="shared" si="47"/>
        <v>0.95464170031130924</v>
      </c>
      <c r="Z39" s="161">
        <f t="shared" si="47"/>
        <v>0.95040695586580193</v>
      </c>
      <c r="AA39" s="163">
        <f t="shared" si="47"/>
        <v>0.95323504974319884</v>
      </c>
      <c r="AB39" s="162">
        <f t="shared" si="47"/>
        <v>0.95476629408975133</v>
      </c>
      <c r="AC39" s="162">
        <f t="shared" si="47"/>
        <v>0.97555029720521391</v>
      </c>
      <c r="AD39" s="162">
        <f t="shared" si="47"/>
        <v>0.96758548650258547</v>
      </c>
      <c r="AE39" s="161">
        <f t="shared" si="47"/>
        <v>0.95968522724665606</v>
      </c>
      <c r="AF39" s="163">
        <f t="shared" si="47"/>
        <v>0.96419221390334731</v>
      </c>
      <c r="AG39" s="162">
        <f t="shared" si="47"/>
        <v>0.95951139613540593</v>
      </c>
      <c r="AH39" s="162">
        <f t="shared" si="47"/>
        <v>0.95521178915972527</v>
      </c>
      <c r="AI39" s="162">
        <f t="shared" ref="AI39:AZ39" si="48">1-AI35</f>
        <v>0.95131192969600997</v>
      </c>
      <c r="AJ39" s="161">
        <f t="shared" si="48"/>
        <v>0.94487920905573863</v>
      </c>
      <c r="AK39" s="163">
        <f t="shared" si="48"/>
        <v>0.95205933120584574</v>
      </c>
      <c r="AL39" s="162">
        <f t="shared" si="48"/>
        <v>0.95654148893964752</v>
      </c>
      <c r="AM39" s="162">
        <f t="shared" si="48"/>
        <v>0.96069302187920846</v>
      </c>
      <c r="AN39" s="162">
        <f t="shared" si="48"/>
        <v>0.9594391121739887</v>
      </c>
      <c r="AO39" s="161">
        <f t="shared" si="48"/>
        <v>0.95267136012289666</v>
      </c>
      <c r="AP39" s="163">
        <f t="shared" si="48"/>
        <v>0.95730039551991408</v>
      </c>
      <c r="AQ39" s="162">
        <f t="shared" si="48"/>
        <v>0.94014408534638283</v>
      </c>
      <c r="AR39" s="162">
        <f t="shared" si="48"/>
        <v>0.93922627659816227</v>
      </c>
      <c r="AS39" s="162">
        <f t="shared" si="48"/>
        <v>0.94637809391181249</v>
      </c>
      <c r="AT39" s="161">
        <f t="shared" si="48"/>
        <v>0.94299999999999995</v>
      </c>
      <c r="AU39" s="163">
        <f t="shared" si="48"/>
        <v>0.94010200076756067</v>
      </c>
      <c r="AV39" s="162">
        <f t="shared" si="48"/>
        <v>0.93609816810412227</v>
      </c>
      <c r="AW39" s="162">
        <f t="shared" si="48"/>
        <v>0.92073024396674397</v>
      </c>
      <c r="AX39" s="162">
        <f t="shared" si="48"/>
        <v>0.93401298656502774</v>
      </c>
      <c r="AY39" s="161">
        <f t="shared" si="48"/>
        <v>0.92908486836029702</v>
      </c>
      <c r="AZ39" s="163">
        <f t="shared" si="48"/>
        <v>0.92986424573726878</v>
      </c>
      <c r="BA39" s="162">
        <f>1-BA35</f>
        <v>0.93782539046856228</v>
      </c>
      <c r="BB39" s="162">
        <f>1-BB35</f>
        <v>0.93315769865346743</v>
      </c>
      <c r="BC39" s="162">
        <f>1-BC35</f>
        <v>0.93944682803097768</v>
      </c>
      <c r="BD39" s="161">
        <f t="shared" ref="BD39:BJ39" si="49">1-BD35</f>
        <v>0.93308486836029703</v>
      </c>
      <c r="BE39" s="163">
        <f t="shared" si="49"/>
        <v>0.93737660050006233</v>
      </c>
      <c r="BF39" s="162">
        <f t="shared" si="49"/>
        <v>0.94391417238630804</v>
      </c>
      <c r="BG39" s="162">
        <f t="shared" si="49"/>
        <v>0.92983685268223193</v>
      </c>
      <c r="BH39" s="162">
        <f t="shared" si="49"/>
        <v>0.93855357609543444</v>
      </c>
      <c r="BI39" s="162">
        <f t="shared" si="49"/>
        <v>0.93909087437224315</v>
      </c>
      <c r="BJ39" s="163">
        <f t="shared" si="49"/>
        <v>0.93773133744135095</v>
      </c>
      <c r="BK39" s="162">
        <f>1-BK35</f>
        <v>0.92815772369466309</v>
      </c>
      <c r="BL39" s="162">
        <f t="shared" ref="BL39:BS39" si="50">1-BL35</f>
        <v>0.92224767072113145</v>
      </c>
      <c r="BM39" s="162">
        <f>1-BM35</f>
        <v>0.9094522667562086</v>
      </c>
      <c r="BN39" s="161">
        <f t="shared" si="50"/>
        <v>0.91076481598351589</v>
      </c>
      <c r="BO39" s="1429">
        <f t="shared" si="50"/>
        <v>0.91764556865192848</v>
      </c>
      <c r="BP39" s="162">
        <f t="shared" si="50"/>
        <v>0.90879502847431948</v>
      </c>
      <c r="BQ39" s="162">
        <f t="shared" si="50"/>
        <v>0.91051121355815889</v>
      </c>
      <c r="BR39" s="162">
        <f t="shared" si="50"/>
        <v>0.90346939959220274</v>
      </c>
      <c r="BS39" s="161">
        <f t="shared" si="50"/>
        <v>0.91021783771638776</v>
      </c>
      <c r="BT39" s="1429">
        <f>1-BT35</f>
        <v>0.90831654468067191</v>
      </c>
      <c r="BU39" s="162">
        <f t="shared" ref="BU39:CD39" si="51">1-BU35</f>
        <v>0.91279502847431948</v>
      </c>
      <c r="BV39" s="162">
        <f t="shared" si="51"/>
        <v>0.90637967918008666</v>
      </c>
      <c r="BW39" s="162">
        <f t="shared" si="51"/>
        <v>0.90877424273566798</v>
      </c>
      <c r="BX39" s="161">
        <f>1-BX35</f>
        <v>0.91091087563867001</v>
      </c>
      <c r="BY39" s="1437">
        <f t="shared" si="51"/>
        <v>0.90898495073636765</v>
      </c>
      <c r="BZ39" s="162">
        <f>1-BZ35</f>
        <v>0.91806110297460519</v>
      </c>
      <c r="CA39" s="162">
        <f>1-CA35</f>
        <v>0.91231737342681818</v>
      </c>
      <c r="CB39" s="162">
        <f>1-CB35</f>
        <v>0.91550962460413088</v>
      </c>
      <c r="CC39" s="162">
        <f t="shared" si="51"/>
        <v>0.91798741273912732</v>
      </c>
      <c r="CD39" s="1437">
        <f t="shared" si="51"/>
        <v>0.91603598738870462</v>
      </c>
      <c r="CE39" s="162">
        <f t="shared" ref="CE39" si="52">1-CE35</f>
        <v>0.91589423707011242</v>
      </c>
      <c r="CF39" s="162">
        <f>1-CF35</f>
        <v>0.92005848112201594</v>
      </c>
      <c r="CG39" s="162">
        <f>1-CG35</f>
        <v>0.91029649620626185</v>
      </c>
      <c r="CH39" s="162">
        <f>1-CH35</f>
        <v>0.9148853040162257</v>
      </c>
      <c r="CI39" s="1437">
        <f t="shared" ref="CI39:CN39" si="53">1-CI35</f>
        <v>0.9152081765496658</v>
      </c>
      <c r="CJ39" s="162">
        <f t="shared" si="53"/>
        <v>0.92200272167559127</v>
      </c>
      <c r="CK39" s="168">
        <f t="shared" si="53"/>
        <v>0.92255848112201588</v>
      </c>
      <c r="CL39" s="168">
        <f t="shared" si="53"/>
        <v>0.9127964962062618</v>
      </c>
      <c r="CM39" s="169">
        <f t="shared" si="53"/>
        <v>0.91738530401622564</v>
      </c>
      <c r="CN39" s="1018">
        <f t="shared" si="53"/>
        <v>0.91855796346079632</v>
      </c>
      <c r="CO39" s="168">
        <f t="shared" ref="CO39:CX39" si="54">1-CO35</f>
        <v>0.92450272167559133</v>
      </c>
      <c r="CP39" s="168">
        <f t="shared" si="54"/>
        <v>0.92505848112201594</v>
      </c>
      <c r="CQ39" s="168">
        <f t="shared" si="54"/>
        <v>0.91529649620626186</v>
      </c>
      <c r="CR39" s="169">
        <f t="shared" si="54"/>
        <v>0.91988530401622559</v>
      </c>
      <c r="CS39" s="1018">
        <f t="shared" si="54"/>
        <v>0.92105818860452371</v>
      </c>
      <c r="CT39" s="168">
        <f t="shared" si="54"/>
        <v>0.92700272167559128</v>
      </c>
      <c r="CU39" s="168">
        <f t="shared" si="54"/>
        <v>0.92755848112201589</v>
      </c>
      <c r="CV39" s="168">
        <f t="shared" si="54"/>
        <v>0.91779649620626191</v>
      </c>
      <c r="CW39" s="169">
        <f t="shared" si="54"/>
        <v>0.92238530401622565</v>
      </c>
      <c r="CX39" s="1018">
        <f t="shared" si="54"/>
        <v>0.92357981368463926</v>
      </c>
      <c r="DA39" s="143"/>
      <c r="DB39" s="142"/>
      <c r="DC39" s="142"/>
    </row>
    <row r="40" spans="1:107" ht="10.5" hidden="1" customHeight="1" outlineLevel="1">
      <c r="A40" s="234" t="s">
        <v>721</v>
      </c>
      <c r="B40" s="115" t="s">
        <v>17</v>
      </c>
      <c r="C40" s="216"/>
      <c r="D40" s="137"/>
      <c r="E40" s="137"/>
      <c r="F40" s="138"/>
      <c r="G40" s="139"/>
      <c r="H40" s="137"/>
      <c r="I40" s="162">
        <f t="shared" ref="I40:AZ40" si="55">1-I37</f>
        <v>-0.17466063348416294</v>
      </c>
      <c r="J40" s="162">
        <f t="shared" si="55"/>
        <v>0.27640603566529487</v>
      </c>
      <c r="K40" s="161">
        <f t="shared" si="55"/>
        <v>0.51596091205211736</v>
      </c>
      <c r="L40" s="161">
        <f t="shared" si="55"/>
        <v>0.36009983647473964</v>
      </c>
      <c r="M40" s="162">
        <f t="shared" si="55"/>
        <v>0.51107491856677523</v>
      </c>
      <c r="N40" s="162">
        <f t="shared" si="55"/>
        <v>0.47565043362241499</v>
      </c>
      <c r="O40" s="162">
        <f t="shared" si="55"/>
        <v>0.5033132994298043</v>
      </c>
      <c r="P40" s="161">
        <f t="shared" si="55"/>
        <v>0.47317415730337098</v>
      </c>
      <c r="Q40" s="163">
        <f t="shared" si="55"/>
        <v>0.49038648281219654</v>
      </c>
      <c r="R40" s="162">
        <f t="shared" si="55"/>
        <v>0.50351972373489173</v>
      </c>
      <c r="S40" s="162">
        <f t="shared" si="55"/>
        <v>0.46242697822623469</v>
      </c>
      <c r="T40" s="162">
        <f t="shared" si="55"/>
        <v>0.45128887813142926</v>
      </c>
      <c r="U40" s="161">
        <f t="shared" si="55"/>
        <v>0.41008819100881932</v>
      </c>
      <c r="V40" s="163">
        <f t="shared" si="55"/>
        <v>0.45417203114462634</v>
      </c>
      <c r="W40" s="162">
        <f t="shared" si="55"/>
        <v>0.47467899332306107</v>
      </c>
      <c r="X40" s="162">
        <f t="shared" si="55"/>
        <v>0.45623979248727065</v>
      </c>
      <c r="Y40" s="162">
        <f t="shared" si="55"/>
        <v>0.46408739189804282</v>
      </c>
      <c r="Z40" s="161">
        <f t="shared" si="55"/>
        <v>0.49848917240221613</v>
      </c>
      <c r="AA40" s="163">
        <f t="shared" si="55"/>
        <v>0.4741072880607764</v>
      </c>
      <c r="AB40" s="162">
        <f t="shared" si="55"/>
        <v>0.36494745871756384</v>
      </c>
      <c r="AC40" s="162">
        <f t="shared" si="55"/>
        <v>0.32337921307329409</v>
      </c>
      <c r="AD40" s="162">
        <f t="shared" si="55"/>
        <v>0.33265235156046247</v>
      </c>
      <c r="AE40" s="161">
        <f t="shared" si="55"/>
        <v>0.41272470919985893</v>
      </c>
      <c r="AF40" s="163">
        <f t="shared" si="55"/>
        <v>0.36227356522315068</v>
      </c>
      <c r="AG40" s="162">
        <f t="shared" si="55"/>
        <v>0.37998557147274037</v>
      </c>
      <c r="AH40" s="162">
        <f t="shared" si="55"/>
        <v>0.37878410365018067</v>
      </c>
      <c r="AI40" s="162">
        <f t="shared" si="55"/>
        <v>0.40473579782790303</v>
      </c>
      <c r="AJ40" s="161">
        <f t="shared" si="55"/>
        <v>0.46930682871562468</v>
      </c>
      <c r="AK40" s="163">
        <f t="shared" si="55"/>
        <v>0.4116307812398361</v>
      </c>
      <c r="AL40" s="162">
        <f t="shared" si="55"/>
        <v>0.41090871293818043</v>
      </c>
      <c r="AM40" s="162">
        <f t="shared" si="55"/>
        <v>0.45953712844137329</v>
      </c>
      <c r="AN40" s="162">
        <f t="shared" si="55"/>
        <v>0.45859136322351579</v>
      </c>
      <c r="AO40" s="161">
        <f t="shared" si="55"/>
        <v>0.55333923477918756</v>
      </c>
      <c r="AP40" s="163">
        <f t="shared" si="55"/>
        <v>0.47508822069627543</v>
      </c>
      <c r="AQ40" s="162">
        <f t="shared" si="55"/>
        <v>0.58283360865334577</v>
      </c>
      <c r="AR40" s="162">
        <f t="shared" si="55"/>
        <v>0.63579721188757898</v>
      </c>
      <c r="AS40" s="162">
        <f t="shared" si="55"/>
        <v>0.67083665673145543</v>
      </c>
      <c r="AT40" s="161">
        <f t="shared" si="55"/>
        <v>0.65071684229469517</v>
      </c>
      <c r="AU40" s="163">
        <f t="shared" si="55"/>
        <v>0.63619933283993513</v>
      </c>
      <c r="AV40" s="162">
        <f t="shared" si="55"/>
        <v>0.6694624926166568</v>
      </c>
      <c r="AW40" s="162">
        <f t="shared" si="55"/>
        <v>0.67568833789822691</v>
      </c>
      <c r="AX40" s="162">
        <f t="shared" si="55"/>
        <v>0.68918854148359987</v>
      </c>
      <c r="AY40" s="161">
        <f t="shared" si="55"/>
        <v>0.70167683721900587</v>
      </c>
      <c r="AZ40" s="163">
        <f t="shared" si="55"/>
        <v>0.68540825243865</v>
      </c>
      <c r="BA40" s="162">
        <f>1-BA37</f>
        <v>0.63163635441239885</v>
      </c>
      <c r="BB40" s="162">
        <f>1-BB37</f>
        <v>0.67507076401246879</v>
      </c>
      <c r="BC40" s="162">
        <f>1-BC37</f>
        <v>0.64313960593518338</v>
      </c>
      <c r="BD40" s="161">
        <f t="shared" ref="BD40:BJ40" si="56">1-BD37</f>
        <v>0.70167683721900587</v>
      </c>
      <c r="BE40" s="163">
        <f t="shared" si="56"/>
        <v>0.65351570171864415</v>
      </c>
      <c r="BF40" s="162">
        <f t="shared" si="56"/>
        <v>0.62620345090583518</v>
      </c>
      <c r="BG40" s="162">
        <f t="shared" si="56"/>
        <v>0.61642245602078627</v>
      </c>
      <c r="BH40" s="162">
        <f t="shared" si="56"/>
        <v>0.62762466179027399</v>
      </c>
      <c r="BI40" s="162">
        <f t="shared" si="56"/>
        <v>0.65126169281834645</v>
      </c>
      <c r="BJ40" s="163">
        <f t="shared" si="56"/>
        <v>0.6310457448894301</v>
      </c>
      <c r="BK40" s="162">
        <f>1-BK37</f>
        <v>0.60932311858873289</v>
      </c>
      <c r="BL40" s="162">
        <f t="shared" ref="BL40:BS40" si="57">1-BL37</f>
        <v>0.62251977431633509</v>
      </c>
      <c r="BM40" s="162">
        <f>1-BM37</f>
        <v>0.62272987367401733</v>
      </c>
      <c r="BN40" s="161">
        <f t="shared" si="57"/>
        <v>0.62177543052360029</v>
      </c>
      <c r="BO40" s="1429">
        <f t="shared" si="57"/>
        <v>0.61920113752721972</v>
      </c>
      <c r="BP40" s="162">
        <f t="shared" si="57"/>
        <v>0.57870850499034276</v>
      </c>
      <c r="BQ40" s="162">
        <f t="shared" si="57"/>
        <v>0.58796440628145397</v>
      </c>
      <c r="BR40" s="162">
        <f t="shared" si="57"/>
        <v>0.56025164164026275</v>
      </c>
      <c r="BS40" s="161">
        <f t="shared" si="57"/>
        <v>0.56082561005986786</v>
      </c>
      <c r="BT40" s="1429">
        <f>1-BT37</f>
        <v>0.57181292045233778</v>
      </c>
      <c r="BU40" s="162">
        <f t="shared" ref="BU40:CD40" si="58">1-BU37</f>
        <v>0.6</v>
      </c>
      <c r="BV40" s="162">
        <f t="shared" si="58"/>
        <v>0.47199028656395992</v>
      </c>
      <c r="BW40" s="162">
        <f t="shared" si="58"/>
        <v>0.44572839941780973</v>
      </c>
      <c r="BX40" s="161">
        <f>1-BX37</f>
        <v>0.38262836976081904</v>
      </c>
      <c r="BY40" s="1437">
        <f t="shared" si="58"/>
        <v>0.45104275625418577</v>
      </c>
      <c r="BZ40" s="162">
        <f>1-BZ37</f>
        <v>0.36593643110392682</v>
      </c>
      <c r="CA40" s="162">
        <f>1-CA37</f>
        <v>0.40149028278242371</v>
      </c>
      <c r="CB40" s="162">
        <f>1-CB37</f>
        <v>0.38572614833267782</v>
      </c>
      <c r="CC40" s="162">
        <f t="shared" si="58"/>
        <v>0.38067138947029455</v>
      </c>
      <c r="CD40" s="1437">
        <f t="shared" si="58"/>
        <v>0.38364609602663835</v>
      </c>
      <c r="CE40" s="162">
        <f t="shared" ref="CE40" si="59">1-CE37</f>
        <v>0.28479524496306985</v>
      </c>
      <c r="CF40" s="162">
        <f>1-CF37</f>
        <v>0.30624599204822367</v>
      </c>
      <c r="CG40" s="162">
        <f>1-CG37</f>
        <v>0.2637304633332439</v>
      </c>
      <c r="CH40" s="162">
        <f>1-CH37</f>
        <v>0.27715489416641181</v>
      </c>
      <c r="CI40" s="1437">
        <f t="shared" ref="CI40:CN40" si="60">1-CI37</f>
        <v>0.28317808314293225</v>
      </c>
      <c r="CJ40" s="162">
        <f t="shared" si="60"/>
        <v>0.28637229011852849</v>
      </c>
      <c r="CK40" s="168">
        <f t="shared" si="60"/>
        <v>0.30874599204822362</v>
      </c>
      <c r="CL40" s="168">
        <f t="shared" si="60"/>
        <v>0.26623046333324385</v>
      </c>
      <c r="CM40" s="169">
        <f t="shared" si="60"/>
        <v>0.27965489416641176</v>
      </c>
      <c r="CN40" s="1018">
        <f t="shared" si="60"/>
        <v>0.28557588112241272</v>
      </c>
      <c r="CO40" s="168">
        <f t="shared" ref="CO40:CX40" si="61">1-CO37</f>
        <v>0.28887229011852844</v>
      </c>
      <c r="CP40" s="168">
        <f t="shared" si="61"/>
        <v>0.31124599204822356</v>
      </c>
      <c r="CQ40" s="168">
        <f t="shared" si="61"/>
        <v>0.2687304633332438</v>
      </c>
      <c r="CR40" s="169">
        <f t="shared" si="61"/>
        <v>0.28215489416641171</v>
      </c>
      <c r="CS40" s="1018">
        <f t="shared" si="61"/>
        <v>0.28812161496416167</v>
      </c>
      <c r="CT40" s="168">
        <f t="shared" si="61"/>
        <v>0.29137229011852839</v>
      </c>
      <c r="CU40" s="168">
        <f t="shared" si="61"/>
        <v>0.31374599204822351</v>
      </c>
      <c r="CV40" s="168">
        <f t="shared" si="61"/>
        <v>0.27123046333324374</v>
      </c>
      <c r="CW40" s="169">
        <f t="shared" si="61"/>
        <v>0.28465489416641165</v>
      </c>
      <c r="CX40" s="1018">
        <f t="shared" si="61"/>
        <v>0.29075572620404821</v>
      </c>
      <c r="DA40" s="143"/>
      <c r="DB40" s="142"/>
      <c r="DC40" s="142"/>
    </row>
    <row r="41" spans="1:107" collapsed="1">
      <c r="A41" s="665" t="s">
        <v>448</v>
      </c>
      <c r="B41" s="115" t="s">
        <v>19</v>
      </c>
      <c r="C41" s="235">
        <f t="shared" ref="C41:AH41" si="62">C38/C24</f>
        <v>0.93915536114345111</v>
      </c>
      <c r="D41" s="164">
        <f t="shared" si="62"/>
        <v>0.93502047411600941</v>
      </c>
      <c r="E41" s="164">
        <f t="shared" si="62"/>
        <v>0.93139416263290864</v>
      </c>
      <c r="F41" s="236">
        <f t="shared" si="62"/>
        <v>0.9280449081424359</v>
      </c>
      <c r="G41" s="237">
        <f t="shared" si="62"/>
        <v>0.93376459681878798</v>
      </c>
      <c r="H41" s="164">
        <f t="shared" si="62"/>
        <v>0.92162256995251879</v>
      </c>
      <c r="I41" s="164">
        <f t="shared" si="62"/>
        <v>0.92080577516314344</v>
      </c>
      <c r="J41" s="164">
        <f t="shared" si="62"/>
        <v>0.88894934340544585</v>
      </c>
      <c r="K41" s="236">
        <f t="shared" si="62"/>
        <v>0.90998934343331506</v>
      </c>
      <c r="L41" s="236">
        <f t="shared" si="62"/>
        <v>0.91046611057119409</v>
      </c>
      <c r="M41" s="164">
        <f t="shared" si="62"/>
        <v>0.92468044258071025</v>
      </c>
      <c r="N41" s="164">
        <f t="shared" si="62"/>
        <v>0.92704578536042936</v>
      </c>
      <c r="O41" s="164">
        <f t="shared" si="62"/>
        <v>0.93081956117096287</v>
      </c>
      <c r="P41" s="236">
        <f t="shared" si="62"/>
        <v>0.92964867563150821</v>
      </c>
      <c r="Q41" s="237">
        <f t="shared" si="62"/>
        <v>0.92815441448496971</v>
      </c>
      <c r="R41" s="164">
        <f t="shared" si="62"/>
        <v>0.9428701028394848</v>
      </c>
      <c r="S41" s="164">
        <f t="shared" si="62"/>
        <v>0.93353816891620034</v>
      </c>
      <c r="T41" s="164">
        <f t="shared" si="62"/>
        <v>0.94161941775469205</v>
      </c>
      <c r="U41" s="236">
        <f t="shared" si="62"/>
        <v>0.93161382252003477</v>
      </c>
      <c r="V41" s="237">
        <f t="shared" si="62"/>
        <v>0.93736998081701373</v>
      </c>
      <c r="W41" s="164">
        <f t="shared" si="62"/>
        <v>0.94296885903882999</v>
      </c>
      <c r="X41" s="164">
        <f t="shared" si="62"/>
        <v>0.94469274981906293</v>
      </c>
      <c r="Y41" s="164">
        <f t="shared" si="62"/>
        <v>0.94357741371840853</v>
      </c>
      <c r="Z41" s="236">
        <f t="shared" si="62"/>
        <v>0.93985747622807725</v>
      </c>
      <c r="AA41" s="237">
        <f t="shared" si="62"/>
        <v>0.94274688618999658</v>
      </c>
      <c r="AB41" s="164">
        <f t="shared" si="62"/>
        <v>0.9379826630336946</v>
      </c>
      <c r="AC41" s="164">
        <f t="shared" si="62"/>
        <v>0.95444845905932119</v>
      </c>
      <c r="AD41" s="164">
        <f t="shared" si="62"/>
        <v>0.94332861168632554</v>
      </c>
      <c r="AE41" s="236">
        <f t="shared" si="62"/>
        <v>0.93693846886795906</v>
      </c>
      <c r="AF41" s="237">
        <f t="shared" si="62"/>
        <v>0.94301906573991379</v>
      </c>
      <c r="AG41" s="164">
        <f t="shared" si="62"/>
        <v>0.93353474785458113</v>
      </c>
      <c r="AH41" s="164">
        <f t="shared" si="62"/>
        <v>0.93038814233808187</v>
      </c>
      <c r="AI41" s="164">
        <f t="shared" ref="AI41:AZ41" si="63">AI38/AI24</f>
        <v>0.92673003900498541</v>
      </c>
      <c r="AJ41" s="236">
        <f t="shared" si="63"/>
        <v>0.9246102165140675</v>
      </c>
      <c r="AK41" s="237">
        <f t="shared" si="63"/>
        <v>0.92838140512577894</v>
      </c>
      <c r="AL41" s="164">
        <f t="shared" si="63"/>
        <v>0.93296048604911019</v>
      </c>
      <c r="AM41" s="164">
        <f t="shared" si="63"/>
        <v>0.9349341403517476</v>
      </c>
      <c r="AN41" s="164">
        <f t="shared" si="63"/>
        <v>0.93209295615588272</v>
      </c>
      <c r="AO41" s="236">
        <f t="shared" si="63"/>
        <v>0.93049281056177147</v>
      </c>
      <c r="AP41" s="237">
        <f t="shared" si="63"/>
        <v>0.93260349692406652</v>
      </c>
      <c r="AQ41" s="164">
        <f t="shared" si="63"/>
        <v>0.9200651076437899</v>
      </c>
      <c r="AR41" s="164">
        <f t="shared" si="63"/>
        <v>0.92001396392369217</v>
      </c>
      <c r="AS41" s="164">
        <f t="shared" si="63"/>
        <v>0.92755771626664685</v>
      </c>
      <c r="AT41" s="236">
        <f t="shared" si="63"/>
        <v>0.91632718547755587</v>
      </c>
      <c r="AU41" s="237">
        <f t="shared" si="63"/>
        <v>0.92086604457180998</v>
      </c>
      <c r="AV41" s="164">
        <f t="shared" si="63"/>
        <v>0.91769884709444505</v>
      </c>
      <c r="AW41" s="164">
        <f t="shared" si="63"/>
        <v>0.90630994607835336</v>
      </c>
      <c r="AX41" s="164">
        <f t="shared" si="63"/>
        <v>0.9185393797352166</v>
      </c>
      <c r="AY41" s="236">
        <f t="shared" si="63"/>
        <v>0.91178198038386982</v>
      </c>
      <c r="AZ41" s="237">
        <f t="shared" si="63"/>
        <v>0.91352210526315791</v>
      </c>
      <c r="BA41" s="164">
        <f>BA38/BA24</f>
        <v>0.91433444973562483</v>
      </c>
      <c r="BB41" s="164">
        <f>BB38/BB24</f>
        <v>0.91203787411586834</v>
      </c>
      <c r="BC41" s="164">
        <f>BC38/BC24</f>
        <v>0.91408115971780834</v>
      </c>
      <c r="BD41" s="236">
        <f t="shared" ref="BD41:BJ41" si="64">BD38/BD24</f>
        <v>0.91687012492177744</v>
      </c>
      <c r="BE41" s="237">
        <f t="shared" si="64"/>
        <v>0.91440917515009768</v>
      </c>
      <c r="BF41" s="164">
        <f t="shared" si="64"/>
        <v>0.9164147260863742</v>
      </c>
      <c r="BG41" s="164">
        <f t="shared" si="64"/>
        <v>0.90366214919485011</v>
      </c>
      <c r="BH41" s="164">
        <f>BH38/BH24</f>
        <v>0.9105841307446001</v>
      </c>
      <c r="BI41" s="164">
        <f t="shared" si="64"/>
        <v>0.91262740283745492</v>
      </c>
      <c r="BJ41" s="237">
        <f t="shared" si="64"/>
        <v>0.91073573288867471</v>
      </c>
      <c r="BK41" s="164">
        <f>BK38/BK24</f>
        <v>0.89405014322240994</v>
      </c>
      <c r="BL41" s="164">
        <f t="shared" ref="BL41:BS41" si="65">BL38/BL24</f>
        <v>0.88928691236149859</v>
      </c>
      <c r="BM41" s="164">
        <f>BM38/BM24</f>
        <v>0.87672228145578568</v>
      </c>
      <c r="BN41" s="236">
        <f t="shared" si="65"/>
        <v>0.87893239793836797</v>
      </c>
      <c r="BO41" s="1429">
        <f t="shared" si="65"/>
        <v>0.8847276610015683</v>
      </c>
      <c r="BP41" s="164">
        <f t="shared" si="65"/>
        <v>0.87410610726712801</v>
      </c>
      <c r="BQ41" s="164">
        <f t="shared" si="65"/>
        <v>0.87661204559411654</v>
      </c>
      <c r="BR41" s="164">
        <f t="shared" si="65"/>
        <v>0.86629918769376446</v>
      </c>
      <c r="BS41" s="236">
        <f t="shared" si="65"/>
        <v>0.8723195518983945</v>
      </c>
      <c r="BT41" s="1429">
        <f>BT38/BT24</f>
        <v>0.87239650210450059</v>
      </c>
      <c r="BU41" s="164">
        <f t="shared" ref="BU41:CD41" si="66">BU38/BU24</f>
        <v>0.87170894560941814</v>
      </c>
      <c r="BV41" s="164">
        <f t="shared" si="66"/>
        <v>0.86389716372472591</v>
      </c>
      <c r="BW41" s="164">
        <f t="shared" si="66"/>
        <v>0.8656681732481063</v>
      </c>
      <c r="BX41" s="236">
        <f>BX38/BX24</f>
        <v>0.86461997973061921</v>
      </c>
      <c r="BY41" s="1429">
        <f t="shared" si="66"/>
        <v>0.86635063500010734</v>
      </c>
      <c r="BZ41" s="164">
        <f>BZ38/BZ24</f>
        <v>0.87336979112073354</v>
      </c>
      <c r="CA41" s="164">
        <f>CA38/CA24</f>
        <v>0.86903923546641948</v>
      </c>
      <c r="CB41" s="164">
        <f>CB38/CB24</f>
        <v>0.87410850107960092</v>
      </c>
      <c r="CC41" s="164">
        <f t="shared" si="66"/>
        <v>0.87648989473514061</v>
      </c>
      <c r="CD41" s="1429">
        <f t="shared" si="66"/>
        <v>0.87337708367851352</v>
      </c>
      <c r="CE41" s="164">
        <f t="shared" ref="CE41" si="67">CE38/CE24</f>
        <v>0.87295958840326682</v>
      </c>
      <c r="CF41" s="164">
        <f>CF38/CF24</f>
        <v>0.87955016110010775</v>
      </c>
      <c r="CG41" s="164">
        <f>CG38/CG24</f>
        <v>0.87104157681874816</v>
      </c>
      <c r="CH41" s="164">
        <f>CH38/CH24</f>
        <v>0.87746804910806608</v>
      </c>
      <c r="CI41" s="1429">
        <f t="shared" ref="CI41:CN41" si="68">CI38/CI24</f>
        <v>0.87531460979619946</v>
      </c>
      <c r="CJ41" s="164">
        <f t="shared" si="68"/>
        <v>0.88715344835630727</v>
      </c>
      <c r="CK41" s="165">
        <f t="shared" si="68"/>
        <v>0.88346832576898826</v>
      </c>
      <c r="CL41" s="165">
        <f t="shared" si="68"/>
        <v>0.87566302215809277</v>
      </c>
      <c r="CM41" s="166">
        <f t="shared" si="68"/>
        <v>0.88174202039869698</v>
      </c>
      <c r="CN41" s="1128">
        <f t="shared" si="68"/>
        <v>0.88188336378061971</v>
      </c>
      <c r="CO41" s="165">
        <f t="shared" ref="CO41:CX41" si="69">CO38/CO24</f>
        <v>0.89207398002722149</v>
      </c>
      <c r="CP41" s="165">
        <f t="shared" si="69"/>
        <v>0.88844787083433119</v>
      </c>
      <c r="CQ41" s="165">
        <f t="shared" si="69"/>
        <v>0.88080595815029761</v>
      </c>
      <c r="CR41" s="166">
        <f t="shared" si="69"/>
        <v>0.88686345564780045</v>
      </c>
      <c r="CS41" s="1128">
        <f t="shared" si="69"/>
        <v>0.88693110401402808</v>
      </c>
      <c r="CT41" s="165">
        <f t="shared" si="69"/>
        <v>0.89725995424070781</v>
      </c>
      <c r="CU41" s="165">
        <f t="shared" si="69"/>
        <v>0.89355041806769775</v>
      </c>
      <c r="CV41" s="165">
        <f t="shared" si="69"/>
        <v>0.88609814376230267</v>
      </c>
      <c r="CW41" s="166">
        <f t="shared" si="69"/>
        <v>0.89214596556062598</v>
      </c>
      <c r="CX41" s="1128">
        <f t="shared" si="69"/>
        <v>0.89216989674853209</v>
      </c>
      <c r="DA41" s="171"/>
      <c r="DB41" s="170"/>
      <c r="DC41" s="170"/>
    </row>
    <row r="42" spans="1:107">
      <c r="A42" s="135"/>
      <c r="B42" s="115"/>
      <c r="C42" s="116"/>
      <c r="D42" s="117"/>
      <c r="E42" s="117"/>
      <c r="F42" s="118"/>
      <c r="G42" s="119"/>
      <c r="H42" s="117"/>
      <c r="I42" s="117"/>
      <c r="J42" s="117"/>
      <c r="K42" s="118"/>
      <c r="L42" s="118"/>
      <c r="M42" s="117"/>
      <c r="N42" s="117"/>
      <c r="O42" s="117"/>
      <c r="P42" s="118"/>
      <c r="Q42" s="119"/>
      <c r="R42" s="117"/>
      <c r="S42" s="117"/>
      <c r="T42" s="117"/>
      <c r="U42" s="118"/>
      <c r="V42" s="119"/>
      <c r="W42" s="117"/>
      <c r="X42" s="117"/>
      <c r="Y42" s="117"/>
      <c r="Z42" s="118"/>
      <c r="AA42" s="120"/>
      <c r="AB42" s="121"/>
      <c r="AC42" s="121"/>
      <c r="AD42" s="121"/>
      <c r="AE42" s="122"/>
      <c r="AF42" s="120"/>
      <c r="AG42" s="121"/>
      <c r="AH42" s="121"/>
      <c r="AI42" s="121"/>
      <c r="AJ42" s="122"/>
      <c r="AK42" s="120"/>
      <c r="AL42" s="121"/>
      <c r="AM42" s="121"/>
      <c r="AN42" s="121"/>
      <c r="AO42" s="122"/>
      <c r="AP42" s="120"/>
      <c r="AQ42" s="121"/>
      <c r="AR42" s="435"/>
      <c r="AS42" s="121"/>
      <c r="AT42" s="122"/>
      <c r="AU42" s="120"/>
      <c r="AV42" s="121"/>
      <c r="AW42" s="435"/>
      <c r="AX42" s="435"/>
      <c r="AY42" s="122"/>
      <c r="AZ42" s="120"/>
      <c r="BA42" s="121"/>
      <c r="BB42" s="435"/>
      <c r="BC42" s="121"/>
      <c r="BD42" s="122"/>
      <c r="BE42" s="120"/>
      <c r="BF42" s="121"/>
      <c r="BG42" s="435"/>
      <c r="BH42" s="435"/>
      <c r="BI42" s="435"/>
      <c r="BJ42" s="120"/>
      <c r="BK42" s="121"/>
      <c r="BL42" s="435"/>
      <c r="BM42" s="435"/>
      <c r="BN42" s="122"/>
      <c r="BO42" s="1441"/>
      <c r="BP42" s="121"/>
      <c r="BQ42" s="435"/>
      <c r="BR42" s="435"/>
      <c r="BS42" s="1621"/>
      <c r="BT42" s="1441"/>
      <c r="BU42" s="664"/>
      <c r="BV42" s="1921"/>
      <c r="BW42" s="1921"/>
      <c r="BX42" s="1921"/>
      <c r="BY42" s="1923"/>
      <c r="BZ42" s="664"/>
      <c r="CA42" s="1921"/>
      <c r="CB42" s="1921"/>
      <c r="CC42" s="1921"/>
      <c r="CD42" s="1923"/>
      <c r="CE42" s="664"/>
      <c r="CF42" s="1921"/>
      <c r="CG42" s="1921"/>
      <c r="CH42" s="1921"/>
      <c r="CI42" s="1923"/>
      <c r="CJ42" s="664"/>
      <c r="CK42" s="1921"/>
      <c r="CL42" s="1921"/>
      <c r="CM42" s="1921"/>
      <c r="CN42" s="1923"/>
      <c r="CO42" s="664"/>
      <c r="CP42" s="1921"/>
      <c r="CQ42" s="1921"/>
      <c r="CR42" s="1921"/>
      <c r="CS42" s="1923"/>
      <c r="CT42" s="664"/>
      <c r="CU42" s="1921"/>
      <c r="CV42" s="1921"/>
      <c r="CW42" s="1921"/>
      <c r="CX42" s="1923"/>
      <c r="DA42" s="126"/>
      <c r="DB42" s="117"/>
      <c r="DC42" s="117"/>
    </row>
    <row r="43" spans="1:107">
      <c r="A43" s="127" t="s">
        <v>449</v>
      </c>
      <c r="B43" s="115"/>
      <c r="C43" s="205"/>
      <c r="D43" s="206"/>
      <c r="E43" s="206"/>
      <c r="F43" s="138"/>
      <c r="G43" s="139"/>
      <c r="H43" s="206"/>
      <c r="I43" s="206"/>
      <c r="J43" s="206"/>
      <c r="K43" s="138"/>
      <c r="L43" s="138"/>
      <c r="M43" s="137"/>
      <c r="N43" s="206"/>
      <c r="O43" s="206"/>
      <c r="P43" s="207"/>
      <c r="Q43" s="208"/>
      <c r="R43" s="238"/>
      <c r="S43" s="238"/>
      <c r="T43" s="238"/>
      <c r="U43" s="239"/>
      <c r="V43" s="208"/>
      <c r="W43" s="238"/>
      <c r="X43" s="238"/>
      <c r="Y43" s="238"/>
      <c r="Z43" s="239"/>
      <c r="AA43" s="208"/>
      <c r="AB43" s="238"/>
      <c r="AC43" s="238"/>
      <c r="AD43" s="238"/>
      <c r="AE43" s="239"/>
      <c r="AF43" s="208"/>
      <c r="AG43" s="238"/>
      <c r="AH43" s="238"/>
      <c r="AI43" s="238"/>
      <c r="AJ43" s="239"/>
      <c r="AK43" s="208"/>
      <c r="AL43" s="238"/>
      <c r="AM43" s="238"/>
      <c r="AN43" s="238"/>
      <c r="AO43" s="239"/>
      <c r="AP43" s="208"/>
      <c r="AQ43" s="238"/>
      <c r="AR43" s="1234"/>
      <c r="AS43" s="238"/>
      <c r="AT43" s="239"/>
      <c r="AU43" s="208"/>
      <c r="AV43" s="238"/>
      <c r="AW43" s="1234"/>
      <c r="AX43" s="1234"/>
      <c r="AY43" s="239"/>
      <c r="AZ43" s="208"/>
      <c r="BA43" s="238"/>
      <c r="BB43" s="1234"/>
      <c r="BC43" s="238"/>
      <c r="BD43" s="239"/>
      <c r="BE43" s="208"/>
      <c r="BF43" s="238"/>
      <c r="BG43" s="1234"/>
      <c r="BH43" s="1234"/>
      <c r="BI43" s="1234"/>
      <c r="BJ43" s="208"/>
      <c r="BK43" s="238"/>
      <c r="BL43" s="1234"/>
      <c r="BM43" s="1234"/>
      <c r="BN43" s="239"/>
      <c r="BO43" s="1442"/>
      <c r="BP43" s="1624"/>
      <c r="BQ43" s="1624"/>
      <c r="BR43" s="1624"/>
      <c r="BS43" s="1624"/>
      <c r="BT43" s="1442"/>
      <c r="BU43" s="664"/>
      <c r="BV43" s="1922"/>
      <c r="BW43" s="1922"/>
      <c r="BX43" s="1922"/>
      <c r="BY43" s="1923"/>
      <c r="BZ43" s="664"/>
      <c r="CA43" s="1922"/>
      <c r="CB43" s="1922"/>
      <c r="CC43" s="1922"/>
      <c r="CD43" s="1923"/>
      <c r="CE43" s="664"/>
      <c r="CF43" s="1922"/>
      <c r="CG43" s="1922"/>
      <c r="CH43" s="1922"/>
      <c r="CI43" s="1923"/>
      <c r="CJ43" s="664"/>
      <c r="CK43" s="1922"/>
      <c r="CL43" s="1922"/>
      <c r="CM43" s="1922"/>
      <c r="CN43" s="1923"/>
      <c r="CO43" s="664"/>
      <c r="CP43" s="1922"/>
      <c r="CQ43" s="1922"/>
      <c r="CR43" s="1922"/>
      <c r="CS43" s="1923"/>
      <c r="CT43" s="664"/>
      <c r="CU43" s="1922"/>
      <c r="CV43" s="1922"/>
      <c r="CW43" s="1922"/>
      <c r="CX43" s="1923"/>
      <c r="DA43" s="201"/>
      <c r="DB43" s="200"/>
      <c r="DC43" s="200"/>
    </row>
    <row r="44" spans="1:107" ht="10.5" customHeight="1">
      <c r="A44" s="240" t="s">
        <v>509</v>
      </c>
      <c r="B44" s="241"/>
      <c r="C44" s="146">
        <v>55.686999999999998</v>
      </c>
      <c r="D44" s="147">
        <v>59.597000000000001</v>
      </c>
      <c r="E44" s="147">
        <v>54.189</v>
      </c>
      <c r="F44" s="148">
        <f>224.122-SUM(C44:E44)</f>
        <v>54.649000000000029</v>
      </c>
      <c r="G44" s="149">
        <f>SUM(C44:F44)</f>
        <v>224.12200000000001</v>
      </c>
      <c r="H44" s="147">
        <v>59.296999999999997</v>
      </c>
      <c r="I44" s="147">
        <v>62.857999999999997</v>
      </c>
      <c r="J44" s="147">
        <v>59.746000000000002</v>
      </c>
      <c r="K44" s="148">
        <f>246.082-SUM(H44:J44)</f>
        <v>64.180999999999983</v>
      </c>
      <c r="L44" s="148">
        <f>SUM(H44:K44)</f>
        <v>246.08199999999999</v>
      </c>
      <c r="M44" s="147">
        <v>65.956000000000003</v>
      </c>
      <c r="N44" s="147">
        <v>69.117000000000004</v>
      </c>
      <c r="O44" s="147">
        <v>68.813999999999993</v>
      </c>
      <c r="P44" s="148">
        <f>276.98-SUM(M44:O44)</f>
        <v>73.093000000000018</v>
      </c>
      <c r="Q44" s="149">
        <f>SUM(M44:P44)</f>
        <v>276.98</v>
      </c>
      <c r="R44" s="147">
        <v>75.070999999999998</v>
      </c>
      <c r="S44" s="147">
        <v>76.052999999999997</v>
      </c>
      <c r="T44" s="147">
        <v>80.072000000000003</v>
      </c>
      <c r="U44" s="148">
        <f>311.296-SUM(R44:T44)</f>
        <v>80.099999999999994</v>
      </c>
      <c r="V44" s="149">
        <f>SUM(R44:U44)</f>
        <v>311.29599999999999</v>
      </c>
      <c r="W44" s="147">
        <v>86.686000000000007</v>
      </c>
      <c r="X44" s="147">
        <v>89.409000000000006</v>
      </c>
      <c r="Y44" s="147">
        <v>94.585999999999999</v>
      </c>
      <c r="Z44" s="148">
        <f>365.328-SUM(W44:Y44)</f>
        <v>94.646999999999935</v>
      </c>
      <c r="AA44" s="149">
        <f>SUM(W44:Z44)</f>
        <v>365.32799999999997</v>
      </c>
      <c r="AB44" s="147">
        <f>129.325-9.693-5.8</f>
        <v>113.83199999999999</v>
      </c>
      <c r="AC44" s="147">
        <f>133.285-12.129-5.639-0.5</f>
        <v>115.017</v>
      </c>
      <c r="AD44" s="147">
        <f>130.44-11.983-0.802-2.3</f>
        <v>115.35499999999999</v>
      </c>
      <c r="AE44" s="148">
        <f>142.513-13.506-1-3.656</f>
        <v>124.351</v>
      </c>
      <c r="AF44" s="149">
        <f>SUM(AB44:AE44)</f>
        <v>468.55499999999995</v>
      </c>
      <c r="AG44" s="147">
        <f>137.129-2.3-11.6-0.01</f>
        <v>123.21899999999998</v>
      </c>
      <c r="AH44" s="147">
        <f>150.049-19.38</f>
        <v>130.66900000000001</v>
      </c>
      <c r="AI44" s="147">
        <f>163.217-2.2-16.6</f>
        <v>144.41700000000003</v>
      </c>
      <c r="AJ44" s="148">
        <f>162.847-16.1-1.8</f>
        <v>144.947</v>
      </c>
      <c r="AK44" s="149">
        <f>SUM(AG44:AJ44)</f>
        <v>543.25199999999995</v>
      </c>
      <c r="AL44" s="147">
        <f>168.485-18.3</f>
        <v>150.185</v>
      </c>
      <c r="AM44" s="147">
        <f>170.3-19.5</f>
        <v>150.80000000000001</v>
      </c>
      <c r="AN44" s="147">
        <f>170.124-22</f>
        <v>148.124</v>
      </c>
      <c r="AO44" s="148">
        <f>153.148-15.5</f>
        <v>137.648</v>
      </c>
      <c r="AP44" s="149">
        <f>SUM(AL44:AO44)</f>
        <v>586.75700000000006</v>
      </c>
      <c r="AQ44" s="147">
        <f>149.917-22.1</f>
        <v>127.81700000000001</v>
      </c>
      <c r="AR44" s="147">
        <f>138.47-16.6</f>
        <v>121.87</v>
      </c>
      <c r="AS44" s="147">
        <f>138.902-18.7</f>
        <v>120.20199999999998</v>
      </c>
      <c r="AT44" s="147">
        <f>137.852-17.1</f>
        <v>120.75200000000001</v>
      </c>
      <c r="AU44" s="149">
        <f>SUM(AQ44:AT44)</f>
        <v>490.64100000000002</v>
      </c>
      <c r="AV44" s="147">
        <f>174.34-27.6</f>
        <v>146.74</v>
      </c>
      <c r="AW44" s="147">
        <f>167.318-22.6</f>
        <v>144.71800000000002</v>
      </c>
      <c r="AX44" s="147">
        <f>168.296-18.2</f>
        <v>150.096</v>
      </c>
      <c r="AY44" s="147">
        <f>170.378-20.7</f>
        <v>149.678</v>
      </c>
      <c r="AZ44" s="149">
        <f>SUM(AV44:AY44)</f>
        <v>591.23199999999997</v>
      </c>
      <c r="BA44" s="147">
        <f>178.4-27.7</f>
        <v>150.70000000000002</v>
      </c>
      <c r="BB44" s="147">
        <f>183.211-26.5</f>
        <v>156.71100000000001</v>
      </c>
      <c r="BC44" s="147">
        <f>181.039-23.4</f>
        <v>157.63899999999998</v>
      </c>
      <c r="BD44" s="147">
        <f>195.403-30</f>
        <v>165.40299999999999</v>
      </c>
      <c r="BE44" s="149">
        <f>SUM(BA44:BD44)</f>
        <v>630.45300000000009</v>
      </c>
      <c r="BF44" s="147">
        <f>177.728-25.8</f>
        <v>151.928</v>
      </c>
      <c r="BG44" s="147">
        <f>180.903-24.1</f>
        <v>156.803</v>
      </c>
      <c r="BH44" s="147">
        <f>189.145-30.4</f>
        <v>158.745</v>
      </c>
      <c r="BI44" s="147">
        <f>195.047-28.7</f>
        <v>166.34700000000001</v>
      </c>
      <c r="BJ44" s="149">
        <f>SUM(BF44:BI44)</f>
        <v>633.82299999999998</v>
      </c>
      <c r="BK44" s="147">
        <f>209.638-32</f>
        <v>177.63800000000001</v>
      </c>
      <c r="BL44" s="147">
        <f>203.097-28.3</f>
        <v>174.797</v>
      </c>
      <c r="BM44" s="147">
        <f>208.7-30.6</f>
        <v>178.1</v>
      </c>
      <c r="BN44" s="147">
        <f>205.196-31.5</f>
        <v>173.696</v>
      </c>
      <c r="BO44" s="1436">
        <f>SUM(BK44:BN44)</f>
        <v>704.23099999999999</v>
      </c>
      <c r="BP44" s="147">
        <f>209.525-31.2</f>
        <v>178.32500000000002</v>
      </c>
      <c r="BQ44" s="147">
        <f>209.092-30.2</f>
        <v>178.89200000000002</v>
      </c>
      <c r="BR44" s="147">
        <f>212.049-30.6</f>
        <v>181.44900000000001</v>
      </c>
      <c r="BS44" s="147">
        <f>213.687-31.3</f>
        <v>182.387</v>
      </c>
      <c r="BT44" s="1436">
        <f>SUM(BP44:BS44)</f>
        <v>721.05300000000011</v>
      </c>
      <c r="BU44" s="147">
        <f>215.509-31.1</f>
        <v>184.40899999999999</v>
      </c>
      <c r="BV44" s="147">
        <f>208.047-29.1</f>
        <v>178.947</v>
      </c>
      <c r="BW44" s="147">
        <f>-29+218.66</f>
        <v>189.66</v>
      </c>
      <c r="BX44" s="147">
        <f>220.514-29.5</f>
        <v>191.01400000000001</v>
      </c>
      <c r="BY44" s="1436">
        <f>SUM(BU44:BX44)</f>
        <v>744.03</v>
      </c>
      <c r="BZ44" s="147">
        <f>237.204-32.8</f>
        <v>204.404</v>
      </c>
      <c r="CA44" s="147">
        <f>232.484-30.2</f>
        <v>202.28400000000002</v>
      </c>
      <c r="CB44" s="147">
        <f>248.45-30.6</f>
        <v>217.85</v>
      </c>
      <c r="CC44" s="147">
        <f>257.849-30.9</f>
        <v>226.94899999999998</v>
      </c>
      <c r="CD44" s="1436">
        <f>SUM(BZ44:CC44)</f>
        <v>851.48699999999997</v>
      </c>
      <c r="CE44" s="147">
        <f>285.077-38.6</f>
        <v>246.477</v>
      </c>
      <c r="CF44" s="147">
        <f>299.401-48</f>
        <v>251.40100000000001</v>
      </c>
      <c r="CG44" s="147">
        <f>315.555-48.4</f>
        <v>267.15500000000003</v>
      </c>
      <c r="CH44" s="147">
        <f>324.026-50.9</f>
        <v>273.12600000000003</v>
      </c>
      <c r="CI44" s="1436">
        <f>SUM(CE44:CH44)</f>
        <v>1038.1590000000001</v>
      </c>
      <c r="CJ44" s="147">
        <f>348.769-60</f>
        <v>288.76900000000001</v>
      </c>
      <c r="CK44" s="150">
        <f>CK45*CK24</f>
        <v>297.66843515912211</v>
      </c>
      <c r="CL44" s="150">
        <f>CL45*CL24</f>
        <v>316.85138217849942</v>
      </c>
      <c r="CM44" s="150">
        <f>CM45*CM24</f>
        <v>323.89298611870186</v>
      </c>
      <c r="CN44" s="1230">
        <f>SUM(CJ44:CM44)</f>
        <v>1227.1818034563235</v>
      </c>
      <c r="CO44" s="150">
        <f>CO45*CO24</f>
        <v>336.70088212931063</v>
      </c>
      <c r="CP44" s="150">
        <f>CP45*CP24</f>
        <v>345.43117533405615</v>
      </c>
      <c r="CQ44" s="150">
        <f>CQ45*CQ24</f>
        <v>368.53296545601961</v>
      </c>
      <c r="CR44" s="150">
        <f>CR45*CR24</f>
        <v>376.31324445389743</v>
      </c>
      <c r="CS44" s="1230">
        <f>SUM(CO44:CR44)</f>
        <v>1426.9782673732839</v>
      </c>
      <c r="CT44" s="150">
        <f>CT45*CT24</f>
        <v>396.17235455121886</v>
      </c>
      <c r="CU44" s="150">
        <f>CU45*CU24</f>
        <v>396.09059648414086</v>
      </c>
      <c r="CV44" s="150">
        <f>CV45*CV24</f>
        <v>419.52043334567844</v>
      </c>
      <c r="CW44" s="150">
        <f>CW45*CW24</f>
        <v>424.98623362796246</v>
      </c>
      <c r="CX44" s="1230">
        <f>SUM(CT44:CW44)</f>
        <v>1636.7696180090006</v>
      </c>
      <c r="DA44" s="153"/>
      <c r="DB44" s="152"/>
      <c r="DC44" s="152"/>
    </row>
    <row r="45" spans="1:107" ht="10.5" hidden="1" customHeight="1" outlineLevel="1">
      <c r="A45" s="983" t="s">
        <v>135</v>
      </c>
      <c r="B45" s="984"/>
      <c r="C45" s="985">
        <f t="shared" ref="C45:AY45" si="70">C44/C$24</f>
        <v>0.16927734832157437</v>
      </c>
      <c r="D45" s="986">
        <f t="shared" si="70"/>
        <v>0.17320026853205384</v>
      </c>
      <c r="E45" s="986">
        <f t="shared" si="70"/>
        <v>0.1855038032575877</v>
      </c>
      <c r="F45" s="987">
        <f t="shared" si="70"/>
        <v>0.20658123535193179</v>
      </c>
      <c r="G45" s="988">
        <f t="shared" si="70"/>
        <v>0.18225449695865725</v>
      </c>
      <c r="H45" s="986">
        <f t="shared" si="70"/>
        <v>0.22134335712365991</v>
      </c>
      <c r="I45" s="986">
        <f t="shared" si="70"/>
        <v>0.19806591273604968</v>
      </c>
      <c r="J45" s="986">
        <f t="shared" si="70"/>
        <v>0.20972412848963945</v>
      </c>
      <c r="K45" s="987">
        <f t="shared" si="70"/>
        <v>0.21781818675463419</v>
      </c>
      <c r="L45" s="987">
        <f t="shared" si="70"/>
        <v>0.21126762981761488</v>
      </c>
      <c r="M45" s="986">
        <f t="shared" si="70"/>
        <v>0.22215261287660623</v>
      </c>
      <c r="N45" s="986">
        <f t="shared" si="70"/>
        <v>0.21589212421832543</v>
      </c>
      <c r="O45" s="986">
        <f t="shared" si="70"/>
        <v>0.2156353996277286</v>
      </c>
      <c r="P45" s="987">
        <f t="shared" si="70"/>
        <v>0.20383673651508993</v>
      </c>
      <c r="Q45" s="988">
        <f t="shared" si="70"/>
        <v>0.21392563346254762</v>
      </c>
      <c r="R45" s="986">
        <f t="shared" si="70"/>
        <v>0.17735499585381814</v>
      </c>
      <c r="S45" s="986">
        <f t="shared" si="70"/>
        <v>0.18545667361644538</v>
      </c>
      <c r="T45" s="986">
        <f t="shared" si="70"/>
        <v>0.19833891898452616</v>
      </c>
      <c r="U45" s="987">
        <f t="shared" si="70"/>
        <v>0.18649505706609051</v>
      </c>
      <c r="V45" s="988">
        <f t="shared" si="70"/>
        <v>0.1867872008621243</v>
      </c>
      <c r="W45" s="986">
        <f t="shared" si="70"/>
        <v>0.1833142306114422</v>
      </c>
      <c r="X45" s="986">
        <f t="shared" si="70"/>
        <v>0.18024954186146375</v>
      </c>
      <c r="Y45" s="986">
        <f t="shared" si="70"/>
        <v>0.19420621346545144</v>
      </c>
      <c r="Z45" s="987">
        <f t="shared" si="70"/>
        <v>0.18544744901258089</v>
      </c>
      <c r="AA45" s="988">
        <f t="shared" si="70"/>
        <v>0.18579265542096127</v>
      </c>
      <c r="AB45" s="986">
        <f t="shared" si="70"/>
        <v>0.17366257906443844</v>
      </c>
      <c r="AC45" s="986">
        <f t="shared" si="70"/>
        <v>0.18099915651122972</v>
      </c>
      <c r="AD45" s="986">
        <f t="shared" si="70"/>
        <v>0.19155882435971314</v>
      </c>
      <c r="AE45" s="987">
        <f t="shared" si="70"/>
        <v>0.18228607028988164</v>
      </c>
      <c r="AF45" s="988">
        <f t="shared" si="70"/>
        <v>0.18194190968042559</v>
      </c>
      <c r="AG45" s="986">
        <f t="shared" si="70"/>
        <v>0.18974079429387114</v>
      </c>
      <c r="AH45" s="986">
        <f t="shared" si="70"/>
        <v>0.17525889344762513</v>
      </c>
      <c r="AI45" s="986">
        <f t="shared" si="70"/>
        <v>0.16956601376563668</v>
      </c>
      <c r="AJ45" s="987">
        <f t="shared" si="70"/>
        <v>0.15907073114789</v>
      </c>
      <c r="AK45" s="1092">
        <f t="shared" si="70"/>
        <v>0.17203054833288525</v>
      </c>
      <c r="AL45" s="986">
        <f t="shared" si="70"/>
        <v>0.16866285958144525</v>
      </c>
      <c r="AM45" s="986">
        <f t="shared" si="70"/>
        <v>0.17003312714373661</v>
      </c>
      <c r="AN45" s="1250">
        <f t="shared" si="70"/>
        <v>0.16694599197301346</v>
      </c>
      <c r="AO45" s="987">
        <f t="shared" si="70"/>
        <v>0.15038550160002009</v>
      </c>
      <c r="AP45" s="1092">
        <f>AP44/AP$24</f>
        <v>0.16390368528186211</v>
      </c>
      <c r="AQ45" s="1093">
        <f t="shared" si="70"/>
        <v>0.16253640051374002</v>
      </c>
      <c r="AR45" s="1093">
        <f t="shared" si="70"/>
        <v>0.17294546548540954</v>
      </c>
      <c r="AS45" s="1093">
        <f t="shared" si="70"/>
        <v>0.17233088700185084</v>
      </c>
      <c r="AT45" s="1093">
        <f t="shared" si="70"/>
        <v>0.15945425950404274</v>
      </c>
      <c r="AU45" s="1092">
        <f>AU44/AU$24</f>
        <v>0.16655311721256971</v>
      </c>
      <c r="AV45" s="1093">
        <f t="shared" si="70"/>
        <v>0.17088622336089437</v>
      </c>
      <c r="AW45" s="1093">
        <f t="shared" si="70"/>
        <v>0.15345983977264896</v>
      </c>
      <c r="AX45" s="1093">
        <f t="shared" si="70"/>
        <v>0.15156328415389383</v>
      </c>
      <c r="AY45" s="1093">
        <f t="shared" si="70"/>
        <v>0.14849803461693387</v>
      </c>
      <c r="AZ45" s="1092">
        <f>AZ44/AZ$24</f>
        <v>0.15558736842105261</v>
      </c>
      <c r="BA45" s="1093">
        <f>BA44/BA$24</f>
        <v>0.14663726785676059</v>
      </c>
      <c r="BB45" s="1093">
        <f>BB44/BB$24</f>
        <v>0.15316088387271437</v>
      </c>
      <c r="BC45" s="1093">
        <f>BC44/BC$24</f>
        <v>0.15558343170037464</v>
      </c>
      <c r="BD45" s="1093">
        <v>0.158</v>
      </c>
      <c r="BE45" s="1092">
        <f t="shared" ref="BE45:BM45" si="71">BE44/BE$24</f>
        <v>0.14952903735966824</v>
      </c>
      <c r="BF45" s="1093">
        <f t="shared" si="71"/>
        <v>0.14535504487093626</v>
      </c>
      <c r="BG45" s="1093">
        <f t="shared" si="71"/>
        <v>0.13944874334007143</v>
      </c>
      <c r="BH45" s="1093">
        <f t="shared" si="71"/>
        <v>0.14690721649484537</v>
      </c>
      <c r="BI45" s="1093">
        <f t="shared" si="71"/>
        <v>0.14421966520667093</v>
      </c>
      <c r="BJ45" s="1092">
        <f t="shared" si="71"/>
        <v>0.14393040179831537</v>
      </c>
      <c r="BK45" s="1093">
        <f t="shared" si="71"/>
        <v>0.17625038075233687</v>
      </c>
      <c r="BL45" s="1093">
        <f t="shared" si="71"/>
        <v>0.17297231504855282</v>
      </c>
      <c r="BM45" s="1093">
        <f t="shared" si="71"/>
        <v>0.1789735699951463</v>
      </c>
      <c r="BN45" s="1093">
        <f t="shared" ref="BN45:BT45" si="72">BN44/BN$24</f>
        <v>0.16674298429776743</v>
      </c>
      <c r="BO45" s="1443">
        <f t="shared" si="72"/>
        <v>0.17365951213738276</v>
      </c>
      <c r="BP45" s="1093">
        <f t="shared" si="72"/>
        <v>0.17830360356757191</v>
      </c>
      <c r="BQ45" s="1093">
        <f t="shared" si="72"/>
        <v>0.1674692569237452</v>
      </c>
      <c r="BR45" s="1093">
        <f t="shared" si="72"/>
        <v>0.18047282250308083</v>
      </c>
      <c r="BS45" s="1093">
        <f t="shared" si="72"/>
        <v>0.16992662075339504</v>
      </c>
      <c r="BT45" s="1443">
        <f t="shared" si="72"/>
        <v>0.17387067721388505</v>
      </c>
      <c r="BU45" s="1093">
        <f t="shared" ref="BU45:CA45" si="73">BU44/BU$24</f>
        <v>0.16625690486944872</v>
      </c>
      <c r="BV45" s="1093">
        <f t="shared" si="73"/>
        <v>0.1539782026196094</v>
      </c>
      <c r="BW45" s="1093">
        <f t="shared" si="73"/>
        <v>0.15574395122880549</v>
      </c>
      <c r="BX45" s="1093">
        <f t="shared" si="73"/>
        <v>0.14621357558611275</v>
      </c>
      <c r="BY45" s="1443">
        <f t="shared" si="73"/>
        <v>0.1551513488343578</v>
      </c>
      <c r="BZ45" s="1093">
        <f t="shared" si="73"/>
        <v>0.14776174968463893</v>
      </c>
      <c r="CA45" s="1093">
        <f t="shared" si="73"/>
        <v>0.14462193351154529</v>
      </c>
      <c r="CB45" s="1093">
        <f>CB44/CB$24</f>
        <v>0.1488079990874111</v>
      </c>
      <c r="CC45" s="1093">
        <f>CC44/CC$24</f>
        <v>0.1411006709072698</v>
      </c>
      <c r="CD45" s="1443">
        <f>CD44/CD$24</f>
        <v>0.145443194299018</v>
      </c>
      <c r="CE45" s="1093">
        <f t="shared" ref="CE45:CF45" si="74">CE44/CE$24</f>
        <v>0.14656889737792617</v>
      </c>
      <c r="CF45" s="1093">
        <f t="shared" si="74"/>
        <v>0.14185894288987072</v>
      </c>
      <c r="CG45" s="1093">
        <f t="shared" ref="CG45" si="75">CG44/CG$24</f>
        <v>0.14510823573631479</v>
      </c>
      <c r="CH45" s="1093">
        <f>CC45</f>
        <v>0.1411006709072698</v>
      </c>
      <c r="CI45" s="1443">
        <f>CI44/CI$24</f>
        <v>0.14218424831592941</v>
      </c>
      <c r="CJ45" s="1093">
        <f t="shared" ref="CJ45" si="76">CJ44/CJ$24</f>
        <v>0.13890156891926536</v>
      </c>
      <c r="CK45" s="1095">
        <f>CF45-0.005</f>
        <v>0.13685894288987072</v>
      </c>
      <c r="CL45" s="1095">
        <f>CG45-0.005</f>
        <v>0.14010823573631478</v>
      </c>
      <c r="CM45" s="1095">
        <f>CH45-0.005</f>
        <v>0.13610067090726979</v>
      </c>
      <c r="CN45" s="1096">
        <f>CN44/CN$24</f>
        <v>0.13795955191409312</v>
      </c>
      <c r="CO45" s="1095">
        <f>CJ45-0.0025</f>
        <v>0.13640156891926536</v>
      </c>
      <c r="CP45" s="1095">
        <f>CK45-0.0025</f>
        <v>0.13435894288987071</v>
      </c>
      <c r="CQ45" s="1095">
        <f>CL45-0.0025</f>
        <v>0.13760823573631478</v>
      </c>
      <c r="CR45" s="1095">
        <f>CM45-0.0025</f>
        <v>0.13360067090726979</v>
      </c>
      <c r="CS45" s="1096">
        <f>CS44/CS$24</f>
        <v>0.13546090465656457</v>
      </c>
      <c r="CT45" s="1095">
        <f>CO45-0</f>
        <v>0.13640156891926536</v>
      </c>
      <c r="CU45" s="1095">
        <f>CP45-0.0025</f>
        <v>0.13185894288987071</v>
      </c>
      <c r="CV45" s="1095">
        <f>CQ45-0.0025</f>
        <v>0.13510823573631478</v>
      </c>
      <c r="CW45" s="1095">
        <f>CR45-0.0025</f>
        <v>0.13110067090726979</v>
      </c>
      <c r="CX45" s="1096">
        <f>CX44/CX$24</f>
        <v>0.13355824052847085</v>
      </c>
      <c r="DA45" s="143"/>
      <c r="DB45" s="142"/>
      <c r="DC45" s="142"/>
    </row>
    <row r="46" spans="1:107" ht="10.5" hidden="1" customHeight="1" outlineLevel="1">
      <c r="A46" s="983" t="s">
        <v>263</v>
      </c>
      <c r="B46" s="984"/>
      <c r="C46" s="985"/>
      <c r="D46" s="986"/>
      <c r="E46" s="986"/>
      <c r="F46" s="1251"/>
      <c r="G46" s="988"/>
      <c r="H46" s="986">
        <f t="shared" ref="H46:AZ46" si="77">H44/C44-1</f>
        <v>6.4826620216567488E-2</v>
      </c>
      <c r="I46" s="986">
        <f t="shared" si="77"/>
        <v>5.4717519338221665E-2</v>
      </c>
      <c r="J46" s="986">
        <f t="shared" si="77"/>
        <v>0.10254848770045588</v>
      </c>
      <c r="K46" s="987">
        <f t="shared" si="77"/>
        <v>0.17442222181558575</v>
      </c>
      <c r="L46" s="987">
        <f t="shared" si="77"/>
        <v>9.7982348899260163E-2</v>
      </c>
      <c r="M46" s="986">
        <f t="shared" si="77"/>
        <v>0.11229910450781677</v>
      </c>
      <c r="N46" s="986">
        <f t="shared" si="77"/>
        <v>9.957364217760678E-2</v>
      </c>
      <c r="O46" s="986">
        <f t="shared" si="77"/>
        <v>0.15177585110300251</v>
      </c>
      <c r="P46" s="987">
        <f t="shared" si="77"/>
        <v>0.13885729421479942</v>
      </c>
      <c r="Q46" s="988">
        <f t="shared" si="77"/>
        <v>0.12555977275867414</v>
      </c>
      <c r="R46" s="986">
        <f t="shared" si="77"/>
        <v>0.13819819273455014</v>
      </c>
      <c r="S46" s="986">
        <f t="shared" si="77"/>
        <v>0.10035157775945125</v>
      </c>
      <c r="T46" s="986">
        <f t="shared" si="77"/>
        <v>0.1636004301450289</v>
      </c>
      <c r="U46" s="987">
        <f t="shared" si="77"/>
        <v>9.5864173039825529E-2</v>
      </c>
      <c r="V46" s="988">
        <f t="shared" si="77"/>
        <v>0.12389342190771879</v>
      </c>
      <c r="W46" s="986">
        <f t="shared" si="77"/>
        <v>0.15472019821235916</v>
      </c>
      <c r="X46" s="986">
        <f t="shared" si="77"/>
        <v>0.17561437418642267</v>
      </c>
      <c r="Y46" s="986">
        <f t="shared" si="77"/>
        <v>0.18126186432211</v>
      </c>
      <c r="Z46" s="987">
        <f t="shared" si="77"/>
        <v>0.18161048689138504</v>
      </c>
      <c r="AA46" s="988">
        <f t="shared" si="77"/>
        <v>0.17357113486842102</v>
      </c>
      <c r="AB46" s="986">
        <f t="shared" si="77"/>
        <v>0.31315321966638199</v>
      </c>
      <c r="AC46" s="986">
        <f t="shared" si="77"/>
        <v>0.28641411938395445</v>
      </c>
      <c r="AD46" s="986">
        <f t="shared" si="77"/>
        <v>0.21957795022519178</v>
      </c>
      <c r="AE46" s="987">
        <f t="shared" si="77"/>
        <v>0.3138398470104713</v>
      </c>
      <c r="AF46" s="988">
        <f t="shared" si="77"/>
        <v>0.28255978189462616</v>
      </c>
      <c r="AG46" s="986">
        <f t="shared" si="77"/>
        <v>8.2463630613535566E-2</v>
      </c>
      <c r="AH46" s="986">
        <f t="shared" si="77"/>
        <v>0.13608423102671785</v>
      </c>
      <c r="AI46" s="986">
        <f t="shared" si="77"/>
        <v>0.25193533006805113</v>
      </c>
      <c r="AJ46" s="987">
        <f t="shared" si="77"/>
        <v>0.16562794026586047</v>
      </c>
      <c r="AK46" s="988">
        <f t="shared" si="77"/>
        <v>0.15941991868617356</v>
      </c>
      <c r="AL46" s="986">
        <f t="shared" si="77"/>
        <v>0.21884611951079003</v>
      </c>
      <c r="AM46" s="986">
        <f t="shared" si="77"/>
        <v>0.15406102442048231</v>
      </c>
      <c r="AN46" s="986">
        <f t="shared" si="77"/>
        <v>2.5668723211256017E-2</v>
      </c>
      <c r="AO46" s="987">
        <f t="shared" si="77"/>
        <v>-5.0356337143921626E-2</v>
      </c>
      <c r="AP46" s="988">
        <f t="shared" si="77"/>
        <v>8.0082539963037602E-2</v>
      </c>
      <c r="AQ46" s="986">
        <f t="shared" si="77"/>
        <v>-0.14893631188201217</v>
      </c>
      <c r="AR46" s="986">
        <f t="shared" si="77"/>
        <v>-0.19184350132625994</v>
      </c>
      <c r="AS46" s="986">
        <f t="shared" si="77"/>
        <v>-0.18850422618886886</v>
      </c>
      <c r="AT46" s="986">
        <f t="shared" si="77"/>
        <v>-0.12274787864698355</v>
      </c>
      <c r="AU46" s="988">
        <f t="shared" si="77"/>
        <v>-0.16380886806633754</v>
      </c>
      <c r="AV46" s="986">
        <f>AV44/AQ44-1</f>
        <v>0.1480475993021273</v>
      </c>
      <c r="AW46" s="986">
        <f t="shared" si="77"/>
        <v>0.18747846065479612</v>
      </c>
      <c r="AX46" s="986">
        <f t="shared" si="77"/>
        <v>0.24869802499126492</v>
      </c>
      <c r="AY46" s="986">
        <f t="shared" si="77"/>
        <v>0.23954882734861527</v>
      </c>
      <c r="AZ46" s="988">
        <f t="shared" si="77"/>
        <v>0.20501955605014643</v>
      </c>
      <c r="BA46" s="986">
        <f t="shared" ref="BA46:BJ46" si="78">BA44/AV44-1</f>
        <v>2.6986506746626837E-2</v>
      </c>
      <c r="BB46" s="986">
        <f t="shared" si="78"/>
        <v>8.2871515637308324E-2</v>
      </c>
      <c r="BC46" s="986">
        <f t="shared" si="78"/>
        <v>5.0254503784244564E-2</v>
      </c>
      <c r="BD46" s="986">
        <f t="shared" si="78"/>
        <v>0.10505885968545803</v>
      </c>
      <c r="BE46" s="988">
        <f t="shared" si="78"/>
        <v>6.6337748971639021E-2</v>
      </c>
      <c r="BF46" s="986">
        <f t="shared" si="78"/>
        <v>8.1486396814862694E-3</v>
      </c>
      <c r="BG46" s="986">
        <f t="shared" si="78"/>
        <v>5.8706791482410203E-4</v>
      </c>
      <c r="BH46" s="986">
        <f t="shared" si="78"/>
        <v>7.0160302970712074E-3</v>
      </c>
      <c r="BI46" s="986">
        <f t="shared" si="78"/>
        <v>5.7072725404014868E-3</v>
      </c>
      <c r="BJ46" s="988">
        <f t="shared" si="78"/>
        <v>5.3453627788271341E-3</v>
      </c>
      <c r="BK46" s="986">
        <f t="shared" ref="BK46:BT46" si="79">BK44/BF44-1</f>
        <v>0.16922489600336998</v>
      </c>
      <c r="BL46" s="986">
        <f t="shared" si="79"/>
        <v>0.11475545748486948</v>
      </c>
      <c r="BM46" s="986">
        <f t="shared" si="79"/>
        <v>0.1219251000031496</v>
      </c>
      <c r="BN46" s="986">
        <f t="shared" si="79"/>
        <v>4.4178734813371978E-2</v>
      </c>
      <c r="BO46" s="1444">
        <f t="shared" si="79"/>
        <v>0.11108464034911947</v>
      </c>
      <c r="BP46" s="986">
        <f t="shared" si="79"/>
        <v>3.8674157556379818E-3</v>
      </c>
      <c r="BQ46" s="986">
        <f t="shared" si="79"/>
        <v>2.3427175523607513E-2</v>
      </c>
      <c r="BR46" s="986">
        <f t="shared" si="79"/>
        <v>1.8804042672655896E-2</v>
      </c>
      <c r="BS46" s="986">
        <f t="shared" si="79"/>
        <v>5.0035694546794351E-2</v>
      </c>
      <c r="BT46" s="1444">
        <f t="shared" si="79"/>
        <v>2.3887048425871749E-2</v>
      </c>
      <c r="BU46" s="986">
        <f t="shared" ref="BU46:CE46" si="80">BU44/BP44-1</f>
        <v>3.4117482125332721E-2</v>
      </c>
      <c r="BV46" s="986">
        <f>BV44/BQ44-1</f>
        <v>3.0744806922600176E-4</v>
      </c>
      <c r="BW46" s="986">
        <f>BW44/BR44-1</f>
        <v>4.5252384967676695E-2</v>
      </c>
      <c r="BX46" s="986">
        <f>BX44/BS44-1</f>
        <v>4.7300520322172135E-2</v>
      </c>
      <c r="BY46" s="1444">
        <f t="shared" si="80"/>
        <v>3.1865896126914262E-2</v>
      </c>
      <c r="BZ46" s="986">
        <f t="shared" si="80"/>
        <v>0.10842746286786431</v>
      </c>
      <c r="CA46" s="986">
        <f t="shared" si="80"/>
        <v>0.13041291555600276</v>
      </c>
      <c r="CB46" s="986">
        <f t="shared" si="80"/>
        <v>0.14863439839713166</v>
      </c>
      <c r="CC46" s="986">
        <f t="shared" si="80"/>
        <v>0.18812757180101958</v>
      </c>
      <c r="CD46" s="1444">
        <f t="shared" si="80"/>
        <v>0.14442562799887093</v>
      </c>
      <c r="CE46" s="986">
        <f t="shared" si="80"/>
        <v>0.20583256687736062</v>
      </c>
      <c r="CF46" s="986">
        <f t="shared" ref="CF46:CN46" si="81">CF44/CA44-1</f>
        <v>0.24281208597812975</v>
      </c>
      <c r="CG46" s="986">
        <f t="shared" si="81"/>
        <v>0.2263254532935508</v>
      </c>
      <c r="CH46" s="986">
        <f t="shared" si="81"/>
        <v>0.20346862070333005</v>
      </c>
      <c r="CI46" s="1444">
        <f t="shared" si="81"/>
        <v>0.21923059306836179</v>
      </c>
      <c r="CJ46" s="986">
        <f t="shared" si="81"/>
        <v>0.17158598976780803</v>
      </c>
      <c r="CK46" s="989">
        <f t="shared" si="81"/>
        <v>0.1840383895017208</v>
      </c>
      <c r="CL46" s="989">
        <f t="shared" si="81"/>
        <v>0.18602078261121591</v>
      </c>
      <c r="CM46" s="989">
        <f t="shared" si="81"/>
        <v>0.18587386817330387</v>
      </c>
      <c r="CN46" s="1025">
        <f t="shared" si="81"/>
        <v>0.1820750034015246</v>
      </c>
      <c r="CO46" s="989">
        <f t="shared" ref="CO46:CX46" si="82">CO44/CJ44-1</f>
        <v>0.1659869381038499</v>
      </c>
      <c r="CP46" s="989">
        <f t="shared" si="82"/>
        <v>0.16045618054666066</v>
      </c>
      <c r="CQ46" s="989">
        <f t="shared" si="82"/>
        <v>0.16310985586423987</v>
      </c>
      <c r="CR46" s="990">
        <f t="shared" si="82"/>
        <v>0.16184437632738469</v>
      </c>
      <c r="CS46" s="1025">
        <f t="shared" si="82"/>
        <v>0.16280918063993388</v>
      </c>
      <c r="CT46" s="989">
        <f t="shared" si="82"/>
        <v>0.17662998696590315</v>
      </c>
      <c r="CU46" s="989">
        <f t="shared" si="82"/>
        <v>0.14665561410632244</v>
      </c>
      <c r="CV46" s="989">
        <f t="shared" si="82"/>
        <v>0.13835252926849395</v>
      </c>
      <c r="CW46" s="990">
        <f t="shared" si="82"/>
        <v>0.12934168512909738</v>
      </c>
      <c r="CX46" s="1025">
        <f t="shared" si="82"/>
        <v>0.14701790169649254</v>
      </c>
      <c r="DA46" s="143"/>
      <c r="DB46" s="142"/>
      <c r="DC46" s="142"/>
    </row>
    <row r="47" spans="1:107" ht="10.5" hidden="1" customHeight="1" outlineLevel="1">
      <c r="A47" s="983" t="s">
        <v>264</v>
      </c>
      <c r="B47" s="984"/>
      <c r="C47" s="985"/>
      <c r="D47" s="986">
        <f>D44/C44-1</f>
        <v>7.021387397417711E-2</v>
      </c>
      <c r="E47" s="986">
        <f>E44/D44-1</f>
        <v>-9.0742822625299979E-2</v>
      </c>
      <c r="F47" s="987">
        <f>F44/E44-1</f>
        <v>8.4888076915985433E-3</v>
      </c>
      <c r="G47" s="988"/>
      <c r="H47" s="986">
        <f>H44/F44-1</f>
        <v>8.5051876521070158E-2</v>
      </c>
      <c r="I47" s="986">
        <f>I44/H44-1</f>
        <v>6.0053628345447585E-2</v>
      </c>
      <c r="J47" s="986">
        <f>J44/I44-1</f>
        <v>-4.9508415794329963E-2</v>
      </c>
      <c r="K47" s="987">
        <f>K44/J44-1</f>
        <v>7.4230910855956456E-2</v>
      </c>
      <c r="L47" s="987"/>
      <c r="M47" s="986">
        <f>M44/K44-1</f>
        <v>2.765615992271897E-2</v>
      </c>
      <c r="N47" s="986">
        <f>N44/M44-1</f>
        <v>4.7925889987264325E-2</v>
      </c>
      <c r="O47" s="986">
        <f>O44/N44-1</f>
        <v>-4.3838708277270655E-3</v>
      </c>
      <c r="P47" s="987">
        <f>P44/O44-1</f>
        <v>6.2182114104688324E-2</v>
      </c>
      <c r="Q47" s="988"/>
      <c r="R47" s="986">
        <f>R44/P44-1</f>
        <v>2.7061414909772097E-2</v>
      </c>
      <c r="S47" s="986">
        <f>S44/R44-1</f>
        <v>1.308095003396792E-2</v>
      </c>
      <c r="T47" s="986">
        <f>T44/S44-1</f>
        <v>5.2844726703746181E-2</v>
      </c>
      <c r="U47" s="987">
        <f>U44/T44-1</f>
        <v>3.496852832449715E-4</v>
      </c>
      <c r="V47" s="988"/>
      <c r="W47" s="986">
        <f>W44/U44-1</f>
        <v>8.2222222222222419E-2</v>
      </c>
      <c r="X47" s="986">
        <f>X44/W44-1</f>
        <v>3.141222342708172E-2</v>
      </c>
      <c r="Y47" s="986">
        <f>Y44/X44-1</f>
        <v>5.7902448299388176E-2</v>
      </c>
      <c r="Z47" s="987">
        <f>Z44/Y44-1</f>
        <v>6.4491573805791624E-4</v>
      </c>
      <c r="AA47" s="988"/>
      <c r="AB47" s="986">
        <f>AB44/Z44-1</f>
        <v>0.20270056103204626</v>
      </c>
      <c r="AC47" s="986">
        <f>AC44/AB44-1</f>
        <v>1.0410078009698509E-2</v>
      </c>
      <c r="AD47" s="986">
        <f>AD44/AC44-1</f>
        <v>2.9386960188493294E-3</v>
      </c>
      <c r="AE47" s="987">
        <f>AE44/AD44-1</f>
        <v>7.7985349573057139E-2</v>
      </c>
      <c r="AF47" s="988"/>
      <c r="AG47" s="986">
        <f>AG44/AE44-1</f>
        <v>-9.1032641474537712E-3</v>
      </c>
      <c r="AH47" s="986">
        <f>AH44/AG44-1</f>
        <v>6.0461454808106163E-2</v>
      </c>
      <c r="AI47" s="986">
        <f>AI44/AH44-1</f>
        <v>0.10521240692130518</v>
      </c>
      <c r="AJ47" s="987">
        <f>AJ44/AI44-1</f>
        <v>3.6699280555612113E-3</v>
      </c>
      <c r="AK47" s="988"/>
      <c r="AL47" s="986">
        <f>AL44/AJ44-1</f>
        <v>3.613734675433089E-2</v>
      </c>
      <c r="AM47" s="986">
        <f>AM44/AL44-1</f>
        <v>4.0949495622066845E-3</v>
      </c>
      <c r="AN47" s="986">
        <f>AN44/AM44-1</f>
        <v>-1.7745358090185737E-2</v>
      </c>
      <c r="AO47" s="987">
        <f>AO44/AN44-1</f>
        <v>-7.0724528098079942E-2</v>
      </c>
      <c r="AP47" s="988"/>
      <c r="AQ47" s="986">
        <f>AQ44/AO44-1</f>
        <v>-7.1421306520980998E-2</v>
      </c>
      <c r="AR47" s="986">
        <f>AR44/AQ44-1</f>
        <v>-4.652745722399998E-2</v>
      </c>
      <c r="AS47" s="986">
        <f>AS44/AR44-1</f>
        <v>-1.3686715352424939E-2</v>
      </c>
      <c r="AT47" s="986">
        <f>AT44/AS44-1</f>
        <v>4.57563102111469E-3</v>
      </c>
      <c r="AU47" s="988"/>
      <c r="AV47" s="986">
        <f>AV44/AT44-1</f>
        <v>0.21521796740426669</v>
      </c>
      <c r="AW47" s="986">
        <f>AW44/AV44-1</f>
        <v>-1.3779473899413919E-2</v>
      </c>
      <c r="AX47" s="986">
        <f>AX44/AW44-1</f>
        <v>3.7161928716538339E-2</v>
      </c>
      <c r="AY47" s="986">
        <f>AY44/AX44-1</f>
        <v>-2.784884340688687E-3</v>
      </c>
      <c r="AZ47" s="988"/>
      <c r="BA47" s="986">
        <f>BA44/AY44-1</f>
        <v>6.827990753484281E-3</v>
      </c>
      <c r="BB47" s="986">
        <f>BB44/BA44-1</f>
        <v>3.9887193098871787E-2</v>
      </c>
      <c r="BC47" s="986">
        <f>BC44/BB44-1</f>
        <v>5.9217285321386814E-3</v>
      </c>
      <c r="BD47" s="986">
        <f>BD44/BC44-1</f>
        <v>4.925177145249604E-2</v>
      </c>
      <c r="BE47" s="988"/>
      <c r="BF47" s="986">
        <f>BF44/BD44-1</f>
        <v>-8.1467688010495531E-2</v>
      </c>
      <c r="BG47" s="986">
        <f>BG44/BF44-1</f>
        <v>3.2087567795271443E-2</v>
      </c>
      <c r="BH47" s="986">
        <f>BH44/BG44-1</f>
        <v>1.2384967124353441E-2</v>
      </c>
      <c r="BI47" s="986">
        <f>BI44/BH44-1</f>
        <v>4.7888122460549853E-2</v>
      </c>
      <c r="BJ47" s="988"/>
      <c r="BK47" s="986">
        <f>BK44/BI44-1</f>
        <v>6.7876186525756443E-2</v>
      </c>
      <c r="BL47" s="986">
        <f>BL44/BK44-1</f>
        <v>-1.599319965322743E-2</v>
      </c>
      <c r="BM47" s="986">
        <f>BM44/BL44-1</f>
        <v>1.8896205312448178E-2</v>
      </c>
      <c r="BN47" s="986">
        <f>BN44/BM44-1</f>
        <v>-2.4727681078046015E-2</v>
      </c>
      <c r="BO47" s="1444"/>
      <c r="BP47" s="986">
        <f>BP44/BN44-1</f>
        <v>2.6650009211496073E-2</v>
      </c>
      <c r="BQ47" s="986">
        <f>BQ44/BP44-1</f>
        <v>3.1795878312070869E-3</v>
      </c>
      <c r="BR47" s="986">
        <f>BR44/BQ44-1</f>
        <v>1.4293540236567148E-2</v>
      </c>
      <c r="BS47" s="986">
        <f>BS44/BR44-1</f>
        <v>5.1694966629740602E-3</v>
      </c>
      <c r="BT47" s="1444"/>
      <c r="BU47" s="986">
        <f>BU44/BS44-1</f>
        <v>1.1086316458958079E-2</v>
      </c>
      <c r="BV47" s="986">
        <f>BV44/BU44-1</f>
        <v>-2.9618944845425044E-2</v>
      </c>
      <c r="BW47" s="986">
        <f>BW44/BV44-1</f>
        <v>5.9866887961239845E-2</v>
      </c>
      <c r="BX47" s="986">
        <f>BX44/BW44-1</f>
        <v>7.1390910049562439E-3</v>
      </c>
      <c r="BY47" s="1444"/>
      <c r="BZ47" s="986">
        <f>BZ44/BX44-1</f>
        <v>7.0099573853225294E-2</v>
      </c>
      <c r="CA47" s="986">
        <f>CA44/BZ44-1</f>
        <v>-1.0371616993796517E-2</v>
      </c>
      <c r="CB47" s="986">
        <f>CB44/CA44-1</f>
        <v>7.6951217100709846E-2</v>
      </c>
      <c r="CC47" s="986">
        <f>CC44/CB44-1</f>
        <v>4.1767271058067434E-2</v>
      </c>
      <c r="CD47" s="1444"/>
      <c r="CE47" s="986">
        <f>CE44/CC44-1</f>
        <v>8.6045763585651525E-2</v>
      </c>
      <c r="CF47" s="986">
        <f>CF44/CE44-1</f>
        <v>1.9977523257748153E-2</v>
      </c>
      <c r="CG47" s="986">
        <f>CG44/CF44-1</f>
        <v>6.2664826313340027E-2</v>
      </c>
      <c r="CH47" s="986">
        <f>CH44/CG44-1</f>
        <v>2.2350320974715121E-2</v>
      </c>
      <c r="CI47" s="1444"/>
      <c r="CJ47" s="986">
        <f>CJ44/CH44-1</f>
        <v>5.7273932177822617E-2</v>
      </c>
      <c r="CK47" s="989">
        <f>CK44/CJ44-1</f>
        <v>3.081852677788155E-2</v>
      </c>
      <c r="CL47" s="989">
        <f>CL44/CK44-1</f>
        <v>6.4444008008853304E-2</v>
      </c>
      <c r="CM47" s="989">
        <f>CM44/CL44-1</f>
        <v>2.2223680678898017E-2</v>
      </c>
      <c r="CN47" s="1025"/>
      <c r="CO47" s="989">
        <f>CO44/CM44-1</f>
        <v>3.9543604090009232E-2</v>
      </c>
      <c r="CP47" s="989">
        <f>CP44/CO44-1</f>
        <v>2.5928928815198704E-2</v>
      </c>
      <c r="CQ47" s="989">
        <f>CQ44/CP44-1</f>
        <v>6.6878127313269919E-2</v>
      </c>
      <c r="CR47" s="990">
        <f>CR44/CQ44-1</f>
        <v>2.1111487240362825E-2</v>
      </c>
      <c r="CS47" s="1025"/>
      <c r="CT47" s="989">
        <f>CT44/CR44-1</f>
        <v>5.2772817300493324E-2</v>
      </c>
      <c r="CU47" s="989">
        <f>CU44/CT44-1</f>
        <v>-2.0636994514833251E-4</v>
      </c>
      <c r="CV47" s="989">
        <f>CV44/CU44-1</f>
        <v>5.9152721800290742E-2</v>
      </c>
      <c r="CW47" s="990">
        <f>CW44/CV44-1</f>
        <v>1.3028686680870871E-2</v>
      </c>
      <c r="CX47" s="1025"/>
      <c r="DA47" s="143"/>
      <c r="DB47" s="142"/>
      <c r="DC47" s="142"/>
    </row>
    <row r="48" spans="1:107" ht="10.5" customHeight="1" collapsed="1">
      <c r="A48" s="240" t="s">
        <v>510</v>
      </c>
      <c r="B48" s="214"/>
      <c r="C48" s="146">
        <v>103.86</v>
      </c>
      <c r="D48" s="147">
        <v>109.58199999999999</v>
      </c>
      <c r="E48" s="147">
        <v>95.447000000000003</v>
      </c>
      <c r="F48" s="148">
        <f>403.72-SUM(C48:E48)</f>
        <v>94.831000000000017</v>
      </c>
      <c r="G48" s="149">
        <f>SUM(C48:F48)</f>
        <v>403.72</v>
      </c>
      <c r="H48" s="147">
        <v>89.317999999999998</v>
      </c>
      <c r="I48" s="147">
        <v>103.898</v>
      </c>
      <c r="J48" s="147">
        <v>93.837000000000003</v>
      </c>
      <c r="K48" s="148">
        <f>380.367-SUM(H48:J48)</f>
        <v>93.314000000000021</v>
      </c>
      <c r="L48" s="148">
        <f>SUM(H48:K48)</f>
        <v>380.36700000000002</v>
      </c>
      <c r="M48" s="147">
        <v>98.028000000000006</v>
      </c>
      <c r="N48" s="147">
        <v>105.712</v>
      </c>
      <c r="O48" s="147">
        <v>106.134</v>
      </c>
      <c r="P48" s="148">
        <f>423.417-SUM(M48:O48)</f>
        <v>113.54299999999995</v>
      </c>
      <c r="Q48" s="149">
        <f>SUM(M48:P48)</f>
        <v>423.41699999999997</v>
      </c>
      <c r="R48" s="147">
        <v>127.354</v>
      </c>
      <c r="S48" s="147">
        <v>130.56100000000001</v>
      </c>
      <c r="T48" s="147">
        <v>122.93899999999999</v>
      </c>
      <c r="U48" s="148">
        <f>521.143-SUM(R48:T48)</f>
        <v>140.28899999999999</v>
      </c>
      <c r="V48" s="149">
        <f>SUM(R48:U48)</f>
        <v>521.14300000000003</v>
      </c>
      <c r="W48" s="147">
        <v>147.38300000000001</v>
      </c>
      <c r="X48" s="147">
        <v>154.96299999999999</v>
      </c>
      <c r="Y48" s="147">
        <v>143.74799999999999</v>
      </c>
      <c r="Z48" s="148">
        <f>593.323-SUM(W48:Y48)</f>
        <v>147.22899999999998</v>
      </c>
      <c r="AA48" s="149">
        <f>SUM(W48:Z48)</f>
        <v>593.32299999999998</v>
      </c>
      <c r="AB48" s="147">
        <f>204.366-8.16</f>
        <v>196.20600000000002</v>
      </c>
      <c r="AC48" s="147">
        <f>210.399-8.773-5.652</f>
        <v>195.97400000000002</v>
      </c>
      <c r="AD48" s="147">
        <f>217.203-8.979-14.104</f>
        <v>194.12</v>
      </c>
      <c r="AE48" s="148">
        <f>222.328-9.897-3.276</f>
        <v>209.155</v>
      </c>
      <c r="AF48" s="149">
        <f>SUM(AB48:AE48)</f>
        <v>795.45500000000004</v>
      </c>
      <c r="AG48" s="147">
        <f>214.678-2.9-8</f>
        <v>203.77799999999999</v>
      </c>
      <c r="AH48" s="147">
        <f>236.402-15.09-0.843</f>
        <v>220.46899999999999</v>
      </c>
      <c r="AI48" s="147">
        <f>251.243-2.1-9.6-0.066</f>
        <v>239.477</v>
      </c>
      <c r="AJ48" s="148">
        <f>282.065-11.2-1.7+0.032</f>
        <v>269.197</v>
      </c>
      <c r="AK48" s="149">
        <f>SUM(AG48:AJ48)</f>
        <v>932.92099999999994</v>
      </c>
      <c r="AL48" s="147">
        <f>262.595-14.4</f>
        <v>248.19500000000002</v>
      </c>
      <c r="AM48" s="147">
        <f>279.365-16.9</f>
        <v>262.46500000000003</v>
      </c>
      <c r="AN48" s="147">
        <f>271.439-15.9</f>
        <v>255.53900000000002</v>
      </c>
      <c r="AO48" s="148">
        <f>275.942-11.2</f>
        <v>264.74200000000002</v>
      </c>
      <c r="AP48" s="149">
        <f>SUM(AL48:AO48)</f>
        <v>1030.941</v>
      </c>
      <c r="AQ48" s="147">
        <f>249.491-13.8</f>
        <v>235.691</v>
      </c>
      <c r="AR48" s="147">
        <f>243.209-14.9</f>
        <v>228.309</v>
      </c>
      <c r="AS48" s="147">
        <f>231.32-14.1</f>
        <v>217.22</v>
      </c>
      <c r="AT48" s="147">
        <f>257.883-16.5</f>
        <v>241.38299999999998</v>
      </c>
      <c r="AU48" s="149">
        <f>SUM(AQ48:AT48)</f>
        <v>922.60300000000007</v>
      </c>
      <c r="AV48" s="147">
        <f>297.294-24.7</f>
        <v>272.59399999999999</v>
      </c>
      <c r="AW48" s="147">
        <f>320.976-24</f>
        <v>296.976</v>
      </c>
      <c r="AX48" s="147">
        <f>303.219-21.085</f>
        <v>282.13400000000001</v>
      </c>
      <c r="AY48" s="147">
        <f>322.708-25.9</f>
        <v>296.80800000000005</v>
      </c>
      <c r="AZ48" s="149">
        <f>SUM(AV48:AY48)</f>
        <v>1148.5119999999999</v>
      </c>
      <c r="BA48" s="147">
        <f>328.078-24.2</f>
        <v>303.87799999999999</v>
      </c>
      <c r="BB48" s="147">
        <f>348.69-29</f>
        <v>319.69</v>
      </c>
      <c r="BC48" s="147">
        <f>340.724-24.2</f>
        <v>316.524</v>
      </c>
      <c r="BD48" s="147">
        <f>368.33-22.9</f>
        <v>345.43</v>
      </c>
      <c r="BE48" s="149">
        <f>SUM(BA48:BD48)</f>
        <v>1285.5219999999999</v>
      </c>
      <c r="BF48" s="147">
        <f>358.963-26</f>
        <v>332.96300000000002</v>
      </c>
      <c r="BG48" s="147">
        <f>386.459-25.6</f>
        <v>360.85899999999998</v>
      </c>
      <c r="BH48" s="147">
        <f>368.556-29.4</f>
        <v>339.15600000000001</v>
      </c>
      <c r="BI48" s="147">
        <f>402.181-27.6</f>
        <v>374.58099999999996</v>
      </c>
      <c r="BJ48" s="149">
        <f>SUM(BF48:BI48)</f>
        <v>1407.559</v>
      </c>
      <c r="BK48" s="147">
        <f>398.033-30.7</f>
        <v>367.33300000000003</v>
      </c>
      <c r="BL48" s="147">
        <f>402.208-29.2</f>
        <v>373.00800000000004</v>
      </c>
      <c r="BM48" s="147">
        <f>388.673-28.9</f>
        <v>359.77300000000002</v>
      </c>
      <c r="BN48" s="147">
        <f>431.54-34.9</f>
        <v>396.64000000000004</v>
      </c>
      <c r="BO48" s="1436">
        <f>SUM(BK48:BN48)</f>
        <v>1496.7540000000001</v>
      </c>
      <c r="BP48" s="147">
        <f>410.141-30.7</f>
        <v>379.44100000000003</v>
      </c>
      <c r="BQ48" s="147">
        <f>426.83-29.9</f>
        <v>396.93</v>
      </c>
      <c r="BR48" s="147">
        <f>406.475-30.2</f>
        <v>376.27500000000003</v>
      </c>
      <c r="BS48" s="147">
        <f>428.362-30.5</f>
        <v>397.86200000000002</v>
      </c>
      <c r="BT48" s="1436">
        <f>SUM(BP48:BS48)</f>
        <v>1550.5080000000003</v>
      </c>
      <c r="BU48" s="147">
        <f>392.741-32.1</f>
        <v>360.64099999999996</v>
      </c>
      <c r="BV48" s="147">
        <f>426.998-33</f>
        <v>393.99799999999999</v>
      </c>
      <c r="BW48" s="147">
        <f>-33.2+422.031</f>
        <v>388.83100000000002</v>
      </c>
      <c r="BX48" s="147">
        <f>441.472-30</f>
        <v>411.47199999999998</v>
      </c>
      <c r="BY48" s="1436">
        <f>SUM(BU48:BX48)</f>
        <v>1554.9419999999998</v>
      </c>
      <c r="BZ48" s="147">
        <f>474.891-33.6</f>
        <v>441.291</v>
      </c>
      <c r="CA48" s="147">
        <f>462.789-33</f>
        <v>429.78899999999999</v>
      </c>
      <c r="CB48" s="147">
        <f>477.475-32.2</f>
        <v>445.27500000000003</v>
      </c>
      <c r="CC48" s="147">
        <f>495.042-32.2</f>
        <v>462.84199999999998</v>
      </c>
      <c r="CD48" s="1436">
        <f>SUM(BZ48:CC48)</f>
        <v>1779.1970000000001</v>
      </c>
      <c r="CE48" s="147">
        <f>520.297-37.7</f>
        <v>482.59700000000004</v>
      </c>
      <c r="CF48" s="147">
        <f>553.098-40.8</f>
        <v>512.298</v>
      </c>
      <c r="CG48" s="147">
        <f>550.093-41</f>
        <v>509.09299999999996</v>
      </c>
      <c r="CH48" s="147">
        <f>574.104-40.6</f>
        <v>533.50400000000002</v>
      </c>
      <c r="CI48" s="1436">
        <f>SUM(CE48:CH48)</f>
        <v>2037.4919999999997</v>
      </c>
      <c r="CJ48" s="147">
        <f>580.957-44.4</f>
        <v>536.55700000000002</v>
      </c>
      <c r="CK48" s="150">
        <f>CK49*CK24</f>
        <v>574.36624752296302</v>
      </c>
      <c r="CL48" s="150">
        <f>CL49*CL24</f>
        <v>591.42018572969198</v>
      </c>
      <c r="CM48" s="150">
        <f>CM49*CM24</f>
        <v>625.32237921024375</v>
      </c>
      <c r="CN48" s="1230">
        <f>SUM(CJ48:CM48)</f>
        <v>2327.6658124628984</v>
      </c>
      <c r="CO48" s="150">
        <f>CO49*CO24</f>
        <v>630.91380267261513</v>
      </c>
      <c r="CP48" s="150">
        <f>CP49*CP24</f>
        <v>666.07405444669109</v>
      </c>
      <c r="CQ48" s="150">
        <f>CQ49*CQ24</f>
        <v>686.99318148881503</v>
      </c>
      <c r="CR48" s="150">
        <f>CR49*CR24</f>
        <v>726.03890891047593</v>
      </c>
      <c r="CS48" s="1230">
        <f>SUM(CO48:CR48)</f>
        <v>2710.0199475185973</v>
      </c>
      <c r="CT48" s="150">
        <f>CT49*CT24</f>
        <v>735.09095942822273</v>
      </c>
      <c r="CU48" s="150">
        <f>CU49*CU24</f>
        <v>763.21865156626905</v>
      </c>
      <c r="CV48" s="150">
        <f>CV49*CV24</f>
        <v>780.98570763287125</v>
      </c>
      <c r="CW48" s="150">
        <f>CW49*CW24</f>
        <v>819.37342078621612</v>
      </c>
      <c r="CX48" s="1230">
        <f>SUM(CT48:CW48)</f>
        <v>3098.6687394135793</v>
      </c>
      <c r="DA48" s="153"/>
      <c r="DB48" s="152"/>
      <c r="DC48" s="152"/>
    </row>
    <row r="49" spans="1:107" ht="10.5" hidden="1" customHeight="1" outlineLevel="1">
      <c r="A49" s="983" t="s">
        <v>135</v>
      </c>
      <c r="B49" s="984"/>
      <c r="C49" s="985">
        <f t="shared" ref="C49:AY49" si="83">C48/C$24</f>
        <v>0.31571363867112101</v>
      </c>
      <c r="D49" s="986">
        <f t="shared" si="83"/>
        <v>0.31846622860680102</v>
      </c>
      <c r="E49" s="986">
        <f t="shared" si="83"/>
        <v>0.32674124839961932</v>
      </c>
      <c r="F49" s="987">
        <f t="shared" si="83"/>
        <v>0.35847508883344686</v>
      </c>
      <c r="G49" s="988">
        <f t="shared" si="83"/>
        <v>0.32830237777705495</v>
      </c>
      <c r="H49" s="986">
        <f t="shared" si="83"/>
        <v>0.33340550064204016</v>
      </c>
      <c r="I49" s="986">
        <f t="shared" si="83"/>
        <v>0.32738318434328312</v>
      </c>
      <c r="J49" s="986">
        <f t="shared" si="83"/>
        <v>0.3293924789120995</v>
      </c>
      <c r="K49" s="987">
        <f t="shared" si="83"/>
        <v>0.31669008396288534</v>
      </c>
      <c r="L49" s="987">
        <f t="shared" si="83"/>
        <v>0.32655470351686317</v>
      </c>
      <c r="M49" s="986">
        <f t="shared" si="83"/>
        <v>0.33017733542161376</v>
      </c>
      <c r="N49" s="986">
        <f t="shared" si="83"/>
        <v>0.33019934654813748</v>
      </c>
      <c r="O49" s="986">
        <f t="shared" si="83"/>
        <v>0.33258126985917619</v>
      </c>
      <c r="P49" s="987">
        <f t="shared" si="83"/>
        <v>0.3166409173810466</v>
      </c>
      <c r="Q49" s="988">
        <f t="shared" si="83"/>
        <v>0.32702631938700089</v>
      </c>
      <c r="R49" s="986">
        <f t="shared" si="83"/>
        <v>0.30087341505997195</v>
      </c>
      <c r="S49" s="986">
        <f t="shared" si="83"/>
        <v>0.31837545874635748</v>
      </c>
      <c r="T49" s="986">
        <f t="shared" si="83"/>
        <v>0.30452078580575803</v>
      </c>
      <c r="U49" s="987">
        <f t="shared" si="83"/>
        <v>0.32663177354238165</v>
      </c>
      <c r="V49" s="988">
        <f t="shared" si="83"/>
        <v>0.31270187287626583</v>
      </c>
      <c r="W49" s="986">
        <f t="shared" si="83"/>
        <v>0.31166971887278433</v>
      </c>
      <c r="X49" s="986">
        <f t="shared" si="83"/>
        <v>0.31240713748591309</v>
      </c>
      <c r="Y49" s="986">
        <f t="shared" si="83"/>
        <v>0.29514679522584431</v>
      </c>
      <c r="Z49" s="987">
        <f t="shared" si="83"/>
        <v>0.28847446269478472</v>
      </c>
      <c r="AA49" s="988">
        <f t="shared" si="83"/>
        <v>0.3017426961315065</v>
      </c>
      <c r="AB49" s="986">
        <f t="shared" si="83"/>
        <v>0.29933270071611862</v>
      </c>
      <c r="AC49" s="986">
        <f t="shared" si="83"/>
        <v>0.30839900795649111</v>
      </c>
      <c r="AD49" s="986">
        <f t="shared" si="83"/>
        <v>0.32235619595776094</v>
      </c>
      <c r="AE49" s="987">
        <f t="shared" si="83"/>
        <v>0.30660021255542935</v>
      </c>
      <c r="AF49" s="988">
        <f t="shared" si="83"/>
        <v>0.30887857725313561</v>
      </c>
      <c r="AG49" s="986">
        <f t="shared" si="83"/>
        <v>0.3137908892266329</v>
      </c>
      <c r="AH49" s="986">
        <f t="shared" si="83"/>
        <v>0.29570252301237832</v>
      </c>
      <c r="AI49" s="986">
        <f t="shared" si="83"/>
        <v>0.28117991842063861</v>
      </c>
      <c r="AJ49" s="987">
        <f t="shared" si="83"/>
        <v>0.29542773298390823</v>
      </c>
      <c r="AK49" s="1092">
        <f t="shared" si="83"/>
        <v>0.295426268437601</v>
      </c>
      <c r="AL49" s="986">
        <f t="shared" si="83"/>
        <v>0.27873142080645075</v>
      </c>
      <c r="AM49" s="986">
        <f t="shared" si="83"/>
        <v>0.29593995169615939</v>
      </c>
      <c r="AN49" s="986">
        <f t="shared" si="83"/>
        <v>0.28801012558931632</v>
      </c>
      <c r="AO49" s="987">
        <f t="shared" si="83"/>
        <v>0.28924037010775688</v>
      </c>
      <c r="AP49" s="1092">
        <f>AP48/AP$24</f>
        <v>0.28798127539708634</v>
      </c>
      <c r="AQ49" s="1093">
        <f t="shared" si="83"/>
        <v>0.2997126107910833</v>
      </c>
      <c r="AR49" s="1093">
        <f t="shared" si="83"/>
        <v>0.32399283071722629</v>
      </c>
      <c r="AS49" s="1093">
        <f t="shared" si="83"/>
        <v>0.31142339790138301</v>
      </c>
      <c r="AT49" s="1093">
        <f t="shared" si="83"/>
        <v>0.31874873726202752</v>
      </c>
      <c r="AU49" s="1092">
        <f>AU48/AU$24</f>
        <v>0.31318704633259031</v>
      </c>
      <c r="AV49" s="1093">
        <f t="shared" si="83"/>
        <v>0.31744963316641434</v>
      </c>
      <c r="AW49" s="1093">
        <f t="shared" si="83"/>
        <v>0.31491514100749179</v>
      </c>
      <c r="AX49" s="1093">
        <f t="shared" si="83"/>
        <v>0.28489203983766848</v>
      </c>
      <c r="AY49" s="1093">
        <f t="shared" si="83"/>
        <v>0.29446815603216847</v>
      </c>
      <c r="AZ49" s="1092">
        <f>AZ48/AZ$24</f>
        <v>0.30224000000000001</v>
      </c>
      <c r="BA49" s="1093">
        <f>BA48/BA$24</f>
        <v>0.29568573113322288</v>
      </c>
      <c r="BB49" s="1093">
        <f>BB48/BB$24</f>
        <v>0.31244777306805555</v>
      </c>
      <c r="BC49" s="1093">
        <f>BC48/BC$24</f>
        <v>0.31239661591058931</v>
      </c>
      <c r="BD49" s="1093">
        <v>0.30099999999999999</v>
      </c>
      <c r="BE49" s="1092">
        <f t="shared" ref="BE49:BM49" si="84">BE48/BE$24</f>
        <v>0.30489642711617743</v>
      </c>
      <c r="BF49" s="1093">
        <f t="shared" si="84"/>
        <v>0.31855781557949525</v>
      </c>
      <c r="BG49" s="1093">
        <f t="shared" si="84"/>
        <v>0.32092073540018262</v>
      </c>
      <c r="BH49" s="1093">
        <f t="shared" si="84"/>
        <v>0.31386477632382614</v>
      </c>
      <c r="BI49" s="1093">
        <f t="shared" si="84"/>
        <v>0.3247545577183838</v>
      </c>
      <c r="BJ49" s="1092">
        <f t="shared" si="84"/>
        <v>0.31963266152354047</v>
      </c>
      <c r="BK49" s="1093">
        <f t="shared" si="84"/>
        <v>0.36446357824844999</v>
      </c>
      <c r="BL49" s="1093">
        <f t="shared" si="84"/>
        <v>0.36911421415488022</v>
      </c>
      <c r="BM49" s="1093">
        <f t="shared" si="84"/>
        <v>0.36153766534454673</v>
      </c>
      <c r="BN49" s="1093">
        <f t="shared" ref="BN49:BX49" si="85">BN48/BN$24</f>
        <v>0.38076258112948186</v>
      </c>
      <c r="BO49" s="1443">
        <f t="shared" si="85"/>
        <v>0.36909134847752545</v>
      </c>
      <c r="BP49" s="1093">
        <f t="shared" si="85"/>
        <v>0.37939547254329481</v>
      </c>
      <c r="BQ49" s="1093">
        <f t="shared" si="85"/>
        <v>0.37158493476925841</v>
      </c>
      <c r="BR49" s="1093">
        <f t="shared" si="85"/>
        <v>0.3742506780822531</v>
      </c>
      <c r="BS49" s="1093">
        <f t="shared" si="85"/>
        <v>0.37068072387937334</v>
      </c>
      <c r="BT49" s="1443">
        <f t="shared" si="85"/>
        <v>0.37388080485837583</v>
      </c>
      <c r="BU49" s="1093">
        <f t="shared" si="85"/>
        <v>0.32514170365341633</v>
      </c>
      <c r="BV49" s="1093">
        <f t="shared" si="85"/>
        <v>0.33902274905821755</v>
      </c>
      <c r="BW49" s="1093">
        <f t="shared" si="85"/>
        <v>0.31929809290439559</v>
      </c>
      <c r="BX49" s="1093">
        <f t="shared" si="85"/>
        <v>0.31496535528060238</v>
      </c>
      <c r="BY49" s="1443">
        <f t="shared" ref="BY49:CF49" si="86">BY48/BY$24</f>
        <v>0.32424949082589943</v>
      </c>
      <c r="BZ49" s="1093">
        <f t="shared" si="86"/>
        <v>0.31900515782511102</v>
      </c>
      <c r="CA49" s="1093">
        <f t="shared" si="86"/>
        <v>0.30727549475981064</v>
      </c>
      <c r="CB49" s="1093">
        <f t="shared" si="86"/>
        <v>0.30415644614940091</v>
      </c>
      <c r="CC49" s="1093">
        <f t="shared" si="86"/>
        <v>0.28776208189532704</v>
      </c>
      <c r="CD49" s="1443">
        <f t="shared" si="86"/>
        <v>0.3039061018749904</v>
      </c>
      <c r="CE49" s="1093">
        <f t="shared" si="86"/>
        <v>0.28697894800689328</v>
      </c>
      <c r="CF49" s="1093">
        <f t="shared" si="86"/>
        <v>0.28907622771824693</v>
      </c>
      <c r="CG49" s="1093">
        <f t="shared" ref="CG49" si="87">CG48/CG$24</f>
        <v>0.27651957498720853</v>
      </c>
      <c r="CH49" s="1093">
        <f>CC49-0.5%</f>
        <v>0.28276208189532703</v>
      </c>
      <c r="CI49" s="1443">
        <f>CI48/CI$24</f>
        <v>0.27905096278096087</v>
      </c>
      <c r="CJ49" s="1093">
        <f t="shared" ref="CJ49" si="88">CJ48/CJ$24</f>
        <v>0.25809075459836156</v>
      </c>
      <c r="CK49" s="1095">
        <f>CF49-0.025</f>
        <v>0.2640762277182469</v>
      </c>
      <c r="CL49" s="1095">
        <f>CG49-0.015</f>
        <v>0.26151957498720851</v>
      </c>
      <c r="CM49" s="1095">
        <f>CH49-0.02</f>
        <v>0.26276208189532702</v>
      </c>
      <c r="CN49" s="1096">
        <f>CN48/CN$24</f>
        <v>0.26167576115348101</v>
      </c>
      <c r="CO49" s="1095">
        <f>CJ49-0.0025</f>
        <v>0.25559075459836156</v>
      </c>
      <c r="CP49" s="1095">
        <f t="shared" ref="CP49:CR49" si="89">CK49-0.005</f>
        <v>0.2590762277182469</v>
      </c>
      <c r="CQ49" s="1095">
        <f t="shared" si="89"/>
        <v>0.25651957498720851</v>
      </c>
      <c r="CR49" s="1095">
        <f t="shared" si="89"/>
        <v>0.25776208189532701</v>
      </c>
      <c r="CS49" s="1096">
        <f>CS48/CS$24</f>
        <v>0.25725812517379743</v>
      </c>
      <c r="CT49" s="1095">
        <f>CO49-0.0025</f>
        <v>0.25309075459836156</v>
      </c>
      <c r="CU49" s="1095">
        <f t="shared" ref="CU49" si="90">CP49-0.005</f>
        <v>0.25407622771824689</v>
      </c>
      <c r="CV49" s="1095">
        <f t="shared" ref="CV49" si="91">CQ49-0.005</f>
        <v>0.25151957498720851</v>
      </c>
      <c r="CW49" s="1095">
        <f t="shared" ref="CW49" si="92">CR49-0.005</f>
        <v>0.25276208189532701</v>
      </c>
      <c r="CX49" s="1096">
        <f>CX48/CX$24</f>
        <v>0.25284727933798717</v>
      </c>
      <c r="DA49" s="143"/>
      <c r="DB49" s="142"/>
      <c r="DC49" s="142"/>
    </row>
    <row r="50" spans="1:107" ht="10.5" hidden="1" customHeight="1" outlineLevel="1">
      <c r="A50" s="983" t="s">
        <v>263</v>
      </c>
      <c r="B50" s="984"/>
      <c r="C50" s="985"/>
      <c r="D50" s="986"/>
      <c r="E50" s="986"/>
      <c r="F50" s="987"/>
      <c r="G50" s="988"/>
      <c r="H50" s="986">
        <f t="shared" ref="H50:AZ50" si="93">H48/C48-1</f>
        <v>-0.14001540535336032</v>
      </c>
      <c r="I50" s="986">
        <f t="shared" si="93"/>
        <v>-5.1869832636746938E-2</v>
      </c>
      <c r="J50" s="986">
        <f t="shared" si="93"/>
        <v>-1.6868000041908027E-2</v>
      </c>
      <c r="K50" s="987">
        <f t="shared" si="93"/>
        <v>-1.5996878657822844E-2</v>
      </c>
      <c r="L50" s="987">
        <f t="shared" si="93"/>
        <v>-5.7844545724759722E-2</v>
      </c>
      <c r="M50" s="986">
        <f t="shared" si="93"/>
        <v>9.751673794755833E-2</v>
      </c>
      <c r="N50" s="986">
        <f t="shared" si="93"/>
        <v>1.7459431365377753E-2</v>
      </c>
      <c r="O50" s="986">
        <f t="shared" si="93"/>
        <v>0.13104638895105336</v>
      </c>
      <c r="P50" s="987">
        <f t="shared" si="93"/>
        <v>0.21678419101099422</v>
      </c>
      <c r="Q50" s="988">
        <f t="shared" si="93"/>
        <v>0.1131801654717679</v>
      </c>
      <c r="R50" s="986">
        <f t="shared" si="93"/>
        <v>0.29915942383808702</v>
      </c>
      <c r="S50" s="986">
        <f t="shared" si="93"/>
        <v>0.23506319055547142</v>
      </c>
      <c r="T50" s="986">
        <f t="shared" si="93"/>
        <v>0.15833757325644937</v>
      </c>
      <c r="U50" s="987">
        <f t="shared" si="93"/>
        <v>0.23555833472781273</v>
      </c>
      <c r="V50" s="988">
        <f t="shared" si="93"/>
        <v>0.2308032034613634</v>
      </c>
      <c r="W50" s="986">
        <f t="shared" si="93"/>
        <v>0.15727028597452786</v>
      </c>
      <c r="X50" s="986">
        <f t="shared" si="93"/>
        <v>0.18690114199492935</v>
      </c>
      <c r="Y50" s="986">
        <f t="shared" si="93"/>
        <v>0.16926280513099989</v>
      </c>
      <c r="Z50" s="987">
        <f t="shared" si="93"/>
        <v>4.9469309781950077E-2</v>
      </c>
      <c r="AA50" s="988">
        <f t="shared" si="93"/>
        <v>0.13850325150678411</v>
      </c>
      <c r="AB50" s="986">
        <f t="shared" si="93"/>
        <v>0.33126615688376537</v>
      </c>
      <c r="AC50" s="986">
        <f t="shared" si="93"/>
        <v>0.26465027135509778</v>
      </c>
      <c r="AD50" s="986">
        <f t="shared" si="93"/>
        <v>0.35041878843531737</v>
      </c>
      <c r="AE50" s="987">
        <f t="shared" si="93"/>
        <v>0.42061007002696504</v>
      </c>
      <c r="AF50" s="988">
        <f t="shared" si="93"/>
        <v>0.34067784326580974</v>
      </c>
      <c r="AG50" s="986">
        <f t="shared" si="93"/>
        <v>3.8592091984954502E-2</v>
      </c>
      <c r="AH50" s="986">
        <f t="shared" si="93"/>
        <v>0.12499107024401179</v>
      </c>
      <c r="AI50" s="986">
        <f t="shared" si="93"/>
        <v>0.23365444055223583</v>
      </c>
      <c r="AJ50" s="987">
        <f t="shared" si="93"/>
        <v>0.28706939829313183</v>
      </c>
      <c r="AK50" s="988">
        <f t="shared" si="93"/>
        <v>0.17281430124897068</v>
      </c>
      <c r="AL50" s="986">
        <f t="shared" si="93"/>
        <v>0.21796759218365103</v>
      </c>
      <c r="AM50" s="986">
        <f t="shared" si="93"/>
        <v>0.19048483006681227</v>
      </c>
      <c r="AN50" s="986">
        <f t="shared" si="93"/>
        <v>6.7071159234498579E-2</v>
      </c>
      <c r="AO50" s="987">
        <f t="shared" si="93"/>
        <v>-1.6549218601990323E-2</v>
      </c>
      <c r="AP50" s="988">
        <f t="shared" si="93"/>
        <v>0.10506784604484198</v>
      </c>
      <c r="AQ50" s="986">
        <f t="shared" si="93"/>
        <v>-5.0379741735329109E-2</v>
      </c>
      <c r="AR50" s="989">
        <f t="shared" si="93"/>
        <v>-0.13013544663097953</v>
      </c>
      <c r="AS50" s="986">
        <f t="shared" si="93"/>
        <v>-0.14995362743064666</v>
      </c>
      <c r="AT50" s="986">
        <f t="shared" si="93"/>
        <v>-8.8233072198593443E-2</v>
      </c>
      <c r="AU50" s="988">
        <f t="shared" si="93"/>
        <v>-0.10508651804516456</v>
      </c>
      <c r="AV50" s="986">
        <f t="shared" si="93"/>
        <v>0.15657364939687968</v>
      </c>
      <c r="AW50" s="986">
        <f t="shared" si="93"/>
        <v>0.30076343902342884</v>
      </c>
      <c r="AX50" s="986">
        <f t="shared" si="93"/>
        <v>0.29883988583003407</v>
      </c>
      <c r="AY50" s="986">
        <f t="shared" si="93"/>
        <v>0.22961434732354835</v>
      </c>
      <c r="AZ50" s="988">
        <f t="shared" si="93"/>
        <v>0.24486046544396656</v>
      </c>
      <c r="BA50" s="986">
        <f t="shared" ref="BA50:BJ50" si="94">BA48/AV48-1</f>
        <v>0.1147640813811015</v>
      </c>
      <c r="BB50" s="986">
        <f t="shared" si="94"/>
        <v>7.6484295027207549E-2</v>
      </c>
      <c r="BC50" s="986">
        <f t="shared" si="94"/>
        <v>0.12189243409160189</v>
      </c>
      <c r="BD50" s="986">
        <f t="shared" si="94"/>
        <v>0.16381633918223204</v>
      </c>
      <c r="BE50" s="988">
        <f t="shared" si="94"/>
        <v>0.11929348583210286</v>
      </c>
      <c r="BF50" s="986">
        <f t="shared" si="94"/>
        <v>9.5712753144354012E-2</v>
      </c>
      <c r="BG50" s="986">
        <f t="shared" si="94"/>
        <v>0.12877787856986456</v>
      </c>
      <c r="BH50" s="986">
        <f t="shared" si="94"/>
        <v>7.1501687075861575E-2</v>
      </c>
      <c r="BI50" s="986">
        <f t="shared" si="94"/>
        <v>8.4390469849173311E-2</v>
      </c>
      <c r="BJ50" s="988">
        <f t="shared" si="94"/>
        <v>9.4931864254365284E-2</v>
      </c>
      <c r="BK50" s="986">
        <f t="shared" ref="BK50:BT50" si="95">BK48/BF48-1</f>
        <v>0.10322468262239348</v>
      </c>
      <c r="BL50" s="986">
        <f t="shared" si="95"/>
        <v>3.3666889283626267E-2</v>
      </c>
      <c r="BM50" s="986">
        <f t="shared" si="95"/>
        <v>6.0789135383127579E-2</v>
      </c>
      <c r="BN50" s="986">
        <f t="shared" si="95"/>
        <v>5.8889799536015142E-2</v>
      </c>
      <c r="BO50" s="1444">
        <f t="shared" si="95"/>
        <v>6.336856927489376E-2</v>
      </c>
      <c r="BP50" s="986">
        <f t="shared" si="95"/>
        <v>3.296191738830978E-2</v>
      </c>
      <c r="BQ50" s="986">
        <f t="shared" si="95"/>
        <v>6.4132672757688747E-2</v>
      </c>
      <c r="BR50" s="986">
        <f t="shared" si="95"/>
        <v>4.5867811091994115E-2</v>
      </c>
      <c r="BS50" s="986">
        <f t="shared" si="95"/>
        <v>3.0808793868495332E-3</v>
      </c>
      <c r="BT50" s="1444">
        <f t="shared" si="95"/>
        <v>3.5913717284203006E-2</v>
      </c>
      <c r="BU50" s="986">
        <f t="shared" ref="BU50:CE50" si="96">BU48/BP48-1</f>
        <v>-4.9546569822449538E-2</v>
      </c>
      <c r="BV50" s="986">
        <f t="shared" si="96"/>
        <v>-7.3866928677600585E-3</v>
      </c>
      <c r="BW50" s="986">
        <f t="shared" si="96"/>
        <v>3.3369211348083239E-2</v>
      </c>
      <c r="BX50" s="986">
        <f t="shared" si="96"/>
        <v>3.4207840909662002E-2</v>
      </c>
      <c r="BY50" s="1444">
        <f t="shared" si="96"/>
        <v>2.859707915082943E-3</v>
      </c>
      <c r="BZ50" s="986">
        <f t="shared" si="96"/>
        <v>0.22362959286381767</v>
      </c>
      <c r="CA50" s="986">
        <f t="shared" si="96"/>
        <v>9.0840562642449996E-2</v>
      </c>
      <c r="CB50" s="986">
        <f t="shared" si="96"/>
        <v>0.14516332288320632</v>
      </c>
      <c r="CC50" s="986">
        <f t="shared" si="96"/>
        <v>0.12484446086246459</v>
      </c>
      <c r="CD50" s="1444">
        <f t="shared" si="96"/>
        <v>0.14422081338082093</v>
      </c>
      <c r="CE50" s="986">
        <f t="shared" si="96"/>
        <v>9.360263408952374E-2</v>
      </c>
      <c r="CF50" s="986">
        <f t="shared" ref="CF50:CN50" si="97">CF48/CA48-1</f>
        <v>0.1919755973279913</v>
      </c>
      <c r="CG50" s="986">
        <f t="shared" si="97"/>
        <v>0.14332266576834529</v>
      </c>
      <c r="CH50" s="986">
        <f t="shared" si="97"/>
        <v>0.15266980956784404</v>
      </c>
      <c r="CI50" s="1444">
        <f t="shared" si="97"/>
        <v>0.14517504244892487</v>
      </c>
      <c r="CJ50" s="986">
        <f t="shared" si="97"/>
        <v>0.11181171868038953</v>
      </c>
      <c r="CK50" s="989">
        <f t="shared" si="97"/>
        <v>0.12115652905723429</v>
      </c>
      <c r="CL50" s="989">
        <f t="shared" si="97"/>
        <v>0.16171345064593701</v>
      </c>
      <c r="CM50" s="989">
        <f t="shared" si="97"/>
        <v>0.17210438761517022</v>
      </c>
      <c r="CN50" s="1025">
        <f t="shared" si="97"/>
        <v>0.14241715425773394</v>
      </c>
      <c r="CO50" s="989">
        <f t="shared" ref="CO50:CX50" si="98">CO48/CJ48-1</f>
        <v>0.17585606500821926</v>
      </c>
      <c r="CP50" s="989">
        <f t="shared" si="98"/>
        <v>0.15966782052258677</v>
      </c>
      <c r="CQ50" s="989">
        <f t="shared" si="98"/>
        <v>0.16159914400149433</v>
      </c>
      <c r="CR50" s="990">
        <f t="shared" si="98"/>
        <v>0.16106336994916592</v>
      </c>
      <c r="CS50" s="1025">
        <f t="shared" si="98"/>
        <v>0.16426504741723669</v>
      </c>
      <c r="CT50" s="989">
        <f t="shared" si="98"/>
        <v>0.16512106141013638</v>
      </c>
      <c r="CU50" s="989">
        <f t="shared" si="98"/>
        <v>0.14584654134332875</v>
      </c>
      <c r="CV50" s="989">
        <f t="shared" si="98"/>
        <v>0.1368172620583521</v>
      </c>
      <c r="CW50" s="990">
        <f t="shared" si="98"/>
        <v>0.1285530441003524</v>
      </c>
      <c r="CX50" s="1025">
        <f t="shared" si="98"/>
        <v>0.1434117827253798</v>
      </c>
      <c r="DA50" s="143"/>
      <c r="DB50" s="142"/>
      <c r="DC50" s="142"/>
    </row>
    <row r="51" spans="1:107" ht="10.5" hidden="1" customHeight="1" outlineLevel="1">
      <c r="A51" s="983" t="s">
        <v>264</v>
      </c>
      <c r="B51" s="984"/>
      <c r="C51" s="985"/>
      <c r="D51" s="986">
        <f>D48/C48-1</f>
        <v>5.5093394954746744E-2</v>
      </c>
      <c r="E51" s="986">
        <f>E48/D48-1</f>
        <v>-0.12899016261794816</v>
      </c>
      <c r="F51" s="987">
        <f>F48/E48-1</f>
        <v>-6.4538434942951195E-3</v>
      </c>
      <c r="G51" s="988"/>
      <c r="H51" s="986">
        <f>H48/F48-1</f>
        <v>-5.8134998049161335E-2</v>
      </c>
      <c r="I51" s="986">
        <f>I48/H48-1</f>
        <v>0.16323697351037869</v>
      </c>
      <c r="J51" s="986">
        <f>J48/I48-1</f>
        <v>-9.6835357754720963E-2</v>
      </c>
      <c r="K51" s="987">
        <f>K48/J48-1</f>
        <v>-5.5734944638040629E-3</v>
      </c>
      <c r="L51" s="987"/>
      <c r="M51" s="986">
        <f>M48/K48-1</f>
        <v>5.0517607218637961E-2</v>
      </c>
      <c r="N51" s="986">
        <f>N48/M48-1</f>
        <v>7.8385767331782708E-2</v>
      </c>
      <c r="O51" s="986">
        <f>O48/N48-1</f>
        <v>3.9919782049342434E-3</v>
      </c>
      <c r="P51" s="987">
        <f>P48/O48-1</f>
        <v>6.980797859309873E-2</v>
      </c>
      <c r="Q51" s="988"/>
      <c r="R51" s="986">
        <f>R48/P48-1</f>
        <v>0.12163673674290854</v>
      </c>
      <c r="S51" s="986">
        <f>S48/R48-1</f>
        <v>2.5181776779685139E-2</v>
      </c>
      <c r="T51" s="986">
        <f>T48/S48-1</f>
        <v>-5.8378842073820048E-2</v>
      </c>
      <c r="U51" s="987">
        <f>U48/T48-1</f>
        <v>0.14112690033268538</v>
      </c>
      <c r="V51" s="988"/>
      <c r="W51" s="986">
        <f>W48/U48-1</f>
        <v>5.0567043745411322E-2</v>
      </c>
      <c r="X51" s="986">
        <f>X48/W48-1</f>
        <v>5.143062632732387E-2</v>
      </c>
      <c r="Y51" s="986">
        <f>Y48/X48-1</f>
        <v>-7.2372114633815876E-2</v>
      </c>
      <c r="Z51" s="987">
        <f>Z48/Y48-1</f>
        <v>2.4215989092022161E-2</v>
      </c>
      <c r="AA51" s="988"/>
      <c r="AB51" s="986">
        <f>AB48/Z48-1</f>
        <v>0.3326586474132136</v>
      </c>
      <c r="AC51" s="986">
        <f>AC48/AB48-1</f>
        <v>-1.1824307105796628E-3</v>
      </c>
      <c r="AD51" s="986">
        <f>AD48/AC48-1</f>
        <v>-9.4604386296142096E-3</v>
      </c>
      <c r="AE51" s="987">
        <f>AE48/AD48-1</f>
        <v>7.7452091489800035E-2</v>
      </c>
      <c r="AF51" s="988"/>
      <c r="AG51" s="986">
        <f>AG48/AE48-1</f>
        <v>-2.5708206832253611E-2</v>
      </c>
      <c r="AH51" s="986">
        <f>AH48/AG48-1</f>
        <v>8.1907762368852444E-2</v>
      </c>
      <c r="AI51" s="986">
        <f>AI48/AH48-1</f>
        <v>8.621620273144992E-2</v>
      </c>
      <c r="AJ51" s="987">
        <f>AJ48/AI48-1</f>
        <v>0.12410377614551704</v>
      </c>
      <c r="AK51" s="988"/>
      <c r="AL51" s="986">
        <f>AL48/AJ48-1</f>
        <v>-7.8017214159147308E-2</v>
      </c>
      <c r="AM51" s="986">
        <f>AM48/AL48-1</f>
        <v>5.7495114728338681E-2</v>
      </c>
      <c r="AN51" s="986">
        <f>AN48/AM48-1</f>
        <v>-2.6388280342140913E-2</v>
      </c>
      <c r="AO51" s="987">
        <f>AO48/AN48-1</f>
        <v>3.601407221598274E-2</v>
      </c>
      <c r="AP51" s="988"/>
      <c r="AQ51" s="986">
        <f>AQ48/AO48-1</f>
        <v>-0.10973324972992582</v>
      </c>
      <c r="AR51" s="989">
        <f>AR48/AQ48-1</f>
        <v>-3.1320669860113504E-2</v>
      </c>
      <c r="AS51" s="986">
        <f>AS48/AR48-1</f>
        <v>-4.8570139591518458E-2</v>
      </c>
      <c r="AT51" s="986">
        <f>AT48/AS48-1</f>
        <v>0.11123745511463023</v>
      </c>
      <c r="AU51" s="988"/>
      <c r="AV51" s="986">
        <f>AV48/AT48-1</f>
        <v>0.12930073783157892</v>
      </c>
      <c r="AW51" s="986">
        <f>AW48/AV48-1</f>
        <v>8.9444375151323863E-2</v>
      </c>
      <c r="AX51" s="986">
        <f>AX48/AW48-1</f>
        <v>-4.997710252680343E-2</v>
      </c>
      <c r="AY51" s="986">
        <f>AY48/AX48-1</f>
        <v>5.2010746666477647E-2</v>
      </c>
      <c r="AZ51" s="988"/>
      <c r="BA51" s="986">
        <f>BA48/AY48-1</f>
        <v>2.3820112665426496E-2</v>
      </c>
      <c r="BB51" s="986">
        <f>BB48/BA48-1</f>
        <v>5.2034039976569524E-2</v>
      </c>
      <c r="BC51" s="986">
        <f>BC48/BB48-1</f>
        <v>-9.9033438643686411E-3</v>
      </c>
      <c r="BD51" s="986">
        <f>BD48/BC48-1</f>
        <v>9.1323248789981104E-2</v>
      </c>
      <c r="BE51" s="988"/>
      <c r="BF51" s="986">
        <f>BF48/BD48-1</f>
        <v>-3.6091248588715485E-2</v>
      </c>
      <c r="BG51" s="986">
        <f>BG48/BF48-1</f>
        <v>8.3781080780747308E-2</v>
      </c>
      <c r="BH51" s="986">
        <f>BH48/BG48-1</f>
        <v>-6.0142604175037806E-2</v>
      </c>
      <c r="BI51" s="986">
        <f>BI48/BH48-1</f>
        <v>0.10445045937562636</v>
      </c>
      <c r="BJ51" s="988"/>
      <c r="BK51" s="986">
        <f>BK48/BI48-1</f>
        <v>-1.9349619975385646E-2</v>
      </c>
      <c r="BL51" s="986">
        <f>BL48/BK48-1</f>
        <v>1.5449197322320751E-2</v>
      </c>
      <c r="BM51" s="986">
        <f>BM48/BL48-1</f>
        <v>-3.5481812722515382E-2</v>
      </c>
      <c r="BN51" s="986">
        <f>BN48/BM48-1</f>
        <v>0.10247294822012765</v>
      </c>
      <c r="BO51" s="1444"/>
      <c r="BP51" s="986">
        <f>BP48/BN48-1</f>
        <v>-4.3361738604275946E-2</v>
      </c>
      <c r="BQ51" s="986">
        <f>BQ48/BP48-1</f>
        <v>4.6091487214085847E-2</v>
      </c>
      <c r="BR51" s="986">
        <f>BR48/BQ48-1</f>
        <v>-5.2036883077620666E-2</v>
      </c>
      <c r="BS51" s="986">
        <f>BS48/BR48-1</f>
        <v>5.7370274400372123E-2</v>
      </c>
      <c r="BT51" s="1444"/>
      <c r="BU51" s="986">
        <f>BU48/BS48-1</f>
        <v>-9.3552538317306144E-2</v>
      </c>
      <c r="BV51" s="986">
        <f>BV48/BU48-1</f>
        <v>9.2493643262967939E-2</v>
      </c>
      <c r="BW51" s="986">
        <f>BW48/BV48-1</f>
        <v>-1.3114279767917569E-2</v>
      </c>
      <c r="BX51" s="986">
        <f>BX48/BW48-1</f>
        <v>5.8228381996291434E-2</v>
      </c>
      <c r="BY51" s="1444"/>
      <c r="BZ51" s="986">
        <f>BZ48/BX48-1</f>
        <v>7.2469086596414822E-2</v>
      </c>
      <c r="CA51" s="986">
        <f>CA48/BZ48-1</f>
        <v>-2.6064433673018472E-2</v>
      </c>
      <c r="CB51" s="986">
        <f>CB48/CA48-1</f>
        <v>3.6031634127444034E-2</v>
      </c>
      <c r="CC51" s="986">
        <f>CC48/CB48-1</f>
        <v>3.9452024030093735E-2</v>
      </c>
      <c r="CD51" s="1444"/>
      <c r="CE51" s="986">
        <f>CE48/CC48-1</f>
        <v>4.268195194040314E-2</v>
      </c>
      <c r="CF51" s="986">
        <f>CF48/CE48-1</f>
        <v>6.154410408684674E-2</v>
      </c>
      <c r="CG51" s="986">
        <f>CG48/CF48-1</f>
        <v>-6.2561243651156895E-3</v>
      </c>
      <c r="CH51" s="986">
        <f>CH48/CG48-1</f>
        <v>4.7949981634004102E-2</v>
      </c>
      <c r="CI51" s="1444"/>
      <c r="CJ51" s="986">
        <f>CJ48/CH48-1</f>
        <v>5.7225437859884654E-3</v>
      </c>
      <c r="CK51" s="989">
        <f>CK48/CJ48-1</f>
        <v>7.0466413676390394E-2</v>
      </c>
      <c r="CL51" s="989">
        <f>CL48/CK48-1</f>
        <v>2.9691748566835985E-2</v>
      </c>
      <c r="CM51" s="989">
        <f>CM48/CL48-1</f>
        <v>5.7323362135033307E-2</v>
      </c>
      <c r="CN51" s="1025"/>
      <c r="CO51" s="989">
        <f>CO48/CM48-1</f>
        <v>8.9416653685625569E-3</v>
      </c>
      <c r="CP51" s="989">
        <f>CP48/CO48-1</f>
        <v>5.5729089497065232E-2</v>
      </c>
      <c r="CQ51" s="989">
        <f>CQ48/CP48-1</f>
        <v>3.1406608473139697E-2</v>
      </c>
      <c r="CR51" s="990">
        <f>CR48/CQ48-1</f>
        <v>5.6835684070463577E-2</v>
      </c>
      <c r="CS51" s="1025"/>
      <c r="CT51" s="989">
        <f>CT48/CR48-1</f>
        <v>1.2467720953592831E-2</v>
      </c>
      <c r="CU51" s="989">
        <f>CU48/CT48-1</f>
        <v>3.8264233530942882E-2</v>
      </c>
      <c r="CV51" s="989">
        <f>CV48/CU48-1</f>
        <v>2.3279116712020764E-2</v>
      </c>
      <c r="CW51" s="990">
        <f>CW48/CV48-1</f>
        <v>4.9152900979066771E-2</v>
      </c>
      <c r="CX51" s="1025"/>
      <c r="DA51" s="143"/>
      <c r="DB51" s="142"/>
      <c r="DC51" s="142"/>
    </row>
    <row r="52" spans="1:107" collapsed="1">
      <c r="A52" s="240" t="s">
        <v>511</v>
      </c>
      <c r="B52" s="214"/>
      <c r="C52" s="146">
        <v>30.37</v>
      </c>
      <c r="D52" s="147">
        <v>31.074999999999999</v>
      </c>
      <c r="E52" s="147">
        <v>26.03</v>
      </c>
      <c r="F52" s="148">
        <f>115.626-SUM(C52:E52)</f>
        <v>28.15100000000001</v>
      </c>
      <c r="G52" s="149">
        <f>SUM(C52:F52)</f>
        <v>115.626</v>
      </c>
      <c r="H52" s="147">
        <v>25.599</v>
      </c>
      <c r="I52" s="147">
        <v>29.065999999999999</v>
      </c>
      <c r="J52" s="147">
        <v>26.649000000000001</v>
      </c>
      <c r="K52" s="148">
        <f>108.134-SUM(H52:J52)</f>
        <v>26.820000000000007</v>
      </c>
      <c r="L52" s="148">
        <f>SUM(H52:K52)</f>
        <v>108.134</v>
      </c>
      <c r="M52" s="147">
        <v>30.041</v>
      </c>
      <c r="N52" s="147">
        <v>30.5</v>
      </c>
      <c r="O52" s="147">
        <v>30.321000000000002</v>
      </c>
      <c r="P52" s="148">
        <f>122.427-SUM(M52:O52)</f>
        <v>31.565000000000012</v>
      </c>
      <c r="Q52" s="149">
        <f>SUM(M52:P52)</f>
        <v>122.42700000000001</v>
      </c>
      <c r="R52" s="147">
        <v>33.411999999999999</v>
      </c>
      <c r="S52" s="147">
        <v>34.377000000000002</v>
      </c>
      <c r="T52" s="147">
        <v>36.819000000000003</v>
      </c>
      <c r="U52" s="148">
        <f>137.97-SUM(R52:T52)</f>
        <v>33.361999999999995</v>
      </c>
      <c r="V52" s="149">
        <f>SUM(R52:U52)</f>
        <v>137.97</v>
      </c>
      <c r="W52" s="147">
        <v>41.131999999999998</v>
      </c>
      <c r="X52" s="147">
        <v>42.018999999999998</v>
      </c>
      <c r="Y52" s="147">
        <v>37.637</v>
      </c>
      <c r="Z52" s="148">
        <f>166.658-SUM(W52:Y52)</f>
        <v>45.86999999999999</v>
      </c>
      <c r="AA52" s="149">
        <f>SUM(W52:Z52)</f>
        <v>166.65799999999999</v>
      </c>
      <c r="AB52" s="147">
        <f>57.063-4.675</f>
        <v>52.388000000000005</v>
      </c>
      <c r="AC52" s="147">
        <f>59.716-5.043-2.219</f>
        <v>52.454000000000001</v>
      </c>
      <c r="AD52" s="147">
        <f>57.311-5.655-0.316</f>
        <v>51.339999999999996</v>
      </c>
      <c r="AE52" s="148">
        <f>58.973-5.853-1.439</f>
        <v>51.680999999999997</v>
      </c>
      <c r="AF52" s="149">
        <f>SUM(AB52:AE52)</f>
        <v>207.863</v>
      </c>
      <c r="AG52" s="147">
        <f>62.583-0.961-4.9</f>
        <v>56.722000000000001</v>
      </c>
      <c r="AH52" s="147">
        <f>68.597-8.113</f>
        <v>60.483999999999995</v>
      </c>
      <c r="AI52" s="147">
        <f>71.132-0.9-5.7</f>
        <v>64.531999999999996</v>
      </c>
      <c r="AJ52" s="148">
        <f>73.978-7.1-0.7</f>
        <v>66.177999999999997</v>
      </c>
      <c r="AK52" s="149">
        <f>SUM(AG52:AJ52)</f>
        <v>247.916</v>
      </c>
      <c r="AL52" s="147">
        <f>82.929-9.5</f>
        <v>73.429000000000002</v>
      </c>
      <c r="AM52" s="147">
        <f>77.078-10.8</f>
        <v>66.278000000000006</v>
      </c>
      <c r="AN52" s="147">
        <f>97.156-8.96-16.772</f>
        <v>71.424000000000007</v>
      </c>
      <c r="AO52" s="148">
        <f>80.128-5.7</f>
        <v>74.427999999999997</v>
      </c>
      <c r="AP52" s="149">
        <f>SUM(AL52:AO52)</f>
        <v>285.55899999999997</v>
      </c>
      <c r="AQ52" s="147">
        <f>74.051-9.004</f>
        <v>65.046999999999997</v>
      </c>
      <c r="AR52" s="147">
        <f>70.818-AR59+1.4+16.6+14.9</f>
        <v>60.433999999999997</v>
      </c>
      <c r="AS52" s="147">
        <f>79.593-AS59+0.6+18.7+14.1</f>
        <v>72.466999999999999</v>
      </c>
      <c r="AT52" s="147">
        <f>74.287-AT59+0.4+17.1+16.5</f>
        <v>66.598000000000013</v>
      </c>
      <c r="AU52" s="149">
        <f>SUM(AQ52:AT52)</f>
        <v>264.54599999999999</v>
      </c>
      <c r="AV52" s="147">
        <f>91.046-AV59+0.9+27.6+24.7</f>
        <v>79.408000000000001</v>
      </c>
      <c r="AW52" s="147">
        <f>89.953-AW59+1.6+22.6+24</f>
        <v>78.522000000000006</v>
      </c>
      <c r="AX52" s="147">
        <f>102.177-9.7</f>
        <v>92.477000000000004</v>
      </c>
      <c r="AY52" s="147">
        <f>100.323-11.7</f>
        <v>88.62299999999999</v>
      </c>
      <c r="AZ52" s="149">
        <f>SUM(AV52:AY52)</f>
        <v>339.03</v>
      </c>
      <c r="BA52" s="147">
        <f>100.979-16</f>
        <v>84.978999999999999</v>
      </c>
      <c r="BB52" s="147">
        <f>95.547-15.2</f>
        <v>80.346999999999994</v>
      </c>
      <c r="BC52" s="147">
        <f>98.493-12.6</f>
        <v>85.893000000000001</v>
      </c>
      <c r="BD52" s="147">
        <f>119.586-18.6</f>
        <v>100.98599999999999</v>
      </c>
      <c r="BE52" s="149">
        <f>SUM(BA52:BD52)</f>
        <v>352.20499999999998</v>
      </c>
      <c r="BF52" s="147">
        <f>102.681-16.3</f>
        <v>86.381</v>
      </c>
      <c r="BG52" s="147">
        <f>110.603-16.5</f>
        <v>94.102999999999994</v>
      </c>
      <c r="BH52" s="147">
        <f>110.249-16.2</f>
        <v>94.048999999999992</v>
      </c>
      <c r="BI52" s="147">
        <f>111.449-14.3</f>
        <v>97.149000000000001</v>
      </c>
      <c r="BJ52" s="149">
        <f>SUM(BF52:BI52)</f>
        <v>371.68199999999996</v>
      </c>
      <c r="BK52" s="147">
        <f>132.853-17.4</f>
        <v>115.453</v>
      </c>
      <c r="BL52" s="147">
        <f>120.87-17.3</f>
        <v>103.57000000000001</v>
      </c>
      <c r="BM52" s="147">
        <f>128.043-16.5</f>
        <v>111.54300000000001</v>
      </c>
      <c r="BN52" s="147">
        <f>138.358-17.5</f>
        <v>120.858</v>
      </c>
      <c r="BO52" s="1436">
        <f>SUM(BK52:BN52)</f>
        <v>451.42400000000004</v>
      </c>
      <c r="BP52" s="147">
        <f>138.984-17.5-10</f>
        <v>111.48400000000001</v>
      </c>
      <c r="BQ52" s="147">
        <f>129.138-18.9</f>
        <v>110.238</v>
      </c>
      <c r="BR52" s="147">
        <f>141.676-18.3</f>
        <v>123.37599999999999</v>
      </c>
      <c r="BS52" s="147">
        <f>133.534-18.2</f>
        <v>115.33399999999999</v>
      </c>
      <c r="BT52" s="1436">
        <f>SUM(BP52:BS52)</f>
        <v>460.43200000000002</v>
      </c>
      <c r="BU52" s="147">
        <f>145.081-18.4</f>
        <v>126.68099999999998</v>
      </c>
      <c r="BV52" s="147">
        <f>130.208-18.3</f>
        <v>111.908</v>
      </c>
      <c r="BW52" s="147">
        <f>-17.6+122.578+10</f>
        <v>114.97800000000001</v>
      </c>
      <c r="BX52" s="147">
        <f>134.052-17.2</f>
        <v>116.85199999999999</v>
      </c>
      <c r="BY52" s="1436">
        <f>SUM(BU52:BX52)</f>
        <v>470.41899999999998</v>
      </c>
      <c r="BZ52" s="147">
        <f>146.935-19.8</f>
        <v>127.13500000000001</v>
      </c>
      <c r="CA52" s="147">
        <f>138.596-18.7</f>
        <v>119.896</v>
      </c>
      <c r="CB52" s="147">
        <f>143.702-18.3</f>
        <v>125.402</v>
      </c>
      <c r="CC52" s="147">
        <f>148.477-18.2</f>
        <v>130.27700000000002</v>
      </c>
      <c r="CD52" s="1436">
        <f>SUM(BZ52:CC52)</f>
        <v>502.71000000000004</v>
      </c>
      <c r="CE52" s="147">
        <f>150.808-19.9</f>
        <v>130.90799999999999</v>
      </c>
      <c r="CF52" s="147">
        <f>156.929-21.1</f>
        <v>135.82900000000001</v>
      </c>
      <c r="CG52" s="147">
        <f>147.402-20.3</f>
        <v>127.10199999999999</v>
      </c>
      <c r="CH52" s="147">
        <f>169.567-21.8</f>
        <v>147.767</v>
      </c>
      <c r="CI52" s="1436">
        <f>SUM(CE52:CH52)</f>
        <v>541.60599999999999</v>
      </c>
      <c r="CJ52" s="147">
        <f>171.46-22.4</f>
        <v>149.06</v>
      </c>
      <c r="CK52" s="150">
        <f>CK53*CK24</f>
        <v>150.38987663457465</v>
      </c>
      <c r="CL52" s="150">
        <f>CL53*CL24</f>
        <v>144.81784745993679</v>
      </c>
      <c r="CM52" s="150">
        <f>CM53*CM24</f>
        <v>168.95881024943262</v>
      </c>
      <c r="CN52" s="1230">
        <f>SUM(CJ52:CM52)</f>
        <v>613.22653434394408</v>
      </c>
      <c r="CO52" s="150">
        <f>CO53*CO24</f>
        <v>173.28481739792826</v>
      </c>
      <c r="CP52" s="150">
        <f>CP53*CP24</f>
        <v>175.19719179801905</v>
      </c>
      <c r="CQ52" s="150">
        <f>CQ53*CQ24</f>
        <v>167.48198791149881</v>
      </c>
      <c r="CR52" s="150">
        <f>CR53*CR24</f>
        <v>195.7521228027328</v>
      </c>
      <c r="CS52" s="1230">
        <f>SUM(CO52:CR52)</f>
        <v>711.7161199101788</v>
      </c>
      <c r="CT52" s="150">
        <f>CT53*CT24</f>
        <v>203.89211243631323</v>
      </c>
      <c r="CU52" s="150">
        <f>CU53*CU24</f>
        <v>204.69966453690947</v>
      </c>
      <c r="CV52" s="150">
        <f>CV53*CV24</f>
        <v>194.1813373468112</v>
      </c>
      <c r="CW52" s="150">
        <f>CW53*CW24</f>
        <v>225.2867054011291</v>
      </c>
      <c r="CX52" s="1230">
        <f>SUM(CT52:CW52)</f>
        <v>828.05981972116297</v>
      </c>
      <c r="DA52" s="153"/>
      <c r="DB52" s="152"/>
      <c r="DC52" s="152"/>
    </row>
    <row r="53" spans="1:107" ht="10.5" hidden="1" customHeight="1" outlineLevel="1">
      <c r="A53" s="983" t="s">
        <v>135</v>
      </c>
      <c r="B53" s="984"/>
      <c r="C53" s="985">
        <f t="shared" ref="C53:AY53" si="99">C52/C$24</f>
        <v>9.2318729120373047E-2</v>
      </c>
      <c r="D53" s="986">
        <f t="shared" si="99"/>
        <v>9.0309887152601173E-2</v>
      </c>
      <c r="E53" s="986">
        <f t="shared" si="99"/>
        <v>8.9107826289376219E-2</v>
      </c>
      <c r="F53" s="987">
        <f t="shared" si="99"/>
        <v>0.10641490889846532</v>
      </c>
      <c r="G53" s="988">
        <f t="shared" si="99"/>
        <v>9.4026282405750908E-2</v>
      </c>
      <c r="H53" s="986">
        <f t="shared" si="99"/>
        <v>9.5555738047600564E-2</v>
      </c>
      <c r="I53" s="986">
        <f t="shared" si="99"/>
        <v>9.1587130032549868E-2</v>
      </c>
      <c r="J53" s="986">
        <f t="shared" si="99"/>
        <v>9.3544978745362065E-2</v>
      </c>
      <c r="K53" s="987">
        <f t="shared" si="99"/>
        <v>9.1022012258445528E-2</v>
      </c>
      <c r="L53" s="987">
        <f t="shared" si="99"/>
        <v>9.2835777841117864E-2</v>
      </c>
      <c r="M53" s="986">
        <f t="shared" si="99"/>
        <v>0.10118392024116271</v>
      </c>
      <c r="N53" s="986">
        <f t="shared" si="99"/>
        <v>9.5269033503464051E-2</v>
      </c>
      <c r="O53" s="986">
        <f t="shared" si="99"/>
        <v>9.5013819166337651E-2</v>
      </c>
      <c r="P53" s="987">
        <f t="shared" si="99"/>
        <v>8.8026303313570586E-2</v>
      </c>
      <c r="Q53" s="988">
        <f t="shared" si="99"/>
        <v>9.455655111531272E-2</v>
      </c>
      <c r="R53" s="986">
        <f t="shared" si="99"/>
        <v>7.8935742450050903E-2</v>
      </c>
      <c r="S53" s="986">
        <f t="shared" si="99"/>
        <v>8.3828962288306094E-2</v>
      </c>
      <c r="T53" s="986">
        <f t="shared" si="99"/>
        <v>9.1200927391488523E-2</v>
      </c>
      <c r="U53" s="987">
        <f t="shared" si="99"/>
        <v>7.7676006165279782E-2</v>
      </c>
      <c r="V53" s="988">
        <f t="shared" si="99"/>
        <v>8.278625521351797E-2</v>
      </c>
      <c r="W53" s="986">
        <f t="shared" si="99"/>
        <v>8.6981530276051947E-2</v>
      </c>
      <c r="X53" s="986">
        <f t="shared" si="99"/>
        <v>8.4710772958839095E-2</v>
      </c>
      <c r="Y53" s="986">
        <f t="shared" si="99"/>
        <v>7.7277179034943813E-2</v>
      </c>
      <c r="Z53" s="987">
        <f t="shared" si="99"/>
        <v>8.9875796234503882E-2</v>
      </c>
      <c r="AA53" s="988">
        <f t="shared" si="99"/>
        <v>8.4756252921064257E-2</v>
      </c>
      <c r="AB53" s="986">
        <f t="shared" si="99"/>
        <v>7.9923353644210784E-2</v>
      </c>
      <c r="AC53" s="986">
        <f t="shared" si="99"/>
        <v>8.2545447678517472E-2</v>
      </c>
      <c r="AD53" s="986">
        <f t="shared" si="99"/>
        <v>8.5255342574033832E-2</v>
      </c>
      <c r="AE53" s="987">
        <f t="shared" si="99"/>
        <v>7.5759152710081726E-2</v>
      </c>
      <c r="AF53" s="988">
        <f t="shared" si="99"/>
        <v>8.0714091562148108E-2</v>
      </c>
      <c r="AG53" s="986">
        <f t="shared" si="99"/>
        <v>8.7344300261623292E-2</v>
      </c>
      <c r="AH53" s="986">
        <f t="shared" si="99"/>
        <v>8.1123747111297689E-2</v>
      </c>
      <c r="AI53" s="986">
        <f t="shared" si="99"/>
        <v>7.5769708554561194E-2</v>
      </c>
      <c r="AJ53" s="987">
        <f t="shared" si="99"/>
        <v>7.2626427907476976E-2</v>
      </c>
      <c r="AK53" s="1092">
        <f t="shared" si="99"/>
        <v>7.850707483910889E-2</v>
      </c>
      <c r="AL53" s="1093">
        <f t="shared" si="99"/>
        <v>8.2463262750647151E-2</v>
      </c>
      <c r="AM53" s="1093">
        <f t="shared" si="99"/>
        <v>7.4731137936555544E-2</v>
      </c>
      <c r="AN53" s="1093">
        <f t="shared" si="99"/>
        <v>8.0499787547463716E-2</v>
      </c>
      <c r="AO53" s="1094">
        <f t="shared" si="99"/>
        <v>8.1315326870614144E-2</v>
      </c>
      <c r="AP53" s="1092">
        <f>AP52/AP$24</f>
        <v>7.9767557038779677E-2</v>
      </c>
      <c r="AQ53" s="1093">
        <f t="shared" si="99"/>
        <v>8.2715955187629545E-2</v>
      </c>
      <c r="AR53" s="1093">
        <f t="shared" si="99"/>
        <v>8.5761764676665631E-2</v>
      </c>
      <c r="AS53" s="1093">
        <f t="shared" si="99"/>
        <v>0.1038942978350038</v>
      </c>
      <c r="AT53" s="1093">
        <f t="shared" si="99"/>
        <v>8.7943344826174649E-2</v>
      </c>
      <c r="AU53" s="1092">
        <f>AU52/AU$24</f>
        <v>8.980285166978802E-2</v>
      </c>
      <c r="AV53" s="1093">
        <f t="shared" si="99"/>
        <v>9.2474671014323981E-2</v>
      </c>
      <c r="AW53" s="1093">
        <f t="shared" si="99"/>
        <v>8.3265202245939973E-2</v>
      </c>
      <c r="AX53" s="1093">
        <f t="shared" si="99"/>
        <v>9.338102167079497E-2</v>
      </c>
      <c r="AY53" s="1093">
        <f t="shared" si="99"/>
        <v>8.7924353090344118E-2</v>
      </c>
      <c r="AZ53" s="1092">
        <f>AZ52/AZ$24</f>
        <v>8.9218421052631572E-2</v>
      </c>
      <c r="BA53" s="1093">
        <f>BA52/BA$24</f>
        <v>8.2688045024549808E-2</v>
      </c>
      <c r="BB53" s="1093">
        <f>BB52/BB$24</f>
        <v>7.8526826684284956E-2</v>
      </c>
      <c r="BC53" s="1093">
        <f>BC52/BC$24</f>
        <v>8.4772979396217182E-2</v>
      </c>
      <c r="BD53" s="1093">
        <v>8.6999999999999994E-2</v>
      </c>
      <c r="BE53" s="1092">
        <f t="shared" ref="BE53:BM53" si="100">BE52/BE$24</f>
        <v>8.3534973429045381E-2</v>
      </c>
      <c r="BF53" s="1093">
        <f t="shared" si="100"/>
        <v>8.2643845314861936E-2</v>
      </c>
      <c r="BG53" s="1093">
        <f t="shared" si="100"/>
        <v>8.3688099682600089E-2</v>
      </c>
      <c r="BH53" s="1093">
        <f t="shared" si="100"/>
        <v>8.7035666031205466E-2</v>
      </c>
      <c r="BI53" s="1093">
        <f t="shared" si="100"/>
        <v>8.4226323619679785E-2</v>
      </c>
      <c r="BJ53" s="1092">
        <f t="shared" si="100"/>
        <v>8.4402648059791849E-2</v>
      </c>
      <c r="BK53" s="1093">
        <f t="shared" si="100"/>
        <v>0.11455113888356967</v>
      </c>
      <c r="BL53" s="1093">
        <f t="shared" si="100"/>
        <v>0.10248884517227766</v>
      </c>
      <c r="BM53" s="1093">
        <f t="shared" si="100"/>
        <v>0.11209011183587089</v>
      </c>
      <c r="BN53" s="1093">
        <f t="shared" ref="BN53:BX53" si="101">BN52/BN$24</f>
        <v>0.11602007873675603</v>
      </c>
      <c r="BO53" s="1443">
        <f t="shared" si="101"/>
        <v>0.11131868890620532</v>
      </c>
      <c r="BP53" s="1093">
        <f t="shared" si="101"/>
        <v>0.11147062352517699</v>
      </c>
      <c r="BQ53" s="1093">
        <f t="shared" si="101"/>
        <v>0.10319900244147207</v>
      </c>
      <c r="BR53" s="1093">
        <f t="shared" si="101"/>
        <v>0.12271224944276407</v>
      </c>
      <c r="BS53" s="1093">
        <f t="shared" si="101"/>
        <v>0.10745457120283827</v>
      </c>
      <c r="BT53" s="1443">
        <f t="shared" si="101"/>
        <v>0.11102599067051036</v>
      </c>
      <c r="BU53" s="1093">
        <f t="shared" si="101"/>
        <v>0.11421129644305121</v>
      </c>
      <c r="BV53" s="1093">
        <f t="shared" si="101"/>
        <v>9.629327509684571E-2</v>
      </c>
      <c r="BW53" s="1093">
        <f t="shared" si="101"/>
        <v>9.4416998968604865E-2</v>
      </c>
      <c r="BX53" s="1093">
        <f t="shared" si="101"/>
        <v>8.9445531397638098E-2</v>
      </c>
      <c r="BY53" s="1443">
        <f t="shared" ref="BY53:CF53" si="102">BY52/BY$24</f>
        <v>9.8095698247798832E-2</v>
      </c>
      <c r="BZ53" s="1093">
        <f t="shared" si="102"/>
        <v>9.190470854854392E-2</v>
      </c>
      <c r="CA53" s="1093">
        <f t="shared" si="102"/>
        <v>8.5719045205257124E-2</v>
      </c>
      <c r="CB53" s="1093">
        <f t="shared" si="102"/>
        <v>8.5659034664032727E-2</v>
      </c>
      <c r="CC53" s="1093">
        <f t="shared" si="102"/>
        <v>8.0996929282730445E-2</v>
      </c>
      <c r="CD53" s="1443">
        <f t="shared" si="102"/>
        <v>8.5868308272538912E-2</v>
      </c>
      <c r="CE53" s="1093">
        <f t="shared" si="102"/>
        <v>7.7845158850316884E-2</v>
      </c>
      <c r="CF53" s="1093">
        <f t="shared" si="102"/>
        <v>7.6644716424311171E-2</v>
      </c>
      <c r="CG53" s="1093">
        <f t="shared" ref="CG53" si="103">CG52/CG$24</f>
        <v>6.9036877387872508E-2</v>
      </c>
      <c r="CH53" s="1093">
        <f>CC53-1%</f>
        <v>7.099692928273045E-2</v>
      </c>
      <c r="CI53" s="1443">
        <f>CI52/CI$24</f>
        <v>7.4177310020331427E-2</v>
      </c>
      <c r="CJ53" s="1093">
        <f t="shared" ref="CJ53" si="104">CJ52/CJ$24</f>
        <v>7.1699759541729538E-2</v>
      </c>
      <c r="CK53" s="1095">
        <f>CF53-0.0075</f>
        <v>6.9144716424311164E-2</v>
      </c>
      <c r="CL53" s="1095">
        <f>CG53-0.005</f>
        <v>6.4036877387872504E-2</v>
      </c>
      <c r="CM53" s="1095">
        <f>CH53</f>
        <v>7.099692928273045E-2</v>
      </c>
      <c r="CN53" s="1096">
        <f>CN52/CN$24</f>
        <v>6.8938813842943175E-2</v>
      </c>
      <c r="CO53" s="1095">
        <f>CJ53-0.0015</f>
        <v>7.0199759541729537E-2</v>
      </c>
      <c r="CP53" s="1095">
        <f>CK53-0.001</f>
        <v>6.8144716424311164E-2</v>
      </c>
      <c r="CQ53" s="1095">
        <f>CL53-0.0015</f>
        <v>6.2536877387872503E-2</v>
      </c>
      <c r="CR53" s="1095">
        <f>CM53-0.0015</f>
        <v>6.9496929282730449E-2</v>
      </c>
      <c r="CS53" s="1096">
        <f>CS52/CS$24</f>
        <v>6.7562142792237045E-2</v>
      </c>
      <c r="CT53" s="1095">
        <f>CO53</f>
        <v>7.0199759541729537E-2</v>
      </c>
      <c r="CU53" s="1095">
        <f>CP53</f>
        <v>6.8144716424311164E-2</v>
      </c>
      <c r="CV53" s="1095">
        <f>CQ53</f>
        <v>6.2536877387872503E-2</v>
      </c>
      <c r="CW53" s="1095">
        <f>CR53</f>
        <v>6.9496929282730449E-2</v>
      </c>
      <c r="CX53" s="1096">
        <f>CX52/CX$24</f>
        <v>6.756858836908905E-2</v>
      </c>
      <c r="DA53" s="143"/>
      <c r="DB53" s="142"/>
      <c r="DC53" s="142"/>
    </row>
    <row r="54" spans="1:107" ht="10.5" hidden="1" customHeight="1" outlineLevel="1">
      <c r="A54" s="983" t="s">
        <v>263</v>
      </c>
      <c r="B54" s="991"/>
      <c r="C54" s="985"/>
      <c r="D54" s="986"/>
      <c r="E54" s="986"/>
      <c r="F54" s="987"/>
      <c r="G54" s="988"/>
      <c r="H54" s="986">
        <f t="shared" ref="H54:AZ54" si="105">H52/C52-1</f>
        <v>-0.15709581824168595</v>
      </c>
      <c r="I54" s="986">
        <f t="shared" si="105"/>
        <v>-6.465004022526144E-2</v>
      </c>
      <c r="J54" s="986">
        <f t="shared" si="105"/>
        <v>2.3780253553592035E-2</v>
      </c>
      <c r="K54" s="987">
        <f t="shared" si="105"/>
        <v>-4.7280736030691717E-2</v>
      </c>
      <c r="L54" s="987">
        <f t="shared" si="105"/>
        <v>-6.4795115285489424E-2</v>
      </c>
      <c r="M54" s="986">
        <f t="shared" si="105"/>
        <v>0.1735224032188758</v>
      </c>
      <c r="N54" s="986">
        <f t="shared" si="105"/>
        <v>4.9335993944815248E-2</v>
      </c>
      <c r="O54" s="986">
        <f t="shared" si="105"/>
        <v>0.13779128672745689</v>
      </c>
      <c r="P54" s="987">
        <f t="shared" si="105"/>
        <v>0.17692020879940351</v>
      </c>
      <c r="Q54" s="988">
        <f t="shared" si="105"/>
        <v>0.13217859322692216</v>
      </c>
      <c r="R54" s="986">
        <f t="shared" si="105"/>
        <v>0.11221330847841271</v>
      </c>
      <c r="S54" s="986">
        <f t="shared" si="105"/>
        <v>0.12711475409836082</v>
      </c>
      <c r="T54" s="986">
        <f t="shared" si="105"/>
        <v>0.21430691599881269</v>
      </c>
      <c r="U54" s="987">
        <f t="shared" si="105"/>
        <v>5.6930144146997597E-2</v>
      </c>
      <c r="V54" s="988">
        <f t="shared" si="105"/>
        <v>0.12695728883334545</v>
      </c>
      <c r="W54" s="986">
        <f t="shared" si="105"/>
        <v>0.23105471088231777</v>
      </c>
      <c r="X54" s="986">
        <f t="shared" si="105"/>
        <v>0.22229979346656181</v>
      </c>
      <c r="Y54" s="986">
        <f t="shared" si="105"/>
        <v>2.221679024416745E-2</v>
      </c>
      <c r="Z54" s="987">
        <f t="shared" si="105"/>
        <v>0.37491757088903532</v>
      </c>
      <c r="AA54" s="988">
        <f t="shared" si="105"/>
        <v>0.20792925998405432</v>
      </c>
      <c r="AB54" s="986">
        <f t="shared" si="105"/>
        <v>0.27365554799183145</v>
      </c>
      <c r="AC54" s="986">
        <f t="shared" si="105"/>
        <v>0.24834003665008697</v>
      </c>
      <c r="AD54" s="986">
        <f t="shared" si="105"/>
        <v>0.36408321598427063</v>
      </c>
      <c r="AE54" s="987">
        <f t="shared" si="105"/>
        <v>0.12668410725964696</v>
      </c>
      <c r="AF54" s="988">
        <f t="shared" si="105"/>
        <v>0.24724285662854473</v>
      </c>
      <c r="AG54" s="986">
        <f t="shared" si="105"/>
        <v>8.2728869206688538E-2</v>
      </c>
      <c r="AH54" s="986">
        <f t="shared" si="105"/>
        <v>0.15308651389789141</v>
      </c>
      <c r="AI54" s="986">
        <f t="shared" si="105"/>
        <v>0.2569536423841059</v>
      </c>
      <c r="AJ54" s="987">
        <f t="shared" si="105"/>
        <v>0.28050927807124482</v>
      </c>
      <c r="AK54" s="988">
        <f t="shared" si="105"/>
        <v>0.19268941562471431</v>
      </c>
      <c r="AL54" s="986">
        <f t="shared" si="105"/>
        <v>0.29454180035964872</v>
      </c>
      <c r="AM54" s="986">
        <f t="shared" si="105"/>
        <v>9.5793928972951692E-2</v>
      </c>
      <c r="AN54" s="986">
        <f t="shared" si="105"/>
        <v>0.10679972726709241</v>
      </c>
      <c r="AO54" s="987">
        <f t="shared" si="105"/>
        <v>0.12466378554806723</v>
      </c>
      <c r="AP54" s="988">
        <f t="shared" si="105"/>
        <v>0.15183771922748024</v>
      </c>
      <c r="AQ54" s="986">
        <f t="shared" si="105"/>
        <v>-0.11415108472129543</v>
      </c>
      <c r="AR54" s="986">
        <f t="shared" si="105"/>
        <v>-8.8174054739129204E-2</v>
      </c>
      <c r="AS54" s="986">
        <f t="shared" si="105"/>
        <v>1.4602934587813587E-2</v>
      </c>
      <c r="AT54" s="986">
        <f t="shared" si="105"/>
        <v>-0.10520234320417021</v>
      </c>
      <c r="AU54" s="988">
        <f t="shared" si="105"/>
        <v>-7.3585493715834449E-2</v>
      </c>
      <c r="AV54" s="986">
        <f t="shared" si="105"/>
        <v>0.22077882146755434</v>
      </c>
      <c r="AW54" s="986">
        <f t="shared" si="105"/>
        <v>0.29930171757619894</v>
      </c>
      <c r="AX54" s="986">
        <f t="shared" si="105"/>
        <v>0.2761256847944582</v>
      </c>
      <c r="AY54" s="986">
        <f t="shared" si="105"/>
        <v>0.33071563710621898</v>
      </c>
      <c r="AZ54" s="988">
        <f t="shared" si="105"/>
        <v>0.28155405865142535</v>
      </c>
      <c r="BA54" s="986">
        <f t="shared" ref="BA54:BJ54" si="106">BA52/AV52-1</f>
        <v>7.0156659278661992E-2</v>
      </c>
      <c r="BB54" s="986">
        <f t="shared" si="106"/>
        <v>2.3241893991492679E-2</v>
      </c>
      <c r="BC54" s="986">
        <f t="shared" si="106"/>
        <v>-7.1196081187754778E-2</v>
      </c>
      <c r="BD54" s="986">
        <f t="shared" si="106"/>
        <v>0.1395010324633561</v>
      </c>
      <c r="BE54" s="988">
        <f t="shared" si="106"/>
        <v>3.88608677698139E-2</v>
      </c>
      <c r="BF54" s="986">
        <f t="shared" si="106"/>
        <v>1.6498193671377726E-2</v>
      </c>
      <c r="BG54" s="986">
        <f t="shared" si="106"/>
        <v>0.17120738795474622</v>
      </c>
      <c r="BH54" s="986">
        <f t="shared" si="106"/>
        <v>9.4955351425610734E-2</v>
      </c>
      <c r="BI54" s="986">
        <f t="shared" si="106"/>
        <v>-3.7995365694254546E-2</v>
      </c>
      <c r="BJ54" s="988">
        <f t="shared" si="106"/>
        <v>5.5300180292727097E-2</v>
      </c>
      <c r="BK54" s="986">
        <f t="shared" ref="BK54:BT54" si="107">BK52/BF52-1</f>
        <v>0.336555492527292</v>
      </c>
      <c r="BL54" s="986">
        <f t="shared" si="107"/>
        <v>0.10060253126892893</v>
      </c>
      <c r="BM54" s="986">
        <f t="shared" si="107"/>
        <v>0.18600942062116577</v>
      </c>
      <c r="BN54" s="986">
        <f t="shared" si="107"/>
        <v>0.24404780285952499</v>
      </c>
      <c r="BO54" s="1444">
        <f t="shared" si="107"/>
        <v>0.21454361524098586</v>
      </c>
      <c r="BP54" s="986">
        <f t="shared" si="107"/>
        <v>-3.437762552727075E-2</v>
      </c>
      <c r="BQ54" s="986">
        <f t="shared" si="107"/>
        <v>6.4381577676933421E-2</v>
      </c>
      <c r="BR54" s="986">
        <f t="shared" si="107"/>
        <v>0.10608464896945557</v>
      </c>
      <c r="BS54" s="986">
        <f t="shared" si="107"/>
        <v>-4.5706531632163538E-2</v>
      </c>
      <c r="BT54" s="1444">
        <f t="shared" si="107"/>
        <v>1.9954632451974152E-2</v>
      </c>
      <c r="BU54" s="986">
        <f t="shared" ref="BU54:CE54" si="108">BU52/BP52-1</f>
        <v>0.13631552509777167</v>
      </c>
      <c r="BV54" s="986">
        <f t="shared" si="108"/>
        <v>1.5149041165478438E-2</v>
      </c>
      <c r="BW54" s="986">
        <f t="shared" si="108"/>
        <v>-6.8068343924263863E-2</v>
      </c>
      <c r="BX54" s="986">
        <f t="shared" si="108"/>
        <v>1.316177363136628E-2</v>
      </c>
      <c r="BY54" s="1444">
        <f t="shared" si="108"/>
        <v>2.1690499357125415E-2</v>
      </c>
      <c r="BZ54" s="986">
        <f t="shared" si="108"/>
        <v>3.5838049904881597E-3</v>
      </c>
      <c r="CA54" s="986">
        <f t="shared" si="108"/>
        <v>7.1380062193945104E-2</v>
      </c>
      <c r="CB54" s="986">
        <f t="shared" si="108"/>
        <v>9.0660822070309122E-2</v>
      </c>
      <c r="CC54" s="986">
        <f t="shared" si="108"/>
        <v>0.11488891931674283</v>
      </c>
      <c r="CD54" s="1444">
        <f t="shared" si="108"/>
        <v>6.8643060760726238E-2</v>
      </c>
      <c r="CE54" s="986">
        <f t="shared" si="108"/>
        <v>2.9677114877885602E-2</v>
      </c>
      <c r="CF54" s="986">
        <f t="shared" ref="CF54:CN54" si="109">CF52/CA52-1</f>
        <v>0.13289017148195104</v>
      </c>
      <c r="CG54" s="986">
        <f t="shared" si="109"/>
        <v>1.3556402609208762E-2</v>
      </c>
      <c r="CH54" s="986">
        <f t="shared" si="109"/>
        <v>0.13425240065399091</v>
      </c>
      <c r="CI54" s="1444">
        <f t="shared" si="109"/>
        <v>7.7372640289630201E-2</v>
      </c>
      <c r="CJ54" s="986">
        <f t="shared" si="109"/>
        <v>0.13866226662999992</v>
      </c>
      <c r="CK54" s="989">
        <f t="shared" si="109"/>
        <v>0.1072000576796901</v>
      </c>
      <c r="CL54" s="989">
        <f t="shared" si="109"/>
        <v>0.13938291655471047</v>
      </c>
      <c r="CM54" s="989">
        <f t="shared" si="109"/>
        <v>0.14341368674624655</v>
      </c>
      <c r="CN54" s="1025">
        <f t="shared" si="109"/>
        <v>0.13223733552424477</v>
      </c>
      <c r="CO54" s="989">
        <f t="shared" ref="CO54:CX54" si="110">CO52/CJ52-1</f>
        <v>0.16251722392277101</v>
      </c>
      <c r="CP54" s="989">
        <f t="shared" si="110"/>
        <v>0.16495335802237898</v>
      </c>
      <c r="CQ54" s="989">
        <f t="shared" si="110"/>
        <v>0.15650101730611587</v>
      </c>
      <c r="CR54" s="990">
        <f t="shared" si="110"/>
        <v>0.1585789608351611</v>
      </c>
      <c r="CS54" s="1025">
        <f t="shared" si="110"/>
        <v>0.16060881264964033</v>
      </c>
      <c r="CT54" s="989">
        <f t="shared" si="110"/>
        <v>0.17662998696590315</v>
      </c>
      <c r="CU54" s="989">
        <f t="shared" si="110"/>
        <v>0.16839580838089674</v>
      </c>
      <c r="CV54" s="989">
        <f t="shared" si="110"/>
        <v>0.15941624390929077</v>
      </c>
      <c r="CW54" s="990">
        <f t="shared" si="110"/>
        <v>0.15087745754951265</v>
      </c>
      <c r="CX54" s="1025">
        <f t="shared" si="110"/>
        <v>0.16346924926425332</v>
      </c>
      <c r="DA54" s="143"/>
      <c r="DB54" s="142"/>
      <c r="DC54" s="142"/>
    </row>
    <row r="55" spans="1:107" ht="10.5" hidden="1" customHeight="1" outlineLevel="1">
      <c r="A55" s="983" t="s">
        <v>264</v>
      </c>
      <c r="B55" s="984"/>
      <c r="C55" s="985"/>
      <c r="D55" s="986">
        <f>D52/C52-1</f>
        <v>2.3213697728021065E-2</v>
      </c>
      <c r="E55" s="986">
        <f>E52/D52-1</f>
        <v>-0.16234915526950922</v>
      </c>
      <c r="F55" s="987">
        <f>F52/E52-1</f>
        <v>8.1482904341145135E-2</v>
      </c>
      <c r="G55" s="988"/>
      <c r="H55" s="986">
        <f>H52/F52-1</f>
        <v>-9.0653973215871875E-2</v>
      </c>
      <c r="I55" s="986">
        <f>I52/H52-1</f>
        <v>0.13543497792882531</v>
      </c>
      <c r="J55" s="986">
        <f>J52/I52-1</f>
        <v>-8.3155576962774314E-2</v>
      </c>
      <c r="K55" s="987">
        <f>K52/J52-1</f>
        <v>6.4167510976023134E-3</v>
      </c>
      <c r="L55" s="987"/>
      <c r="M55" s="986">
        <f>M52/K52-1</f>
        <v>0.12009694258016368</v>
      </c>
      <c r="N55" s="986">
        <f>N52/M52-1</f>
        <v>1.5279118537998126E-2</v>
      </c>
      <c r="O55" s="986">
        <f>O52/N52-1</f>
        <v>-5.8688524590163604E-3</v>
      </c>
      <c r="P55" s="987">
        <f>P52/O52-1</f>
        <v>4.1027670591339716E-2</v>
      </c>
      <c r="Q55" s="988"/>
      <c r="R55" s="986">
        <f>R52/P52-1</f>
        <v>5.8514177094883157E-2</v>
      </c>
      <c r="S55" s="986">
        <f>S52/R52-1</f>
        <v>2.8881838860289832E-2</v>
      </c>
      <c r="T55" s="986">
        <f>T52/S52-1</f>
        <v>7.1035867004101583E-2</v>
      </c>
      <c r="U55" s="987">
        <f>U52/T52-1</f>
        <v>-9.389174067736783E-2</v>
      </c>
      <c r="V55" s="988"/>
      <c r="W55" s="986">
        <f>W52/U52-1</f>
        <v>0.2328997062526228</v>
      </c>
      <c r="X55" s="986">
        <f>X52/W52-1</f>
        <v>2.1564718467373289E-2</v>
      </c>
      <c r="Y55" s="986">
        <f>Y52/X52-1</f>
        <v>-0.10428615626264304</v>
      </c>
      <c r="Z55" s="987">
        <f>Z52/Y52-1</f>
        <v>0.21874750910008744</v>
      </c>
      <c r="AA55" s="988"/>
      <c r="AB55" s="986">
        <f>AB52/Z52-1</f>
        <v>0.14209723130586482</v>
      </c>
      <c r="AC55" s="986">
        <f>AC52/AB52-1</f>
        <v>1.2598304955331319E-3</v>
      </c>
      <c r="AD55" s="986">
        <f>AD52/AC52-1</f>
        <v>-2.1237655850840809E-2</v>
      </c>
      <c r="AE55" s="987">
        <f>AE52/AD52-1</f>
        <v>6.6419945461628771E-3</v>
      </c>
      <c r="AF55" s="988"/>
      <c r="AG55" s="986">
        <f>AG52/AE52-1</f>
        <v>9.7540682262340139E-2</v>
      </c>
      <c r="AH55" s="986">
        <f>AH52/AG52-1</f>
        <v>6.6323472374034687E-2</v>
      </c>
      <c r="AI55" s="986">
        <f>AI52/AH52-1</f>
        <v>6.6926790556180116E-2</v>
      </c>
      <c r="AJ55" s="987">
        <f>AJ52/AI52-1</f>
        <v>2.5506725345564973E-2</v>
      </c>
      <c r="AK55" s="988"/>
      <c r="AL55" s="986">
        <f>AL52/AJ52-1</f>
        <v>0.10956813442533786</v>
      </c>
      <c r="AM55" s="986">
        <f>AM52/AL52-1</f>
        <v>-9.7386591128845512E-2</v>
      </c>
      <c r="AN55" s="986">
        <f>AN52/AM52-1</f>
        <v>7.7642656688494016E-2</v>
      </c>
      <c r="AO55" s="987">
        <f>AO52/AN52-1</f>
        <v>4.2058691756272193E-2</v>
      </c>
      <c r="AP55" s="988"/>
      <c r="AQ55" s="986">
        <f>AQ52/AO52-1</f>
        <v>-0.12604127478905791</v>
      </c>
      <c r="AR55" s="986">
        <f>AR52/AQ52-1</f>
        <v>-7.091795163497161E-2</v>
      </c>
      <c r="AS55" s="986">
        <f>AS52/AR52-1</f>
        <v>0.19910977264453789</v>
      </c>
      <c r="AT55" s="986">
        <f>AT52/AS52-1</f>
        <v>-8.0988587908979115E-2</v>
      </c>
      <c r="AU55" s="988"/>
      <c r="AV55" s="986">
        <f>AV52/AT52-1</f>
        <v>0.19234811856211875</v>
      </c>
      <c r="AW55" s="986">
        <f>AW52/AV52-1</f>
        <v>-1.1157565988313412E-2</v>
      </c>
      <c r="AX55" s="986">
        <f>AX52/AW52-1</f>
        <v>0.17772089350755205</v>
      </c>
      <c r="AY55" s="986">
        <f>AY52/AX52-1</f>
        <v>-4.167522735382867E-2</v>
      </c>
      <c r="AZ55" s="988"/>
      <c r="BA55" s="986">
        <f>BA52/AY52-1</f>
        <v>-4.1117994200151053E-2</v>
      </c>
      <c r="BB55" s="986">
        <f>BB52/BA52-1</f>
        <v>-5.450758422669133E-2</v>
      </c>
      <c r="BC55" s="986">
        <f>BC52/BB52-1</f>
        <v>6.902560145369474E-2</v>
      </c>
      <c r="BD55" s="986">
        <f>BD52/BC52-1</f>
        <v>0.17571862666340676</v>
      </c>
      <c r="BE55" s="988"/>
      <c r="BF55" s="986">
        <f>BF52/BD52-1</f>
        <v>-0.14462400728813884</v>
      </c>
      <c r="BG55" s="986">
        <f>BG52/BF52-1</f>
        <v>8.9394658547597095E-2</v>
      </c>
      <c r="BH55" s="986">
        <f>BH52/BG52-1</f>
        <v>-5.7383930374166336E-4</v>
      </c>
      <c r="BI55" s="986">
        <f>BI52/BH52-1</f>
        <v>3.296154132420348E-2</v>
      </c>
      <c r="BJ55" s="988"/>
      <c r="BK55" s="986">
        <f>BK52/BI52-1</f>
        <v>0.18841161514786564</v>
      </c>
      <c r="BL55" s="986">
        <f>BL52/BK52-1</f>
        <v>-0.10292499978346159</v>
      </c>
      <c r="BM55" s="986">
        <f>BM52/BL52-1</f>
        <v>7.6981751472434023E-2</v>
      </c>
      <c r="BN55" s="986">
        <f>BN52/BM52-1</f>
        <v>8.3510395094268608E-2</v>
      </c>
      <c r="BO55" s="1444"/>
      <c r="BP55" s="986">
        <f>BP52/BN52-1</f>
        <v>-7.7562097668337993E-2</v>
      </c>
      <c r="BQ55" s="986">
        <f>BQ52/BP52-1</f>
        <v>-1.1176491693875468E-2</v>
      </c>
      <c r="BR55" s="986">
        <f>BR52/BQ52-1</f>
        <v>0.1191785046898528</v>
      </c>
      <c r="BS55" s="986">
        <f>BS52/BR52-1</f>
        <v>-6.5182855660744443E-2</v>
      </c>
      <c r="BT55" s="1444"/>
      <c r="BU55" s="986">
        <f>BU52/BS52-1</f>
        <v>9.8383824370957385E-2</v>
      </c>
      <c r="BV55" s="986">
        <f>BV52/BU52-1</f>
        <v>-0.11661575137550206</v>
      </c>
      <c r="BW55" s="986">
        <f>BW52/BV52-1</f>
        <v>2.7433248740036609E-2</v>
      </c>
      <c r="BX55" s="986">
        <f>BX52/BW52-1</f>
        <v>1.629877019951631E-2</v>
      </c>
      <c r="BY55" s="1444"/>
      <c r="BZ55" s="986">
        <f>BZ52/BX52-1</f>
        <v>8.8000205388012231E-2</v>
      </c>
      <c r="CA55" s="986">
        <f>CA52/BZ52-1</f>
        <v>-5.693947378770603E-2</v>
      </c>
      <c r="CB55" s="986">
        <f>CB52/CA52-1</f>
        <v>4.5923133382264725E-2</v>
      </c>
      <c r="CC55" s="986">
        <f>CC52/CB52-1</f>
        <v>3.8874978070525312E-2</v>
      </c>
      <c r="CD55" s="1444"/>
      <c r="CE55" s="986">
        <f>CE52/CC52-1</f>
        <v>4.8435257182770641E-3</v>
      </c>
      <c r="CF55" s="986">
        <f>CF52/CE52-1</f>
        <v>3.7591285482934778E-2</v>
      </c>
      <c r="CG55" s="986">
        <f>CG52/CF52-1</f>
        <v>-6.4249902450875918E-2</v>
      </c>
      <c r="CH55" s="986">
        <f>CH52/CG52-1</f>
        <v>0.16258595458765401</v>
      </c>
      <c r="CI55" s="1444"/>
      <c r="CJ55" s="986">
        <f>CJ52/CH52-1</f>
        <v>8.7502622371706806E-3</v>
      </c>
      <c r="CK55" s="989">
        <f>CK52/CJ52-1</f>
        <v>8.9217538881969372E-3</v>
      </c>
      <c r="CL55" s="989">
        <f>CL52/CK52-1</f>
        <v>-3.7050560179506475E-2</v>
      </c>
      <c r="CM55" s="989">
        <f>CM52/CL52-1</f>
        <v>0.1666988096627684</v>
      </c>
      <c r="CN55" s="1025"/>
      <c r="CO55" s="989">
        <f>CO52/CM52-1</f>
        <v>2.5603915783433795E-2</v>
      </c>
      <c r="CP55" s="989">
        <f>CP52/CO52-1</f>
        <v>1.1036018208676834E-2</v>
      </c>
      <c r="CQ55" s="989">
        <f>CQ52/CP52-1</f>
        <v>-4.4037257717092437E-2</v>
      </c>
      <c r="CR55" s="990">
        <f>CR52/CQ52-1</f>
        <v>0.16879507607810673</v>
      </c>
      <c r="CS55" s="1025"/>
      <c r="CT55" s="989">
        <f>CT52/CR52-1</f>
        <v>4.158314871396529E-2</v>
      </c>
      <c r="CU55" s="989">
        <f>CU52/CT52-1</f>
        <v>3.9606833778256245E-3</v>
      </c>
      <c r="CV55" s="989">
        <f>CV52/CU52-1</f>
        <v>-5.1384193588659755E-2</v>
      </c>
      <c r="CW55" s="990">
        <f>CW52/CV52-1</f>
        <v>0.16018721716167383</v>
      </c>
      <c r="CX55" s="1025"/>
      <c r="DA55" s="143"/>
      <c r="DB55" s="142"/>
      <c r="DC55" s="142"/>
    </row>
    <row r="56" spans="1:107" collapsed="1">
      <c r="A56" s="135" t="s">
        <v>141</v>
      </c>
      <c r="B56" s="242"/>
      <c r="C56" s="136">
        <f>SUM(C57:C64)</f>
        <v>3.5819999999999999</v>
      </c>
      <c r="D56" s="137">
        <f>SUM(D57:D64)</f>
        <v>3.581</v>
      </c>
      <c r="E56" s="137">
        <f>SUM(E57:E64)</f>
        <v>3.5680000000000001</v>
      </c>
      <c r="F56" s="138">
        <f>SUM(F57:F64)</f>
        <v>15.613000000000001</v>
      </c>
      <c r="G56" s="139">
        <f t="shared" ref="G56:G64" si="111">SUM(C56:F56)</f>
        <v>26.344000000000001</v>
      </c>
      <c r="H56" s="137">
        <f>SUM(H57:H64)</f>
        <v>8.9</v>
      </c>
      <c r="I56" s="137">
        <f>SUM(I57:I64)</f>
        <v>5.556</v>
      </c>
      <c r="J56" s="137">
        <f>SUM(J57:J64)</f>
        <v>3.5409999999999999</v>
      </c>
      <c r="K56" s="138">
        <f>SUM(K57:K64)</f>
        <v>20.893000000000001</v>
      </c>
      <c r="L56" s="138">
        <f t="shared" ref="L56:L64" si="112">SUM(H56:K56)</f>
        <v>38.89</v>
      </c>
      <c r="M56" s="137">
        <f>SUM(M57:M64)</f>
        <v>0</v>
      </c>
      <c r="N56" s="137">
        <f>SUM(N57:N64)</f>
        <v>0</v>
      </c>
      <c r="O56" s="137">
        <f>SUM(O57:O64)</f>
        <v>-0.439</v>
      </c>
      <c r="P56" s="138">
        <f>SUM(P57:P64)</f>
        <v>-0.10500000000000004</v>
      </c>
      <c r="Q56" s="139">
        <f t="shared" ref="Q56:Q64" si="113">SUM(M56:P56)</f>
        <v>-0.54400000000000004</v>
      </c>
      <c r="R56" s="137">
        <f>SUM(R57:R64)</f>
        <v>0</v>
      </c>
      <c r="S56" s="137">
        <f>SUM(S57:S64)</f>
        <v>0</v>
      </c>
      <c r="T56" s="137">
        <f>SUM(T57:T64)</f>
        <v>0</v>
      </c>
      <c r="U56" s="138">
        <f>SUM(U57:U64)</f>
        <v>0</v>
      </c>
      <c r="V56" s="139">
        <f t="shared" ref="V56:V64" si="114">SUM(R56:U56)</f>
        <v>0</v>
      </c>
      <c r="W56" s="137">
        <f>SUM(W57:W64)</f>
        <v>0</v>
      </c>
      <c r="X56" s="137">
        <f>SUM(X57:X64)</f>
        <v>0</v>
      </c>
      <c r="Y56" s="137">
        <f>SUM(Y57:Y64)</f>
        <v>0</v>
      </c>
      <c r="Z56" s="138">
        <f>SUM(Z57:Z64)</f>
        <v>0</v>
      </c>
      <c r="AA56" s="139">
        <f t="shared" ref="AA56:AA64" si="115">SUM(W56:Z56)</f>
        <v>0</v>
      </c>
      <c r="AB56" s="137">
        <f>SUM(AB57:AB64)</f>
        <v>122.42099999999999</v>
      </c>
      <c r="AC56" s="137">
        <f>SUM(AC57:AC64)</f>
        <v>95.156999999999996</v>
      </c>
      <c r="AD56" s="137">
        <f>SUM(AD57:AD64)</f>
        <v>97.216000000000008</v>
      </c>
      <c r="AE56" s="138">
        <f>SUM(AE57:AE64)</f>
        <v>92.477000000000004</v>
      </c>
      <c r="AF56" s="139">
        <f t="shared" ref="AF56:AF64" si="116">SUM(AB56:AE56)</f>
        <v>407.27099999999996</v>
      </c>
      <c r="AG56" s="137">
        <f>SUM(AG57:AG64)</f>
        <v>76.187999999999988</v>
      </c>
      <c r="AH56" s="137">
        <f>SUM(AH57:AH64)</f>
        <v>101.663</v>
      </c>
      <c r="AI56" s="137">
        <f>SUM(AI57:AI64)</f>
        <v>85.832000000000008</v>
      </c>
      <c r="AJ56" s="138">
        <f>SUM(AJ57:AJ64)</f>
        <v>86.36099999999999</v>
      </c>
      <c r="AK56" s="139">
        <f t="shared" ref="AK56:AK64" si="117">SUM(AG56:AJ56)</f>
        <v>350.04399999999998</v>
      </c>
      <c r="AL56" s="137">
        <f>SUM(AL57:AL64)</f>
        <v>83.535999999999987</v>
      </c>
      <c r="AM56" s="137">
        <f>SUM(AM57:AM64)</f>
        <v>89.459000000000003</v>
      </c>
      <c r="AN56" s="137">
        <f>SUM(AN57:AN64)</f>
        <v>132.44999999999999</v>
      </c>
      <c r="AO56" s="138">
        <f>SUM(AO57:AO64)</f>
        <v>101.67</v>
      </c>
      <c r="AP56" s="139">
        <f t="shared" ref="AP56:AP64" si="118">SUM(AL56:AO56)</f>
        <v>407.11500000000001</v>
      </c>
      <c r="AQ56" s="137">
        <f>SUM(AQ57:AQ64)</f>
        <v>87.058999999999997</v>
      </c>
      <c r="AR56" s="137">
        <f>SUM(AR57:AR64)</f>
        <v>76.343000000000004</v>
      </c>
      <c r="AS56" s="137">
        <f>SUM(AS57:AS64)</f>
        <v>69.486999999999995</v>
      </c>
      <c r="AT56" s="137">
        <f>SUM(AT57:AT64)</f>
        <v>111.54400000000001</v>
      </c>
      <c r="AU56" s="139">
        <f t="shared" ref="AU56:AU64" si="119">SUM(AQ56:AT56)</f>
        <v>344.43299999999999</v>
      </c>
      <c r="AV56" s="137">
        <f>SUM(AV57:AV64)</f>
        <v>112.45300000000002</v>
      </c>
      <c r="AW56" s="137">
        <f>SUM(AW57:AW64)</f>
        <v>107.181</v>
      </c>
      <c r="AX56" s="137">
        <f>SUM(AX57:AX64)</f>
        <v>82.9</v>
      </c>
      <c r="AY56" s="137">
        <f>SUM(AY57:AY64)</f>
        <v>96.975000000000009</v>
      </c>
      <c r="AZ56" s="139">
        <f t="shared" ref="AZ56:AZ64" si="120">SUM(AV56:AY56)</f>
        <v>399.50900000000001</v>
      </c>
      <c r="BA56" s="137">
        <f>SUM(BA57:BA64)</f>
        <v>97.727000000000004</v>
      </c>
      <c r="BB56" s="137">
        <f>SUM(BB57:BB64)</f>
        <v>99.706000000000003</v>
      </c>
      <c r="BC56" s="137">
        <f>SUM(BC57:BC64)</f>
        <v>91.99199999999999</v>
      </c>
      <c r="BD56" s="137">
        <f>SUM(BD57:BD64)</f>
        <v>177.732</v>
      </c>
      <c r="BE56" s="139">
        <f t="shared" ref="BE56:BE64" si="121">SUM(BA56:BD56)</f>
        <v>467.15699999999993</v>
      </c>
      <c r="BF56" s="137">
        <f>SUM(BF57:BF64)</f>
        <v>97.574999999999989</v>
      </c>
      <c r="BG56" s="137">
        <f>SUM(BG57:BG64)</f>
        <v>99.222999999999999</v>
      </c>
      <c r="BH56" s="137">
        <f>SUM(BH57:BH64)</f>
        <v>113.50000000000001</v>
      </c>
      <c r="BI56" s="137">
        <f>SUM(BI57:BI64)</f>
        <v>107.458</v>
      </c>
      <c r="BJ56" s="139">
        <f t="shared" ref="BJ56:BJ64" si="122">SUM(BF56:BI56)</f>
        <v>417.75599999999997</v>
      </c>
      <c r="BK56" s="137">
        <f>SUM(BK57:BK64)</f>
        <v>142.441</v>
      </c>
      <c r="BL56" s="137">
        <f>SUM(BL57:BL64)</f>
        <v>135.97499999999999</v>
      </c>
      <c r="BM56" s="137">
        <f>SUM(BM57:BM64)</f>
        <v>112.673</v>
      </c>
      <c r="BN56" s="138">
        <f>SUM(BN57:BN64)</f>
        <v>117</v>
      </c>
      <c r="BO56" s="1440">
        <f t="shared" ref="BO56:BO64" si="123">SUM(BK56:BN56)</f>
        <v>508.089</v>
      </c>
      <c r="BP56" s="137">
        <f>SUM(BP57:BP64)</f>
        <v>124.99999999999999</v>
      </c>
      <c r="BQ56" s="137">
        <f>SUM(BQ57:BQ64)</f>
        <v>115.069</v>
      </c>
      <c r="BR56" s="137">
        <f>SUM(BR57:BR64)</f>
        <v>115.663</v>
      </c>
      <c r="BS56" s="138">
        <f>SUM(BS57:BS64)</f>
        <v>135.69999999999999</v>
      </c>
      <c r="BT56" s="1440">
        <f t="shared" ref="BT56:BT64" si="124">SUM(BP56:BS56)</f>
        <v>491.43199999999996</v>
      </c>
      <c r="BU56" s="137">
        <f>SUM(BU57:BU64)</f>
        <v>122.12699999999998</v>
      </c>
      <c r="BV56" s="137">
        <f>SUM(BV57:BV64)</f>
        <v>125.51400000000001</v>
      </c>
      <c r="BW56" s="137">
        <f>SUM(BW57:BW64)</f>
        <v>114.69</v>
      </c>
      <c r="BX56" s="138">
        <f>SUM(BX57:BX64)</f>
        <v>119.904</v>
      </c>
      <c r="BY56" s="1440">
        <f t="shared" ref="BY56:BY64" si="125">SUM(BU56:BX56)</f>
        <v>482.23500000000001</v>
      </c>
      <c r="BZ56" s="137">
        <f>SUM(BZ57:BZ64)</f>
        <v>127.545</v>
      </c>
      <c r="CA56" s="137">
        <f>SUM(CA57:CA64)</f>
        <v>119.31000000000002</v>
      </c>
      <c r="CB56" s="137">
        <f>SUM(CB57:CB64)</f>
        <v>121.81399999999999</v>
      </c>
      <c r="CC56" s="138">
        <f>SUM(CC57:CC64)</f>
        <v>117.44200000000001</v>
      </c>
      <c r="CD56" s="1440">
        <f t="shared" ref="CD56:CD64" si="126">SUM(BZ56:CC56)</f>
        <v>486.11099999999999</v>
      </c>
      <c r="CE56" s="137">
        <f>SUM(CE57:CE64)</f>
        <v>139.042</v>
      </c>
      <c r="CF56" s="137">
        <f>SUM(CF57:CF64)</f>
        <v>155.04999999999998</v>
      </c>
      <c r="CG56" s="137">
        <f>SUM(CG57:CG64)</f>
        <v>153.648</v>
      </c>
      <c r="CH56" s="138">
        <f>SUM(CH57:CH64)</f>
        <v>156.63800000000001</v>
      </c>
      <c r="CI56" s="1440">
        <f t="shared" ref="CI56:CI64" si="127">SUM(CE56:CH56)</f>
        <v>604.37800000000004</v>
      </c>
      <c r="CJ56" s="137">
        <f>SUM(CJ57:CJ64)</f>
        <v>167.39118000000002</v>
      </c>
      <c r="CK56" s="140">
        <f>SUM(CK57:CK64)</f>
        <v>191.80185</v>
      </c>
      <c r="CL56" s="140">
        <f>SUM(CL57:CL64)</f>
        <v>190.96080000000003</v>
      </c>
      <c r="CM56" s="140">
        <f>SUM(CM57:CM64)</f>
        <v>196.64700000000002</v>
      </c>
      <c r="CN56" s="1016">
        <f t="shared" ref="CN56:CN64" si="128">SUM(CJ56:CM56)</f>
        <v>746.80083000000013</v>
      </c>
      <c r="CO56" s="140">
        <f>SUM(CO57:CO64)</f>
        <v>194.52861600000003</v>
      </c>
      <c r="CP56" s="140">
        <f>SUM(CP57:CP64)</f>
        <v>223.82141999999999</v>
      </c>
      <c r="CQ56" s="140">
        <f>SUM(CQ57:CQ64)</f>
        <v>222.81216000000003</v>
      </c>
      <c r="CR56" s="141">
        <f>SUM(CR57:CR64)</f>
        <v>229.63560000000001</v>
      </c>
      <c r="CS56" s="1016">
        <f t="shared" ref="CS56:CS64" si="129">SUM(CO56:CR56)</f>
        <v>870.79779600000006</v>
      </c>
      <c r="CT56" s="140">
        <f>SUM(CT57:CT64)</f>
        <v>227.09353920000004</v>
      </c>
      <c r="CU56" s="140">
        <f>SUM(CU57:CU64)</f>
        <v>262.24490399999996</v>
      </c>
      <c r="CV56" s="140">
        <f>SUM(CV57:CV64)</f>
        <v>261.03379200000001</v>
      </c>
      <c r="CW56" s="141">
        <f>SUM(CW57:CW64)</f>
        <v>269.22192000000001</v>
      </c>
      <c r="CX56" s="1016">
        <f t="shared" ref="CX56:CX64" si="130">SUM(CT56:CW56)</f>
        <v>1019.5941551999999</v>
      </c>
      <c r="DA56" s="143"/>
      <c r="DB56" s="243"/>
      <c r="DC56" s="243"/>
    </row>
    <row r="57" spans="1:107" hidden="1" outlineLevel="1">
      <c r="A57" s="135" t="s">
        <v>615</v>
      </c>
      <c r="B57" s="242"/>
      <c r="C57" s="244">
        <v>3.5819999999999999</v>
      </c>
      <c r="D57" s="245">
        <v>3.581</v>
      </c>
      <c r="E57" s="245">
        <v>3.5680000000000001</v>
      </c>
      <c r="F57" s="246">
        <f>14.281-SUM(C57:E57)</f>
        <v>3.5500000000000007</v>
      </c>
      <c r="G57" s="139">
        <f t="shared" si="111"/>
        <v>14.281000000000001</v>
      </c>
      <c r="H57" s="245">
        <v>3.5409999999999999</v>
      </c>
      <c r="I57" s="245">
        <v>3.5409999999999999</v>
      </c>
      <c r="J57" s="245">
        <v>3.5409999999999999</v>
      </c>
      <c r="K57" s="246">
        <f>20.973-SUM(H57:J57)</f>
        <v>10.35</v>
      </c>
      <c r="L57" s="138">
        <f t="shared" si="112"/>
        <v>20.972999999999999</v>
      </c>
      <c r="M57" s="247">
        <v>0</v>
      </c>
      <c r="N57" s="247">
        <v>0</v>
      </c>
      <c r="O57" s="247">
        <v>0</v>
      </c>
      <c r="P57" s="248">
        <v>0</v>
      </c>
      <c r="Q57" s="139">
        <f t="shared" si="113"/>
        <v>0</v>
      </c>
      <c r="R57" s="247">
        <v>0</v>
      </c>
      <c r="S57" s="247">
        <v>0</v>
      </c>
      <c r="T57" s="247">
        <v>0</v>
      </c>
      <c r="U57" s="248">
        <v>0</v>
      </c>
      <c r="V57" s="139">
        <f t="shared" si="114"/>
        <v>0</v>
      </c>
      <c r="W57" s="247">
        <v>0</v>
      </c>
      <c r="X57" s="247">
        <v>0</v>
      </c>
      <c r="Y57" s="247">
        <v>0</v>
      </c>
      <c r="Z57" s="248">
        <v>0</v>
      </c>
      <c r="AA57" s="139">
        <f t="shared" si="115"/>
        <v>0</v>
      </c>
      <c r="AB57" s="245">
        <v>17.111999999999998</v>
      </c>
      <c r="AC57" s="245">
        <v>17.306000000000001</v>
      </c>
      <c r="AD57" s="245">
        <f>17.693</f>
        <v>17.693000000000001</v>
      </c>
      <c r="AE57" s="246">
        <v>17.762</v>
      </c>
      <c r="AF57" s="139">
        <f t="shared" si="116"/>
        <v>69.873000000000005</v>
      </c>
      <c r="AG57" s="245">
        <v>17.7</v>
      </c>
      <c r="AH57" s="245">
        <v>18.923999999999999</v>
      </c>
      <c r="AI57" s="245">
        <v>17.893000000000001</v>
      </c>
      <c r="AJ57" s="246">
        <f>17.893</f>
        <v>17.893000000000001</v>
      </c>
      <c r="AK57" s="139">
        <f t="shared" si="117"/>
        <v>72.41</v>
      </c>
      <c r="AL57" s="245">
        <v>17.099</v>
      </c>
      <c r="AM57" s="245">
        <v>17.099</v>
      </c>
      <c r="AN57" s="245">
        <v>17.024000000000001</v>
      </c>
      <c r="AO57" s="246">
        <v>17.024000000000001</v>
      </c>
      <c r="AP57" s="139">
        <f>SUM(AL57:AO57)</f>
        <v>68.246000000000009</v>
      </c>
      <c r="AQ57" s="245">
        <v>17.024000000000001</v>
      </c>
      <c r="AR57" s="245">
        <f>29.528-AR58</f>
        <v>14.243999999999998</v>
      </c>
      <c r="AS57" s="245">
        <f>28.896-AS58</f>
        <v>13.918000000000001</v>
      </c>
      <c r="AT57" s="245">
        <f>44.461-AT58</f>
        <v>18.559999999999999</v>
      </c>
      <c r="AU57" s="139">
        <f t="shared" si="119"/>
        <v>63.745999999999995</v>
      </c>
      <c r="AV57" s="245">
        <f>35.993-AV58</f>
        <v>17.796000000000003</v>
      </c>
      <c r="AW57" s="245">
        <f>36.009-AW58</f>
        <v>17.88</v>
      </c>
      <c r="AX57" s="245">
        <f>34.936-AX58</f>
        <v>17.312000000000001</v>
      </c>
      <c r="AY57" s="245">
        <f>35.082-AY58</f>
        <v>16.898</v>
      </c>
      <c r="AZ57" s="139">
        <f t="shared" si="120"/>
        <v>69.885999999999996</v>
      </c>
      <c r="BA57" s="245">
        <f>26.086-BA58</f>
        <v>15.850999999999999</v>
      </c>
      <c r="BB57" s="245">
        <v>15</v>
      </c>
      <c r="BC57" s="245">
        <v>13.7</v>
      </c>
      <c r="BD57" s="245">
        <v>0</v>
      </c>
      <c r="BE57" s="139">
        <f t="shared" si="121"/>
        <v>44.551000000000002</v>
      </c>
      <c r="BF57" s="245">
        <v>16.399999999999999</v>
      </c>
      <c r="BG57" s="245">
        <v>18.100000000000001</v>
      </c>
      <c r="BH57" s="245">
        <v>18.100000000000001</v>
      </c>
      <c r="BI57" s="245">
        <v>18.600000000000001</v>
      </c>
      <c r="BJ57" s="139">
        <f t="shared" si="122"/>
        <v>71.2</v>
      </c>
      <c r="BK57" s="245">
        <v>44.9</v>
      </c>
      <c r="BL57" s="245">
        <f>31.359-BL58</f>
        <v>18.567</v>
      </c>
      <c r="BM57" s="245">
        <v>19.3</v>
      </c>
      <c r="BN57" s="246">
        <v>18.8</v>
      </c>
      <c r="BO57" s="1440">
        <f t="shared" si="123"/>
        <v>101.56699999999999</v>
      </c>
      <c r="BP57" s="245">
        <v>18.5</v>
      </c>
      <c r="BQ57" s="245">
        <f>31.835-BQ58</f>
        <v>18.483000000000001</v>
      </c>
      <c r="BR57" s="245">
        <f>31.78-BR58</f>
        <v>18.672000000000001</v>
      </c>
      <c r="BS57" s="246">
        <v>18.899999999999999</v>
      </c>
      <c r="BT57" s="1440">
        <f t="shared" si="124"/>
        <v>74.555000000000007</v>
      </c>
      <c r="BU57" s="245">
        <v>19.5</v>
      </c>
      <c r="BV57" s="245">
        <f>40.08-BV58</f>
        <v>21.998999999999999</v>
      </c>
      <c r="BW57" s="245">
        <f>41.041-BW58</f>
        <v>22.794999999999998</v>
      </c>
      <c r="BX57" s="246">
        <f>37.678-BX58</f>
        <v>19.627999999999997</v>
      </c>
      <c r="BY57" s="1440">
        <f t="shared" si="125"/>
        <v>83.921999999999997</v>
      </c>
      <c r="BZ57" s="245">
        <f>36.264-BZ58</f>
        <v>17.870000000000005</v>
      </c>
      <c r="CA57" s="245">
        <f>32.567-CA58</f>
        <v>13.579000000000001</v>
      </c>
      <c r="CB57" s="245">
        <f>36.082-CB58</f>
        <v>13.43</v>
      </c>
      <c r="CC57" s="245">
        <f>31.143-CC58</f>
        <v>12.643000000000001</v>
      </c>
      <c r="CD57" s="1440">
        <f t="shared" si="126"/>
        <v>57.522000000000006</v>
      </c>
      <c r="CE57" s="245">
        <f>35.464-CE58</f>
        <v>16.363999999999997</v>
      </c>
      <c r="CF57" s="245">
        <f>36.556-CF58</f>
        <v>17.235999999999997</v>
      </c>
      <c r="CG57" s="245">
        <f>36.655-CG58</f>
        <v>17.227</v>
      </c>
      <c r="CH57" s="245">
        <f>34.817-CH58</f>
        <v>16.131</v>
      </c>
      <c r="CI57" s="1440">
        <f t="shared" si="127"/>
        <v>66.957999999999998</v>
      </c>
      <c r="CJ57" s="245">
        <f>31.704-CJ58</f>
        <v>14.603999999999999</v>
      </c>
      <c r="CK57" s="249">
        <f t="shared" ref="CK57:CM58" si="131">CJ57</f>
        <v>14.603999999999999</v>
      </c>
      <c r="CL57" s="249">
        <f t="shared" si="131"/>
        <v>14.603999999999999</v>
      </c>
      <c r="CM57" s="249">
        <f t="shared" si="131"/>
        <v>14.603999999999999</v>
      </c>
      <c r="CN57" s="1016">
        <f t="shared" si="128"/>
        <v>58.415999999999997</v>
      </c>
      <c r="CO57" s="249">
        <f>CM57</f>
        <v>14.603999999999999</v>
      </c>
      <c r="CP57" s="249">
        <f t="shared" ref="CP57:CR58" si="132">CO57</f>
        <v>14.603999999999999</v>
      </c>
      <c r="CQ57" s="249">
        <f t="shared" si="132"/>
        <v>14.603999999999999</v>
      </c>
      <c r="CR57" s="249">
        <f t="shared" si="132"/>
        <v>14.603999999999999</v>
      </c>
      <c r="CS57" s="1016">
        <f t="shared" si="129"/>
        <v>58.415999999999997</v>
      </c>
      <c r="CT57" s="249">
        <f>CR57</f>
        <v>14.603999999999999</v>
      </c>
      <c r="CU57" s="249">
        <f t="shared" ref="CU57:CU58" si="133">CT57</f>
        <v>14.603999999999999</v>
      </c>
      <c r="CV57" s="249">
        <f t="shared" ref="CV57:CV58" si="134">CU57</f>
        <v>14.603999999999999</v>
      </c>
      <c r="CW57" s="249">
        <f t="shared" ref="CW57:CW58" si="135">CV57</f>
        <v>14.603999999999999</v>
      </c>
      <c r="CX57" s="1016">
        <f t="shared" si="130"/>
        <v>58.415999999999997</v>
      </c>
      <c r="DA57" s="143"/>
      <c r="DB57" s="243"/>
      <c r="DC57" s="243"/>
    </row>
    <row r="58" spans="1:107" hidden="1" outlineLevel="1">
      <c r="A58" s="135" t="s">
        <v>376</v>
      </c>
      <c r="B58" s="242"/>
      <c r="C58" s="251">
        <v>0</v>
      </c>
      <c r="D58" s="247">
        <v>0</v>
      </c>
      <c r="E58" s="247">
        <v>0</v>
      </c>
      <c r="F58" s="248">
        <v>0</v>
      </c>
      <c r="G58" s="139">
        <f t="shared" si="111"/>
        <v>0</v>
      </c>
      <c r="H58" s="247">
        <v>0</v>
      </c>
      <c r="I58" s="247">
        <v>0</v>
      </c>
      <c r="J58" s="247">
        <v>0</v>
      </c>
      <c r="K58" s="248">
        <v>0</v>
      </c>
      <c r="L58" s="138">
        <f t="shared" si="112"/>
        <v>0</v>
      </c>
      <c r="M58" s="247">
        <v>0</v>
      </c>
      <c r="N58" s="247">
        <v>0</v>
      </c>
      <c r="O58" s="247">
        <v>0</v>
      </c>
      <c r="P58" s="248">
        <v>0</v>
      </c>
      <c r="Q58" s="139">
        <f t="shared" si="113"/>
        <v>0</v>
      </c>
      <c r="R58" s="247">
        <v>0</v>
      </c>
      <c r="S58" s="247">
        <v>0</v>
      </c>
      <c r="T58" s="247">
        <v>0</v>
      </c>
      <c r="U58" s="248">
        <v>0</v>
      </c>
      <c r="V58" s="139">
        <f t="shared" si="114"/>
        <v>0</v>
      </c>
      <c r="W58" s="247">
        <v>0</v>
      </c>
      <c r="X58" s="247">
        <v>0</v>
      </c>
      <c r="Y58" s="247">
        <v>0</v>
      </c>
      <c r="Z58" s="248">
        <v>0</v>
      </c>
      <c r="AA58" s="139">
        <f t="shared" si="115"/>
        <v>0</v>
      </c>
      <c r="AB58" s="245">
        <f>56.955-AB57</f>
        <v>39.843000000000004</v>
      </c>
      <c r="AC58" s="245">
        <v>34.234999999999999</v>
      </c>
      <c r="AD58" s="247">
        <v>34.533999999999999</v>
      </c>
      <c r="AE58" s="248">
        <f>1+34.722</f>
        <v>35.722000000000001</v>
      </c>
      <c r="AF58" s="139">
        <f t="shared" si="116"/>
        <v>144.334</v>
      </c>
      <c r="AG58" s="245">
        <v>34.860999999999997</v>
      </c>
      <c r="AH58" s="245">
        <f>62.026-AH57</f>
        <v>43.102000000000004</v>
      </c>
      <c r="AI58" s="245">
        <f>46.57-AI57</f>
        <v>28.677</v>
      </c>
      <c r="AJ58" s="246">
        <f>46.57-AJ57</f>
        <v>28.677</v>
      </c>
      <c r="AK58" s="139">
        <f t="shared" si="117"/>
        <v>135.31699999999998</v>
      </c>
      <c r="AL58" s="245">
        <f>39.071-AL57</f>
        <v>21.971999999999998</v>
      </c>
      <c r="AM58" s="245">
        <f>41.071-AM57</f>
        <v>23.971999999999998</v>
      </c>
      <c r="AN58" s="245">
        <f>82.996-AN57</f>
        <v>65.971999999999994</v>
      </c>
      <c r="AO58" s="246">
        <f>38.996-AO57</f>
        <v>21.972000000000001</v>
      </c>
      <c r="AP58" s="139">
        <f t="shared" si="118"/>
        <v>133.88800000000001</v>
      </c>
      <c r="AQ58" s="245">
        <f>29.782-AQ57</f>
        <v>12.757999999999999</v>
      </c>
      <c r="AR58" s="245">
        <v>15.284000000000001</v>
      </c>
      <c r="AS58" s="245">
        <v>14.978</v>
      </c>
      <c r="AT58" s="245">
        <v>25.901</v>
      </c>
      <c r="AU58" s="139">
        <f t="shared" si="119"/>
        <v>68.921000000000006</v>
      </c>
      <c r="AV58" s="245">
        <v>18.196999999999999</v>
      </c>
      <c r="AW58" s="245">
        <v>18.129000000000001</v>
      </c>
      <c r="AX58" s="245">
        <v>17.623999999999999</v>
      </c>
      <c r="AY58" s="245">
        <v>18.184000000000001</v>
      </c>
      <c r="AZ58" s="139">
        <f t="shared" si="120"/>
        <v>72.134</v>
      </c>
      <c r="BA58" s="245">
        <f>10.235</f>
        <v>10.234999999999999</v>
      </c>
      <c r="BB58" s="245">
        <v>10.391999999999999</v>
      </c>
      <c r="BC58" s="245">
        <v>10.375999999999999</v>
      </c>
      <c r="BD58" s="245">
        <v>11.83</v>
      </c>
      <c r="BE58" s="139">
        <f t="shared" si="121"/>
        <v>42.832999999999998</v>
      </c>
      <c r="BF58" s="245">
        <v>11.4</v>
      </c>
      <c r="BG58" s="245">
        <v>12.614000000000001</v>
      </c>
      <c r="BH58" s="245">
        <v>12.3</v>
      </c>
      <c r="BI58" s="245">
        <v>12.282999999999999</v>
      </c>
      <c r="BJ58" s="139">
        <f t="shared" si="122"/>
        <v>48.597000000000008</v>
      </c>
      <c r="BK58" s="245">
        <v>12.439</v>
      </c>
      <c r="BL58" s="245">
        <v>12.792</v>
      </c>
      <c r="BM58" s="245">
        <f>13.064</f>
        <v>13.064</v>
      </c>
      <c r="BN58" s="245">
        <v>14</v>
      </c>
      <c r="BO58" s="1440">
        <f t="shared" si="123"/>
        <v>52.295000000000002</v>
      </c>
      <c r="BP58" s="245">
        <v>13.6</v>
      </c>
      <c r="BQ58" s="245">
        <v>13.352</v>
      </c>
      <c r="BR58" s="245">
        <v>13.108000000000001</v>
      </c>
      <c r="BS58" s="245">
        <v>12.4</v>
      </c>
      <c r="BT58" s="1440">
        <f t="shared" si="124"/>
        <v>52.46</v>
      </c>
      <c r="BU58" s="245">
        <v>14.272</v>
      </c>
      <c r="BV58" s="245">
        <v>18.081</v>
      </c>
      <c r="BW58" s="245">
        <v>18.245999999999999</v>
      </c>
      <c r="BX58" s="245">
        <v>18.05</v>
      </c>
      <c r="BY58" s="1440">
        <f t="shared" si="125"/>
        <v>68.649000000000001</v>
      </c>
      <c r="BZ58" s="245">
        <v>18.393999999999998</v>
      </c>
      <c r="CA58" s="245">
        <v>18.988</v>
      </c>
      <c r="CB58" s="245">
        <v>22.652000000000001</v>
      </c>
      <c r="CC58" s="245">
        <v>18.5</v>
      </c>
      <c r="CD58" s="1440">
        <f t="shared" si="126"/>
        <v>78.533999999999992</v>
      </c>
      <c r="CE58" s="245">
        <v>19.100000000000001</v>
      </c>
      <c r="CF58" s="245">
        <v>19.32</v>
      </c>
      <c r="CG58" s="245">
        <v>19.428000000000001</v>
      </c>
      <c r="CH58" s="245">
        <v>18.686</v>
      </c>
      <c r="CI58" s="1440">
        <f t="shared" si="127"/>
        <v>76.533999999999992</v>
      </c>
      <c r="CJ58" s="245">
        <v>17.100000000000001</v>
      </c>
      <c r="CK58" s="249">
        <f t="shared" si="131"/>
        <v>17.100000000000001</v>
      </c>
      <c r="CL58" s="249">
        <f t="shared" si="131"/>
        <v>17.100000000000001</v>
      </c>
      <c r="CM58" s="249">
        <f t="shared" si="131"/>
        <v>17.100000000000001</v>
      </c>
      <c r="CN58" s="1016">
        <f t="shared" si="128"/>
        <v>68.400000000000006</v>
      </c>
      <c r="CO58" s="249">
        <f>CM58</f>
        <v>17.100000000000001</v>
      </c>
      <c r="CP58" s="249">
        <f t="shared" si="132"/>
        <v>17.100000000000001</v>
      </c>
      <c r="CQ58" s="249">
        <f t="shared" si="132"/>
        <v>17.100000000000001</v>
      </c>
      <c r="CR58" s="249">
        <f t="shared" si="132"/>
        <v>17.100000000000001</v>
      </c>
      <c r="CS58" s="1016">
        <f t="shared" si="129"/>
        <v>68.400000000000006</v>
      </c>
      <c r="CT58" s="249">
        <f>CR58</f>
        <v>17.100000000000001</v>
      </c>
      <c r="CU58" s="249">
        <f t="shared" si="133"/>
        <v>17.100000000000001</v>
      </c>
      <c r="CV58" s="249">
        <f t="shared" si="134"/>
        <v>17.100000000000001</v>
      </c>
      <c r="CW58" s="249">
        <f t="shared" si="135"/>
        <v>17.100000000000001</v>
      </c>
      <c r="CX58" s="1016">
        <f t="shared" si="130"/>
        <v>68.400000000000006</v>
      </c>
      <c r="DA58" s="143"/>
      <c r="DB58" s="243"/>
      <c r="DC58" s="243"/>
    </row>
    <row r="59" spans="1:107" hidden="1" outlineLevel="1">
      <c r="A59" s="135" t="s">
        <v>278</v>
      </c>
      <c r="B59" s="242"/>
      <c r="C59" s="251">
        <v>0</v>
      </c>
      <c r="D59" s="247">
        <v>0</v>
      </c>
      <c r="E59" s="247">
        <v>0</v>
      </c>
      <c r="F59" s="248">
        <v>0</v>
      </c>
      <c r="G59" s="139">
        <f t="shared" si="111"/>
        <v>0</v>
      </c>
      <c r="H59" s="247">
        <v>0</v>
      </c>
      <c r="I59" s="247">
        <v>0</v>
      </c>
      <c r="J59" s="247">
        <v>0</v>
      </c>
      <c r="K59" s="248">
        <v>0</v>
      </c>
      <c r="L59" s="138">
        <f t="shared" si="112"/>
        <v>0</v>
      </c>
      <c r="M59" s="247">
        <v>0</v>
      </c>
      <c r="N59" s="247">
        <v>0</v>
      </c>
      <c r="O59" s="247">
        <v>0</v>
      </c>
      <c r="P59" s="248">
        <v>0</v>
      </c>
      <c r="Q59" s="139">
        <f t="shared" si="113"/>
        <v>0</v>
      </c>
      <c r="R59" s="247">
        <v>0</v>
      </c>
      <c r="S59" s="247">
        <v>0</v>
      </c>
      <c r="T59" s="247">
        <v>0</v>
      </c>
      <c r="U59" s="248">
        <v>0</v>
      </c>
      <c r="V59" s="139">
        <f t="shared" si="114"/>
        <v>0</v>
      </c>
      <c r="W59" s="247">
        <v>0</v>
      </c>
      <c r="X59" s="247">
        <v>0</v>
      </c>
      <c r="Y59" s="247">
        <v>0</v>
      </c>
      <c r="Z59" s="248">
        <v>0</v>
      </c>
      <c r="AA59" s="139">
        <f t="shared" si="115"/>
        <v>0</v>
      </c>
      <c r="AB59" s="245">
        <v>23.030999999999999</v>
      </c>
      <c r="AC59" s="245">
        <v>26.622</v>
      </c>
      <c r="AD59" s="245">
        <v>27.186</v>
      </c>
      <c r="AE59" s="246">
        <v>30.006</v>
      </c>
      <c r="AF59" s="139">
        <f t="shared" si="116"/>
        <v>106.845</v>
      </c>
      <c r="AG59" s="245">
        <f>24.9+0.01</f>
        <v>24.91</v>
      </c>
      <c r="AH59" s="245">
        <v>33.146000000000001</v>
      </c>
      <c r="AI59" s="245">
        <v>32.805</v>
      </c>
      <c r="AJ59" s="246">
        <v>35.078000000000003</v>
      </c>
      <c r="AK59" s="139">
        <f t="shared" si="117"/>
        <v>125.93899999999999</v>
      </c>
      <c r="AL59" s="245">
        <v>43.033999999999999</v>
      </c>
      <c r="AM59" s="245">
        <v>48.387999999999998</v>
      </c>
      <c r="AN59" s="245">
        <v>48.26</v>
      </c>
      <c r="AO59" s="246">
        <v>33.246000000000002</v>
      </c>
      <c r="AP59" s="139">
        <f t="shared" si="118"/>
        <v>172.928</v>
      </c>
      <c r="AQ59" s="245">
        <v>45.006999999999998</v>
      </c>
      <c r="AR59" s="245">
        <v>43.283999999999999</v>
      </c>
      <c r="AS59" s="245">
        <v>40.526000000000003</v>
      </c>
      <c r="AT59" s="245">
        <v>41.689</v>
      </c>
      <c r="AU59" s="139">
        <f t="shared" si="119"/>
        <v>170.506</v>
      </c>
      <c r="AV59" s="245">
        <f>63.938+0.9</f>
        <v>64.838000000000008</v>
      </c>
      <c r="AW59" s="245">
        <v>59.631</v>
      </c>
      <c r="AX59" s="245">
        <v>50.058</v>
      </c>
      <c r="AY59" s="245">
        <v>59.7</v>
      </c>
      <c r="AZ59" s="139">
        <f t="shared" si="120"/>
        <v>234.22700000000003</v>
      </c>
      <c r="BA59" s="245">
        <f>3.7+67.9</f>
        <v>71.600000000000009</v>
      </c>
      <c r="BB59" s="245">
        <v>74.900000000000006</v>
      </c>
      <c r="BC59" s="245">
        <v>64.099999999999994</v>
      </c>
      <c r="BD59" s="245">
        <v>71.400000000000006</v>
      </c>
      <c r="BE59" s="139">
        <f t="shared" si="121"/>
        <v>282</v>
      </c>
      <c r="BF59" s="245">
        <f>68.1+4.5</f>
        <v>72.599999999999994</v>
      </c>
      <c r="BG59" s="245">
        <v>70.7</v>
      </c>
      <c r="BH59" s="245">
        <f>4.9+75.8</f>
        <v>80.7</v>
      </c>
      <c r="BI59" s="245">
        <f>70.7+5.6</f>
        <v>76.3</v>
      </c>
      <c r="BJ59" s="139">
        <f t="shared" si="122"/>
        <v>300.3</v>
      </c>
      <c r="BK59" s="245">
        <f>85.1</f>
        <v>85.1</v>
      </c>
      <c r="BL59" s="245">
        <v>79.623999999999995</v>
      </c>
      <c r="BM59" s="245">
        <f>5.1+76</f>
        <v>81.099999999999994</v>
      </c>
      <c r="BN59" s="246">
        <f>83.9+2.6</f>
        <v>86.5</v>
      </c>
      <c r="BO59" s="1440">
        <f t="shared" si="123"/>
        <v>332.32399999999996</v>
      </c>
      <c r="BP59" s="245">
        <f>79.5+4.1</f>
        <v>83.6</v>
      </c>
      <c r="BQ59" s="245">
        <v>83.6</v>
      </c>
      <c r="BR59" s="245">
        <v>83.682000000000002</v>
      </c>
      <c r="BS59" s="246">
        <f>80+5</f>
        <v>85</v>
      </c>
      <c r="BT59" s="1440">
        <f t="shared" si="124"/>
        <v>335.88200000000001</v>
      </c>
      <c r="BU59" s="245">
        <v>86.6</v>
      </c>
      <c r="BV59" s="245">
        <v>85.4</v>
      </c>
      <c r="BW59" s="245">
        <v>84.4</v>
      </c>
      <c r="BX59" s="246">
        <v>81.704999999999998</v>
      </c>
      <c r="BY59" s="1440">
        <f t="shared" si="125"/>
        <v>338.10499999999996</v>
      </c>
      <c r="BZ59" s="245">
        <v>91.7</v>
      </c>
      <c r="CA59" s="245">
        <v>87.209000000000003</v>
      </c>
      <c r="CB59" s="245">
        <v>86.07</v>
      </c>
      <c r="CC59" s="245">
        <v>86.584000000000003</v>
      </c>
      <c r="CD59" s="1440">
        <f t="shared" si="126"/>
        <v>351.56299999999999</v>
      </c>
      <c r="CE59" s="245">
        <v>103.578</v>
      </c>
      <c r="CF59" s="245">
        <v>118.59099999999999</v>
      </c>
      <c r="CG59" s="245">
        <v>117.968</v>
      </c>
      <c r="CH59" s="245">
        <v>122.18</v>
      </c>
      <c r="CI59" s="1440">
        <f t="shared" si="127"/>
        <v>462.31700000000001</v>
      </c>
      <c r="CJ59" s="245">
        <f>CE59*1.31</f>
        <v>135.68718000000001</v>
      </c>
      <c r="CK59" s="249">
        <f>CF59*1.35</f>
        <v>160.09784999999999</v>
      </c>
      <c r="CL59" s="249">
        <f t="shared" ref="CL59:CM59" si="136">CG59*1.35</f>
        <v>159.25680000000003</v>
      </c>
      <c r="CM59" s="249">
        <f t="shared" si="136"/>
        <v>164.94300000000001</v>
      </c>
      <c r="CN59" s="1016">
        <f t="shared" si="128"/>
        <v>619.98482999999999</v>
      </c>
      <c r="CO59" s="249">
        <f>CJ59*1.2</f>
        <v>162.82461600000002</v>
      </c>
      <c r="CP59" s="249">
        <f t="shared" ref="CP59:CR59" si="137">CK59*1.2</f>
        <v>192.11741999999998</v>
      </c>
      <c r="CQ59" s="249">
        <f t="shared" si="137"/>
        <v>191.10816000000003</v>
      </c>
      <c r="CR59" s="249">
        <f t="shared" si="137"/>
        <v>197.9316</v>
      </c>
      <c r="CS59" s="1016">
        <f t="shared" si="129"/>
        <v>743.98179600000003</v>
      </c>
      <c r="CT59" s="249">
        <f>CO59*1.2</f>
        <v>195.38953920000003</v>
      </c>
      <c r="CU59" s="249">
        <f t="shared" ref="CU59" si="138">CP59*1.2</f>
        <v>230.54090399999995</v>
      </c>
      <c r="CV59" s="249">
        <f t="shared" ref="CV59" si="139">CQ59*1.2</f>
        <v>229.32979200000003</v>
      </c>
      <c r="CW59" s="249">
        <f t="shared" ref="CW59" si="140">CR59*1.2</f>
        <v>237.51792</v>
      </c>
      <c r="CX59" s="1016">
        <f t="shared" si="130"/>
        <v>892.77815520000001</v>
      </c>
      <c r="DA59" s="143"/>
      <c r="DB59" s="243"/>
      <c r="DC59" s="243"/>
    </row>
    <row r="60" spans="1:107" hidden="1" outlineLevel="1">
      <c r="A60" s="135" t="s">
        <v>393</v>
      </c>
      <c r="B60" s="242"/>
      <c r="C60" s="251">
        <v>0</v>
      </c>
      <c r="D60" s="247">
        <v>0</v>
      </c>
      <c r="E60" s="247">
        <v>0</v>
      </c>
      <c r="F60" s="248">
        <v>0</v>
      </c>
      <c r="G60" s="139">
        <f>SUM(C60:F60)</f>
        <v>0</v>
      </c>
      <c r="H60" s="247">
        <v>0</v>
      </c>
      <c r="I60" s="247">
        <v>0</v>
      </c>
      <c r="J60" s="247">
        <v>0</v>
      </c>
      <c r="K60" s="248">
        <v>0</v>
      </c>
      <c r="L60" s="138">
        <f t="shared" si="112"/>
        <v>0</v>
      </c>
      <c r="M60" s="247">
        <v>0</v>
      </c>
      <c r="N60" s="247">
        <v>0</v>
      </c>
      <c r="O60" s="247">
        <v>0</v>
      </c>
      <c r="P60" s="248">
        <v>0</v>
      </c>
      <c r="Q60" s="139">
        <f t="shared" si="113"/>
        <v>0</v>
      </c>
      <c r="R60" s="247">
        <v>0</v>
      </c>
      <c r="S60" s="247">
        <v>0</v>
      </c>
      <c r="T60" s="247">
        <v>0</v>
      </c>
      <c r="U60" s="248">
        <v>0</v>
      </c>
      <c r="V60" s="139">
        <f t="shared" si="114"/>
        <v>0</v>
      </c>
      <c r="W60" s="247">
        <v>0</v>
      </c>
      <c r="X60" s="247">
        <v>0</v>
      </c>
      <c r="Y60" s="247">
        <v>0</v>
      </c>
      <c r="Z60" s="248">
        <v>0</v>
      </c>
      <c r="AA60" s="139">
        <f t="shared" si="115"/>
        <v>0</v>
      </c>
      <c r="AB60" s="245">
        <v>23.451000000000001</v>
      </c>
      <c r="AC60" s="245">
        <v>15.259</v>
      </c>
      <c r="AD60" s="247">
        <v>15.471</v>
      </c>
      <c r="AE60" s="248">
        <f>1.134+3.656+3.276+1.439</f>
        <v>9.504999999999999</v>
      </c>
      <c r="AF60" s="139">
        <f t="shared" si="116"/>
        <v>63.685999999999993</v>
      </c>
      <c r="AG60" s="245"/>
      <c r="AH60" s="245">
        <v>6.4909999999999997</v>
      </c>
      <c r="AI60" s="245">
        <v>5.9020000000000001</v>
      </c>
      <c r="AJ60" s="246">
        <v>4.7130000000000001</v>
      </c>
      <c r="AK60" s="139">
        <f t="shared" si="117"/>
        <v>17.106000000000002</v>
      </c>
      <c r="AL60" s="247">
        <v>0</v>
      </c>
      <c r="AM60" s="247">
        <v>0</v>
      </c>
      <c r="AN60" s="245">
        <v>0</v>
      </c>
      <c r="AO60" s="246">
        <v>0</v>
      </c>
      <c r="AP60" s="139">
        <f t="shared" si="118"/>
        <v>0</v>
      </c>
      <c r="AQ60" s="247">
        <v>0</v>
      </c>
      <c r="AR60" s="247">
        <v>0</v>
      </c>
      <c r="AS60" s="247">
        <v>0</v>
      </c>
      <c r="AT60" s="247">
        <v>0</v>
      </c>
      <c r="AU60" s="139">
        <f t="shared" si="119"/>
        <v>0</v>
      </c>
      <c r="AV60" s="245">
        <v>0</v>
      </c>
      <c r="AW60" s="247">
        <v>0</v>
      </c>
      <c r="AX60" s="247">
        <v>0</v>
      </c>
      <c r="AY60" s="247">
        <v>0</v>
      </c>
      <c r="AZ60" s="139">
        <f t="shared" si="120"/>
        <v>0</v>
      </c>
      <c r="BA60" s="245">
        <v>0</v>
      </c>
      <c r="BB60" s="247">
        <v>0</v>
      </c>
      <c r="BC60" s="247">
        <v>0</v>
      </c>
      <c r="BD60" s="247">
        <v>0</v>
      </c>
      <c r="BE60" s="139">
        <f t="shared" si="121"/>
        <v>0</v>
      </c>
      <c r="BF60" s="245">
        <v>0</v>
      </c>
      <c r="BG60" s="247">
        <v>0</v>
      </c>
      <c r="BH60" s="247">
        <v>0</v>
      </c>
      <c r="BI60" s="247">
        <v>0</v>
      </c>
      <c r="BJ60" s="139">
        <f t="shared" si="122"/>
        <v>0</v>
      </c>
      <c r="BK60" s="245">
        <v>0</v>
      </c>
      <c r="BL60" s="247">
        <v>0</v>
      </c>
      <c r="BM60" s="247">
        <v>0</v>
      </c>
      <c r="BN60" s="248">
        <v>0</v>
      </c>
      <c r="BO60" s="1440">
        <f t="shared" si="123"/>
        <v>0</v>
      </c>
      <c r="BP60" s="245">
        <v>0</v>
      </c>
      <c r="BQ60" s="247">
        <v>0</v>
      </c>
      <c r="BR60" s="247">
        <v>0</v>
      </c>
      <c r="BS60" s="248">
        <v>0</v>
      </c>
      <c r="BT60" s="1440">
        <f t="shared" si="124"/>
        <v>0</v>
      </c>
      <c r="BU60" s="245"/>
      <c r="BV60" s="247"/>
      <c r="BW60" s="247"/>
      <c r="BX60" s="248"/>
      <c r="BY60" s="1440">
        <f t="shared" si="125"/>
        <v>0</v>
      </c>
      <c r="BZ60" s="245"/>
      <c r="CA60" s="247"/>
      <c r="CB60" s="247"/>
      <c r="CC60" s="248"/>
      <c r="CD60" s="1440">
        <f t="shared" si="126"/>
        <v>0</v>
      </c>
      <c r="CE60" s="247"/>
      <c r="CF60" s="247"/>
      <c r="CG60" s="247"/>
      <c r="CH60" s="248"/>
      <c r="CI60" s="1440">
        <f t="shared" si="127"/>
        <v>0</v>
      </c>
      <c r="CJ60" s="247"/>
      <c r="CK60" s="252"/>
      <c r="CL60" s="252"/>
      <c r="CM60" s="253"/>
      <c r="CN60" s="1016">
        <f t="shared" si="128"/>
        <v>0</v>
      </c>
      <c r="CO60" s="252"/>
      <c r="CP60" s="252"/>
      <c r="CQ60" s="252"/>
      <c r="CR60" s="253"/>
      <c r="CS60" s="1016">
        <f t="shared" si="129"/>
        <v>0</v>
      </c>
      <c r="CT60" s="252"/>
      <c r="CU60" s="252"/>
      <c r="CV60" s="252"/>
      <c r="CW60" s="253"/>
      <c r="CX60" s="1016">
        <f t="shared" si="130"/>
        <v>0</v>
      </c>
      <c r="DA60" s="143"/>
      <c r="DB60" s="243"/>
      <c r="DC60" s="243"/>
    </row>
    <row r="61" spans="1:107" hidden="1" outlineLevel="1">
      <c r="A61" s="135" t="s">
        <v>437</v>
      </c>
      <c r="B61" s="242"/>
      <c r="C61" s="251">
        <v>0</v>
      </c>
      <c r="D61" s="247">
        <v>0</v>
      </c>
      <c r="E61" s="247">
        <v>0</v>
      </c>
      <c r="F61" s="246">
        <f>12.063-SUM(C61:E61)</f>
        <v>12.063000000000001</v>
      </c>
      <c r="G61" s="139">
        <f t="shared" si="111"/>
        <v>12.063000000000001</v>
      </c>
      <c r="H61" s="247">
        <v>0</v>
      </c>
      <c r="I61" s="245">
        <v>1.605</v>
      </c>
      <c r="J61" s="247">
        <v>0</v>
      </c>
      <c r="K61" s="246">
        <f>12.148-SUM(H61:J61)</f>
        <v>10.542999999999999</v>
      </c>
      <c r="L61" s="138">
        <f t="shared" si="112"/>
        <v>12.148</v>
      </c>
      <c r="M61" s="247">
        <v>0</v>
      </c>
      <c r="N61" s="247">
        <v>0</v>
      </c>
      <c r="O61" s="245">
        <v>-0.439</v>
      </c>
      <c r="P61" s="246">
        <f>-0.544-SUM(M61:O61)</f>
        <v>-0.10500000000000004</v>
      </c>
      <c r="Q61" s="139">
        <f t="shared" si="113"/>
        <v>-0.54400000000000004</v>
      </c>
      <c r="R61" s="247">
        <v>0</v>
      </c>
      <c r="S61" s="247">
        <v>0</v>
      </c>
      <c r="T61" s="247">
        <v>0</v>
      </c>
      <c r="U61" s="248">
        <v>0</v>
      </c>
      <c r="V61" s="139">
        <f t="shared" si="114"/>
        <v>0</v>
      </c>
      <c r="W61" s="247">
        <v>0</v>
      </c>
      <c r="X61" s="247">
        <v>0</v>
      </c>
      <c r="Y61" s="247">
        <v>0</v>
      </c>
      <c r="Z61" s="248">
        <v>0</v>
      </c>
      <c r="AA61" s="139">
        <f t="shared" si="115"/>
        <v>0</v>
      </c>
      <c r="AB61" s="245">
        <v>18.984000000000002</v>
      </c>
      <c r="AC61" s="245">
        <v>1.2350000000000001</v>
      </c>
      <c r="AD61" s="245">
        <v>3.2000000000000001E-2</v>
      </c>
      <c r="AE61" s="246">
        <v>-0.51800000000000002</v>
      </c>
      <c r="AF61" s="139">
        <f t="shared" si="116"/>
        <v>19.733000000000001</v>
      </c>
      <c r="AG61" s="245">
        <f>-1.3+0.017</f>
        <v>-1.2830000000000001</v>
      </c>
      <c r="AH61" s="245"/>
      <c r="AI61" s="245">
        <v>0.55500000000000005</v>
      </c>
      <c r="AJ61" s="246"/>
      <c r="AK61" s="139">
        <f t="shared" si="117"/>
        <v>-0.72800000000000009</v>
      </c>
      <c r="AL61" s="245">
        <v>1.431</v>
      </c>
      <c r="AM61" s="245">
        <v>0</v>
      </c>
      <c r="AN61" s="245">
        <v>1.194</v>
      </c>
      <c r="AO61" s="246">
        <v>29.428000000000001</v>
      </c>
      <c r="AP61" s="139">
        <f t="shared" si="118"/>
        <v>32.052999999999997</v>
      </c>
      <c r="AQ61" s="245">
        <v>12.27</v>
      </c>
      <c r="AR61" s="245">
        <v>3.5310000000000001</v>
      </c>
      <c r="AS61" s="245">
        <v>6.5000000000000002E-2</v>
      </c>
      <c r="AT61" s="245">
        <v>25.393999999999998</v>
      </c>
      <c r="AU61" s="139">
        <f t="shared" si="119"/>
        <v>41.26</v>
      </c>
      <c r="AV61" s="245">
        <v>11.622</v>
      </c>
      <c r="AW61" s="245">
        <v>11.541</v>
      </c>
      <c r="AX61" s="245">
        <v>-2.0939999999999999</v>
      </c>
      <c r="AY61" s="245">
        <v>2.1930000000000001</v>
      </c>
      <c r="AZ61" s="139">
        <f t="shared" si="120"/>
        <v>23.262</v>
      </c>
      <c r="BA61" s="245">
        <v>4.1000000000000002E-2</v>
      </c>
      <c r="BB61" s="245">
        <v>-0.58599999999999997</v>
      </c>
      <c r="BC61" s="245">
        <v>3.8159999999999998</v>
      </c>
      <c r="BD61" s="245">
        <v>94.501999999999995</v>
      </c>
      <c r="BE61" s="139">
        <f t="shared" si="121"/>
        <v>97.772999999999996</v>
      </c>
      <c r="BF61" s="245">
        <v>-2.8250000000000002</v>
      </c>
      <c r="BG61" s="245">
        <v>-2.1909999999999998</v>
      </c>
      <c r="BH61" s="245">
        <v>2.4</v>
      </c>
      <c r="BI61" s="245">
        <v>0.27500000000000002</v>
      </c>
      <c r="BJ61" s="139">
        <f t="shared" si="122"/>
        <v>-2.3410000000000002</v>
      </c>
      <c r="BK61" s="245">
        <v>2E-3</v>
      </c>
      <c r="BL61" s="245">
        <v>24.992000000000001</v>
      </c>
      <c r="BM61" s="245">
        <v>-0.79100000000000004</v>
      </c>
      <c r="BN61" s="246">
        <v>-2.2999999999999998</v>
      </c>
      <c r="BO61" s="1440">
        <f t="shared" si="123"/>
        <v>21.902999999999999</v>
      </c>
      <c r="BP61" s="245">
        <v>-0.7</v>
      </c>
      <c r="BQ61" s="245">
        <v>-0.36599999999999999</v>
      </c>
      <c r="BR61" s="245">
        <v>0.20100000000000001</v>
      </c>
      <c r="BS61" s="246">
        <v>19.399999999999999</v>
      </c>
      <c r="BT61" s="1440">
        <f t="shared" si="124"/>
        <v>18.535</v>
      </c>
      <c r="BU61" s="245">
        <v>1.7549999999999999</v>
      </c>
      <c r="BV61" s="245">
        <v>3.4000000000000002E-2</v>
      </c>
      <c r="BW61" s="245">
        <v>-0.751</v>
      </c>
      <c r="BX61" s="246">
        <v>0.52100000000000002</v>
      </c>
      <c r="BY61" s="1440">
        <f t="shared" si="125"/>
        <v>1.5589999999999997</v>
      </c>
      <c r="BZ61" s="245">
        <v>-0.41899999999999998</v>
      </c>
      <c r="CA61" s="245">
        <v>-0.46600000000000003</v>
      </c>
      <c r="CB61" s="245">
        <f>+-0.338</f>
        <v>-0.33800000000000002</v>
      </c>
      <c r="CC61" s="246">
        <f>+-0.285</f>
        <v>-0.28499999999999998</v>
      </c>
      <c r="CD61" s="1440">
        <f t="shared" si="126"/>
        <v>-1.508</v>
      </c>
      <c r="CE61" s="245">
        <v>0</v>
      </c>
      <c r="CF61" s="245">
        <f>+-0.097</f>
        <v>-9.7000000000000003E-2</v>
      </c>
      <c r="CG61" s="245">
        <v>0</v>
      </c>
      <c r="CH61" s="246">
        <f>+-0.359</f>
        <v>-0.35899999999999999</v>
      </c>
      <c r="CI61" s="1440">
        <f t="shared" si="127"/>
        <v>-0.45599999999999996</v>
      </c>
      <c r="CJ61" s="245">
        <v>0</v>
      </c>
      <c r="CK61" s="249"/>
      <c r="CL61" s="249"/>
      <c r="CM61" s="250"/>
      <c r="CN61" s="1016">
        <f t="shared" si="128"/>
        <v>0</v>
      </c>
      <c r="CO61" s="249"/>
      <c r="CP61" s="249"/>
      <c r="CQ61" s="249"/>
      <c r="CR61" s="250"/>
      <c r="CS61" s="1016">
        <f t="shared" si="129"/>
        <v>0</v>
      </c>
      <c r="CT61" s="249"/>
      <c r="CU61" s="249"/>
      <c r="CV61" s="249"/>
      <c r="CW61" s="250"/>
      <c r="CX61" s="1016">
        <f t="shared" si="130"/>
        <v>0</v>
      </c>
      <c r="DA61" s="254"/>
      <c r="DB61" s="243"/>
      <c r="DC61" s="243"/>
    </row>
    <row r="62" spans="1:107" hidden="1" outlineLevel="1">
      <c r="A62" s="135" t="s">
        <v>375</v>
      </c>
      <c r="B62" s="242"/>
      <c r="C62" s="251">
        <v>0</v>
      </c>
      <c r="D62" s="247">
        <v>0</v>
      </c>
      <c r="E62" s="247">
        <v>0</v>
      </c>
      <c r="F62" s="248">
        <v>0</v>
      </c>
      <c r="G62" s="139">
        <f t="shared" si="111"/>
        <v>0</v>
      </c>
      <c r="H62" s="247">
        <v>0</v>
      </c>
      <c r="I62" s="247">
        <v>0</v>
      </c>
      <c r="J62" s="247">
        <v>0</v>
      </c>
      <c r="K62" s="248">
        <v>0</v>
      </c>
      <c r="L62" s="138">
        <f t="shared" si="112"/>
        <v>0</v>
      </c>
      <c r="M62" s="247">
        <v>0</v>
      </c>
      <c r="N62" s="247">
        <v>0</v>
      </c>
      <c r="O62" s="247">
        <v>0</v>
      </c>
      <c r="P62" s="248">
        <v>0</v>
      </c>
      <c r="Q62" s="139">
        <f t="shared" si="113"/>
        <v>0</v>
      </c>
      <c r="R62" s="245"/>
      <c r="S62" s="245"/>
      <c r="T62" s="245"/>
      <c r="U62" s="246"/>
      <c r="V62" s="139">
        <f t="shared" si="114"/>
        <v>0</v>
      </c>
      <c r="W62" s="245"/>
      <c r="X62" s="245"/>
      <c r="Y62" s="245"/>
      <c r="Z62" s="246"/>
      <c r="AA62" s="139">
        <f t="shared" si="115"/>
        <v>0</v>
      </c>
      <c r="AB62" s="245"/>
      <c r="AC62" s="245"/>
      <c r="AD62" s="247"/>
      <c r="AE62" s="248"/>
      <c r="AF62" s="139">
        <f t="shared" si="116"/>
        <v>0</v>
      </c>
      <c r="AG62" s="247"/>
      <c r="AH62" s="247"/>
      <c r="AI62" s="245"/>
      <c r="AJ62" s="246"/>
      <c r="AK62" s="139">
        <f t="shared" si="117"/>
        <v>0</v>
      </c>
      <c r="AL62" s="247">
        <v>0</v>
      </c>
      <c r="AM62" s="247">
        <v>0</v>
      </c>
      <c r="AN62" s="245">
        <v>0</v>
      </c>
      <c r="AO62" s="246">
        <v>0</v>
      </c>
      <c r="AP62" s="139">
        <f t="shared" si="118"/>
        <v>0</v>
      </c>
      <c r="AQ62" s="247">
        <v>0</v>
      </c>
      <c r="AR62" s="1069">
        <v>0</v>
      </c>
      <c r="AS62" s="247">
        <v>0</v>
      </c>
      <c r="AT62" s="247">
        <v>0</v>
      </c>
      <c r="AU62" s="139">
        <f t="shared" si="119"/>
        <v>0</v>
      </c>
      <c r="AV62" s="245">
        <v>0</v>
      </c>
      <c r="AW62" s="1069">
        <v>0</v>
      </c>
      <c r="AX62" s="1069">
        <v>0</v>
      </c>
      <c r="AY62" s="247">
        <v>0</v>
      </c>
      <c r="AZ62" s="139">
        <f t="shared" si="120"/>
        <v>0</v>
      </c>
      <c r="BA62" s="245">
        <v>0</v>
      </c>
      <c r="BB62" s="1069">
        <v>0</v>
      </c>
      <c r="BC62" s="247">
        <v>0</v>
      </c>
      <c r="BD62" s="247">
        <v>0</v>
      </c>
      <c r="BE62" s="139">
        <f t="shared" si="121"/>
        <v>0</v>
      </c>
      <c r="BF62" s="245">
        <v>0</v>
      </c>
      <c r="BG62" s="1069">
        <v>0</v>
      </c>
      <c r="BH62" s="1069">
        <v>0</v>
      </c>
      <c r="BI62" s="1069">
        <v>0</v>
      </c>
      <c r="BJ62" s="139">
        <f t="shared" si="122"/>
        <v>0</v>
      </c>
      <c r="BK62" s="245">
        <v>0</v>
      </c>
      <c r="BL62" s="1069">
        <v>0</v>
      </c>
      <c r="BM62" s="1069">
        <v>0</v>
      </c>
      <c r="BN62" s="248">
        <v>0</v>
      </c>
      <c r="BO62" s="1440">
        <f t="shared" si="123"/>
        <v>0</v>
      </c>
      <c r="BP62" s="245">
        <v>10</v>
      </c>
      <c r="BQ62" s="1069">
        <v>0</v>
      </c>
      <c r="BR62" s="1069">
        <v>0</v>
      </c>
      <c r="BS62" s="248">
        <v>0</v>
      </c>
      <c r="BT62" s="1440">
        <f t="shared" si="124"/>
        <v>10</v>
      </c>
      <c r="BU62" s="245">
        <v>0</v>
      </c>
      <c r="BV62" s="1069">
        <v>0</v>
      </c>
      <c r="BW62" s="247">
        <v>-10</v>
      </c>
      <c r="BX62" s="248">
        <v>0</v>
      </c>
      <c r="BY62" s="1440">
        <f t="shared" si="125"/>
        <v>-10</v>
      </c>
      <c r="BZ62" s="245"/>
      <c r="CA62" s="247">
        <v>0</v>
      </c>
      <c r="CB62" s="247">
        <v>0</v>
      </c>
      <c r="CC62" s="248">
        <v>0</v>
      </c>
      <c r="CD62" s="1440">
        <f t="shared" si="126"/>
        <v>0</v>
      </c>
      <c r="CE62" s="247">
        <v>0</v>
      </c>
      <c r="CF62" s="247">
        <v>0</v>
      </c>
      <c r="CG62" s="247">
        <f>+-0.975</f>
        <v>-0.97499999999999998</v>
      </c>
      <c r="CH62" s="248">
        <v>0</v>
      </c>
      <c r="CI62" s="1440">
        <f t="shared" si="127"/>
        <v>-0.97499999999999998</v>
      </c>
      <c r="CJ62" s="247">
        <v>0</v>
      </c>
      <c r="CK62" s="252">
        <v>0</v>
      </c>
      <c r="CL62" s="252">
        <v>0</v>
      </c>
      <c r="CM62" s="253">
        <v>0</v>
      </c>
      <c r="CN62" s="1016">
        <f t="shared" si="128"/>
        <v>0</v>
      </c>
      <c r="CO62" s="252">
        <v>0</v>
      </c>
      <c r="CP62" s="252">
        <v>0</v>
      </c>
      <c r="CQ62" s="252">
        <v>0</v>
      </c>
      <c r="CR62" s="253">
        <v>0</v>
      </c>
      <c r="CS62" s="1016">
        <f t="shared" si="129"/>
        <v>0</v>
      </c>
      <c r="CT62" s="252">
        <v>0</v>
      </c>
      <c r="CU62" s="252">
        <v>0</v>
      </c>
      <c r="CV62" s="252">
        <v>0</v>
      </c>
      <c r="CW62" s="253">
        <v>0</v>
      </c>
      <c r="CX62" s="1016">
        <f t="shared" si="130"/>
        <v>0</v>
      </c>
      <c r="DA62" s="254"/>
      <c r="DB62" s="243"/>
      <c r="DC62" s="243"/>
    </row>
    <row r="63" spans="1:107" hidden="1" outlineLevel="1">
      <c r="A63" s="135" t="s">
        <v>474</v>
      </c>
      <c r="B63" s="242"/>
      <c r="C63" s="251">
        <v>0</v>
      </c>
      <c r="D63" s="247">
        <v>0</v>
      </c>
      <c r="E63" s="247">
        <v>0</v>
      </c>
      <c r="F63" s="248">
        <v>0</v>
      </c>
      <c r="G63" s="139">
        <f t="shared" si="111"/>
        <v>0</v>
      </c>
      <c r="H63" s="247">
        <v>0</v>
      </c>
      <c r="I63" s="247">
        <v>0</v>
      </c>
      <c r="J63" s="247">
        <v>0</v>
      </c>
      <c r="K63" s="248">
        <v>0</v>
      </c>
      <c r="L63" s="138">
        <f t="shared" si="112"/>
        <v>0</v>
      </c>
      <c r="M63" s="247">
        <v>0</v>
      </c>
      <c r="N63" s="247">
        <v>0</v>
      </c>
      <c r="O63" s="247">
        <v>0</v>
      </c>
      <c r="P63" s="248">
        <v>0</v>
      </c>
      <c r="Q63" s="139">
        <f t="shared" si="113"/>
        <v>0</v>
      </c>
      <c r="R63" s="247">
        <v>0</v>
      </c>
      <c r="S63" s="247">
        <v>0</v>
      </c>
      <c r="T63" s="247">
        <v>0</v>
      </c>
      <c r="U63" s="248">
        <v>0</v>
      </c>
      <c r="V63" s="139">
        <f t="shared" si="114"/>
        <v>0</v>
      </c>
      <c r="W63" s="247">
        <v>0</v>
      </c>
      <c r="X63" s="247">
        <v>0</v>
      </c>
      <c r="Y63" s="247">
        <v>0</v>
      </c>
      <c r="Z63" s="248">
        <v>0</v>
      </c>
      <c r="AA63" s="139">
        <f t="shared" si="115"/>
        <v>0</v>
      </c>
      <c r="AB63" s="247">
        <v>0</v>
      </c>
      <c r="AC63" s="247">
        <v>0</v>
      </c>
      <c r="AD63" s="247">
        <v>0</v>
      </c>
      <c r="AE63" s="248"/>
      <c r="AF63" s="139">
        <f t="shared" si="116"/>
        <v>0</v>
      </c>
      <c r="AG63" s="247"/>
      <c r="AH63" s="245"/>
      <c r="AI63" s="245"/>
      <c r="AJ63" s="246"/>
      <c r="AK63" s="139">
        <f t="shared" si="117"/>
        <v>0</v>
      </c>
      <c r="AL63" s="245">
        <v>0</v>
      </c>
      <c r="AM63" s="245"/>
      <c r="AN63" s="245">
        <v>0</v>
      </c>
      <c r="AO63" s="246">
        <v>0</v>
      </c>
      <c r="AP63" s="139">
        <f t="shared" si="118"/>
        <v>0</v>
      </c>
      <c r="AQ63" s="245">
        <v>0</v>
      </c>
      <c r="AR63" s="1069">
        <v>0</v>
      </c>
      <c r="AS63" s="1069">
        <v>0</v>
      </c>
      <c r="AT63" s="1069">
        <v>0</v>
      </c>
      <c r="AU63" s="139">
        <f t="shared" si="119"/>
        <v>0</v>
      </c>
      <c r="AV63" s="245">
        <v>0</v>
      </c>
      <c r="AW63" s="1069">
        <v>0</v>
      </c>
      <c r="AX63" s="1069">
        <v>0</v>
      </c>
      <c r="AY63" s="1069">
        <v>0</v>
      </c>
      <c r="AZ63" s="139">
        <f t="shared" si="120"/>
        <v>0</v>
      </c>
      <c r="BA63" s="245">
        <v>0</v>
      </c>
      <c r="BB63" s="1069">
        <v>0</v>
      </c>
      <c r="BC63" s="247">
        <v>0</v>
      </c>
      <c r="BD63" s="1069">
        <v>0</v>
      </c>
      <c r="BE63" s="139">
        <f t="shared" si="121"/>
        <v>0</v>
      </c>
      <c r="BF63" s="245">
        <v>0</v>
      </c>
      <c r="BG63" s="1069">
        <v>0</v>
      </c>
      <c r="BH63" s="1069">
        <v>0</v>
      </c>
      <c r="BI63" s="1069">
        <v>0</v>
      </c>
      <c r="BJ63" s="139">
        <f t="shared" si="122"/>
        <v>0</v>
      </c>
      <c r="BK63" s="245">
        <v>0</v>
      </c>
      <c r="BL63" s="1069">
        <v>0</v>
      </c>
      <c r="BM63" s="1069">
        <v>0</v>
      </c>
      <c r="BN63" s="248">
        <v>0</v>
      </c>
      <c r="BO63" s="1440">
        <f t="shared" si="123"/>
        <v>0</v>
      </c>
      <c r="BP63" s="245">
        <v>0</v>
      </c>
      <c r="BQ63" s="1069">
        <v>0</v>
      </c>
      <c r="BR63" s="1069">
        <v>0</v>
      </c>
      <c r="BS63" s="248">
        <v>0</v>
      </c>
      <c r="BT63" s="1440">
        <f t="shared" si="124"/>
        <v>0</v>
      </c>
      <c r="BU63" s="245">
        <v>0</v>
      </c>
      <c r="BV63" s="1069">
        <v>0</v>
      </c>
      <c r="BW63" s="1069">
        <v>0</v>
      </c>
      <c r="BX63" s="248">
        <v>0</v>
      </c>
      <c r="BY63" s="1440">
        <f t="shared" si="125"/>
        <v>0</v>
      </c>
      <c r="BZ63" s="245"/>
      <c r="CA63" s="1069">
        <v>0</v>
      </c>
      <c r="CB63" s="247">
        <v>0</v>
      </c>
      <c r="CC63" s="248">
        <v>0</v>
      </c>
      <c r="CD63" s="1440">
        <f t="shared" si="126"/>
        <v>0</v>
      </c>
      <c r="CE63" s="247">
        <v>0</v>
      </c>
      <c r="CF63" s="1069">
        <v>0</v>
      </c>
      <c r="CG63" s="247">
        <v>0</v>
      </c>
      <c r="CH63" s="248">
        <v>0</v>
      </c>
      <c r="CI63" s="1440">
        <f t="shared" si="127"/>
        <v>0</v>
      </c>
      <c r="CJ63" s="247">
        <v>0</v>
      </c>
      <c r="CK63" s="1069">
        <v>0</v>
      </c>
      <c r="CL63" s="252">
        <v>0</v>
      </c>
      <c r="CM63" s="253">
        <v>0</v>
      </c>
      <c r="CN63" s="1016">
        <f t="shared" si="128"/>
        <v>0</v>
      </c>
      <c r="CO63" s="247">
        <v>0</v>
      </c>
      <c r="CP63" s="1069">
        <v>0</v>
      </c>
      <c r="CQ63" s="252">
        <v>0</v>
      </c>
      <c r="CR63" s="253">
        <v>0</v>
      </c>
      <c r="CS63" s="1016">
        <f t="shared" si="129"/>
        <v>0</v>
      </c>
      <c r="CT63" s="247">
        <v>0</v>
      </c>
      <c r="CU63" s="1069">
        <v>0</v>
      </c>
      <c r="CV63" s="252">
        <v>0</v>
      </c>
      <c r="CW63" s="253">
        <v>0</v>
      </c>
      <c r="CX63" s="1016">
        <f t="shared" si="130"/>
        <v>0</v>
      </c>
      <c r="DA63" s="254"/>
      <c r="DB63" s="243"/>
      <c r="DC63" s="243"/>
    </row>
    <row r="64" spans="1:107" hidden="1" outlineLevel="1">
      <c r="A64" s="135" t="s">
        <v>699</v>
      </c>
      <c r="B64" s="242"/>
      <c r="C64" s="251">
        <v>0</v>
      </c>
      <c r="D64" s="247">
        <v>0</v>
      </c>
      <c r="E64" s="247">
        <v>0</v>
      </c>
      <c r="F64" s="248">
        <v>0</v>
      </c>
      <c r="G64" s="139">
        <f t="shared" si="111"/>
        <v>0</v>
      </c>
      <c r="H64" s="245">
        <v>5.359</v>
      </c>
      <c r="I64" s="245">
        <v>0.41</v>
      </c>
      <c r="J64" s="247">
        <v>0</v>
      </c>
      <c r="K64" s="246">
        <f>5.769-SUM(H64:J64)</f>
        <v>0</v>
      </c>
      <c r="L64" s="138">
        <f t="shared" si="112"/>
        <v>5.7690000000000001</v>
      </c>
      <c r="M64" s="247">
        <v>0</v>
      </c>
      <c r="N64" s="247">
        <v>0</v>
      </c>
      <c r="O64" s="247">
        <v>0</v>
      </c>
      <c r="P64" s="248">
        <v>0</v>
      </c>
      <c r="Q64" s="139">
        <f t="shared" si="113"/>
        <v>0</v>
      </c>
      <c r="R64" s="247">
        <v>0</v>
      </c>
      <c r="S64" s="247">
        <v>0</v>
      </c>
      <c r="T64" s="247">
        <v>0</v>
      </c>
      <c r="U64" s="248">
        <v>0</v>
      </c>
      <c r="V64" s="139">
        <f t="shared" si="114"/>
        <v>0</v>
      </c>
      <c r="W64" s="247">
        <v>0</v>
      </c>
      <c r="X64" s="247">
        <v>0</v>
      </c>
      <c r="Y64" s="247">
        <v>0</v>
      </c>
      <c r="Z64" s="248">
        <v>0</v>
      </c>
      <c r="AA64" s="139">
        <f t="shared" si="115"/>
        <v>0</v>
      </c>
      <c r="AB64" s="247">
        <v>0</v>
      </c>
      <c r="AC64" s="245">
        <v>0.5</v>
      </c>
      <c r="AD64" s="247">
        <v>2.2999999999999998</v>
      </c>
      <c r="AE64" s="248"/>
      <c r="AF64" s="139">
        <f t="shared" si="116"/>
        <v>2.8</v>
      </c>
      <c r="AG64" s="247"/>
      <c r="AH64" s="245"/>
      <c r="AI64" s="245"/>
      <c r="AJ64" s="246"/>
      <c r="AK64" s="139">
        <f t="shared" si="117"/>
        <v>0</v>
      </c>
      <c r="AL64" s="245">
        <v>0</v>
      </c>
      <c r="AM64" s="245"/>
      <c r="AN64" s="245">
        <v>0</v>
      </c>
      <c r="AO64" s="246">
        <v>0</v>
      </c>
      <c r="AP64" s="139">
        <f t="shared" si="118"/>
        <v>0</v>
      </c>
      <c r="AQ64" s="245">
        <v>0</v>
      </c>
      <c r="AR64" s="1069">
        <v>0</v>
      </c>
      <c r="AS64" s="1069">
        <v>0</v>
      </c>
      <c r="AT64" s="1069">
        <v>0</v>
      </c>
      <c r="AU64" s="139">
        <f t="shared" si="119"/>
        <v>0</v>
      </c>
      <c r="AV64" s="245">
        <v>0</v>
      </c>
      <c r="AW64" s="1069">
        <v>0</v>
      </c>
      <c r="AX64" s="1069">
        <v>0</v>
      </c>
      <c r="AY64" s="1069">
        <v>0</v>
      </c>
      <c r="AZ64" s="139">
        <f t="shared" si="120"/>
        <v>0</v>
      </c>
      <c r="BA64" s="245">
        <v>0</v>
      </c>
      <c r="BB64" s="1069">
        <v>0</v>
      </c>
      <c r="BC64" s="245">
        <v>0</v>
      </c>
      <c r="BD64" s="1069">
        <v>0</v>
      </c>
      <c r="BE64" s="139">
        <f t="shared" si="121"/>
        <v>0</v>
      </c>
      <c r="BF64" s="245">
        <v>0</v>
      </c>
      <c r="BG64" s="1069">
        <v>0</v>
      </c>
      <c r="BH64" s="1069">
        <v>0</v>
      </c>
      <c r="BI64" s="1069">
        <v>0</v>
      </c>
      <c r="BJ64" s="139">
        <f t="shared" si="122"/>
        <v>0</v>
      </c>
      <c r="BK64" s="245">
        <v>0</v>
      </c>
      <c r="BL64" s="1069">
        <v>0</v>
      </c>
      <c r="BM64" s="1069">
        <v>0</v>
      </c>
      <c r="BN64" s="246">
        <v>0</v>
      </c>
      <c r="BO64" s="1440">
        <f t="shared" si="123"/>
        <v>0</v>
      </c>
      <c r="BP64" s="245">
        <v>0</v>
      </c>
      <c r="BQ64" s="1069">
        <v>0</v>
      </c>
      <c r="BR64" s="1069">
        <v>0</v>
      </c>
      <c r="BS64" s="246">
        <v>0</v>
      </c>
      <c r="BT64" s="1440">
        <f t="shared" si="124"/>
        <v>0</v>
      </c>
      <c r="BU64" s="245">
        <v>0</v>
      </c>
      <c r="BV64" s="1069">
        <v>0</v>
      </c>
      <c r="BW64" s="1069"/>
      <c r="BX64" s="246"/>
      <c r="BY64" s="1440">
        <f t="shared" si="125"/>
        <v>0</v>
      </c>
      <c r="BZ64" s="245"/>
      <c r="CA64" s="245"/>
      <c r="CB64" s="245"/>
      <c r="CC64" s="246"/>
      <c r="CD64" s="1440">
        <f t="shared" si="126"/>
        <v>0</v>
      </c>
      <c r="CE64" s="245"/>
      <c r="CF64" s="245"/>
      <c r="CG64" s="245"/>
      <c r="CH64" s="246"/>
      <c r="CI64" s="1440">
        <f t="shared" si="127"/>
        <v>0</v>
      </c>
      <c r="CJ64" s="245">
        <v>0</v>
      </c>
      <c r="CK64" s="249"/>
      <c r="CL64" s="249"/>
      <c r="CM64" s="250"/>
      <c r="CN64" s="1016">
        <f t="shared" si="128"/>
        <v>0</v>
      </c>
      <c r="CO64" s="249"/>
      <c r="CP64" s="249"/>
      <c r="CQ64" s="249"/>
      <c r="CR64" s="250"/>
      <c r="CS64" s="1016">
        <f t="shared" si="129"/>
        <v>0</v>
      </c>
      <c r="CT64" s="249"/>
      <c r="CU64" s="249"/>
      <c r="CV64" s="249"/>
      <c r="CW64" s="250"/>
      <c r="CX64" s="1016">
        <f t="shared" si="130"/>
        <v>0</v>
      </c>
      <c r="DA64" s="254"/>
      <c r="DB64" s="243"/>
      <c r="DC64" s="243"/>
    </row>
    <row r="65" spans="1:107" collapsed="1">
      <c r="A65" s="135" t="s">
        <v>156</v>
      </c>
      <c r="B65" s="115"/>
      <c r="C65" s="136">
        <f>C48+C44+C52</f>
        <v>189.917</v>
      </c>
      <c r="D65" s="137">
        <f>D48+D44+D52</f>
        <v>200.25399999999999</v>
      </c>
      <c r="E65" s="137">
        <f>E48+E44+E52</f>
        <v>175.666</v>
      </c>
      <c r="F65" s="138">
        <f>F48+F44+F52</f>
        <v>177.63100000000006</v>
      </c>
      <c r="G65" s="139">
        <f>SUM(C65:F65)</f>
        <v>743.46800000000007</v>
      </c>
      <c r="H65" s="137">
        <f>H48+H44+H52</f>
        <v>174.214</v>
      </c>
      <c r="I65" s="137">
        <f>I48+I44+I52</f>
        <v>195.822</v>
      </c>
      <c r="J65" s="137">
        <f>J48+J44+J52</f>
        <v>180.232</v>
      </c>
      <c r="K65" s="138">
        <f>K48+K44+K52</f>
        <v>184.315</v>
      </c>
      <c r="L65" s="138">
        <f>SUM(H65:K65)</f>
        <v>734.58300000000008</v>
      </c>
      <c r="M65" s="137">
        <f>M48+M44+M52</f>
        <v>194.02500000000001</v>
      </c>
      <c r="N65" s="137">
        <f>N48+N44+N52</f>
        <v>205.32900000000001</v>
      </c>
      <c r="O65" s="137">
        <f>O48+O44+O52</f>
        <v>205.26899999999998</v>
      </c>
      <c r="P65" s="138">
        <f>P48+P44+P52</f>
        <v>218.20099999999996</v>
      </c>
      <c r="Q65" s="139">
        <f>SUM(M65:P65)</f>
        <v>822.82400000000007</v>
      </c>
      <c r="R65" s="137">
        <f>R48+R44+R52</f>
        <v>235.83700000000002</v>
      </c>
      <c r="S65" s="137">
        <f>S48+S44+S52</f>
        <v>240.99100000000001</v>
      </c>
      <c r="T65" s="137">
        <f>T48+T44+T52</f>
        <v>239.82999999999998</v>
      </c>
      <c r="U65" s="138">
        <f>U48+U44+U52</f>
        <v>253.75099999999998</v>
      </c>
      <c r="V65" s="139">
        <f>SUM(R65:U65)</f>
        <v>970.40899999999999</v>
      </c>
      <c r="W65" s="137">
        <f>W48+W44+W52</f>
        <v>275.20100000000002</v>
      </c>
      <c r="X65" s="137">
        <f>X48+X44+X52</f>
        <v>286.39100000000002</v>
      </c>
      <c r="Y65" s="137">
        <f>Y48+Y44+Y52</f>
        <v>275.971</v>
      </c>
      <c r="Z65" s="138">
        <f>Z48+Z44+Z52</f>
        <v>287.74599999999992</v>
      </c>
      <c r="AA65" s="139">
        <f>SUM(W65:Z65)</f>
        <v>1125.309</v>
      </c>
      <c r="AB65" s="137">
        <f>AB48+AB44+AB52</f>
        <v>362.42600000000004</v>
      </c>
      <c r="AC65" s="137">
        <f>AC48+AC44+AC52</f>
        <v>363.44499999999999</v>
      </c>
      <c r="AD65" s="137">
        <f>AD48+AD44+AD52</f>
        <v>360.815</v>
      </c>
      <c r="AE65" s="138">
        <f>AE48+AE44+AE52</f>
        <v>385.18699999999995</v>
      </c>
      <c r="AF65" s="139">
        <f>SUM(AB65:AE65)</f>
        <v>1471.873</v>
      </c>
      <c r="AG65" s="137">
        <f>AG48+AG44+AG52</f>
        <v>383.71899999999994</v>
      </c>
      <c r="AH65" s="137">
        <f>AH48+AH44+AH52</f>
        <v>411.62200000000001</v>
      </c>
      <c r="AI65" s="137">
        <f>AI48+AI44+AI52</f>
        <v>448.42599999999999</v>
      </c>
      <c r="AJ65" s="138">
        <f>AJ48+AJ44+AJ52</f>
        <v>480.322</v>
      </c>
      <c r="AK65" s="139">
        <f>SUM(AG65:AJ65)</f>
        <v>1724.0889999999999</v>
      </c>
      <c r="AL65" s="137">
        <f>AL48+AL44+AL52</f>
        <v>471.80899999999997</v>
      </c>
      <c r="AM65" s="137">
        <f>AM48+AM44+AM52</f>
        <v>479.54300000000006</v>
      </c>
      <c r="AN65" s="137">
        <f>AN48+AN44+AN52</f>
        <v>475.08699999999999</v>
      </c>
      <c r="AO65" s="138">
        <f>AO48+AO44+AO52</f>
        <v>476.81799999999998</v>
      </c>
      <c r="AP65" s="139">
        <f>SUM(AL65:AO65)</f>
        <v>1903.2570000000001</v>
      </c>
      <c r="AQ65" s="137">
        <f>AQ48+AQ44+AQ52</f>
        <v>428.55500000000006</v>
      </c>
      <c r="AR65" s="137">
        <f>AR48+AR44+AR52</f>
        <v>410.61299999999994</v>
      </c>
      <c r="AS65" s="137">
        <f>AS48+AS44+AS52</f>
        <v>409.88899999999995</v>
      </c>
      <c r="AT65" s="137">
        <f>AT48+AT44+AT52</f>
        <v>428.733</v>
      </c>
      <c r="AU65" s="139">
        <f>SUM(AQ65:AT65)</f>
        <v>1677.79</v>
      </c>
      <c r="AV65" s="137">
        <f>AV48+AV44+AV52</f>
        <v>498.74200000000002</v>
      </c>
      <c r="AW65" s="137">
        <f>AW48+AW44+AW52</f>
        <v>520.21600000000001</v>
      </c>
      <c r="AX65" s="137">
        <f>AX48+AX44+AX52</f>
        <v>524.70699999999999</v>
      </c>
      <c r="AY65" s="137">
        <f>AY48+AY44+AY52</f>
        <v>535.10900000000004</v>
      </c>
      <c r="AZ65" s="139">
        <f>SUM(AV65:AY65)</f>
        <v>2078.7739999999999</v>
      </c>
      <c r="BA65" s="137">
        <f>BA48+BA44+BA52</f>
        <v>539.55700000000002</v>
      </c>
      <c r="BB65" s="137">
        <f>BB48+BB44+BB52</f>
        <v>556.74800000000005</v>
      </c>
      <c r="BC65" s="137">
        <f>BC48+BC44+BC52</f>
        <v>560.05600000000004</v>
      </c>
      <c r="BD65" s="137">
        <f>BD48+BD44+BD52</f>
        <v>611.81899999999996</v>
      </c>
      <c r="BE65" s="139">
        <f>SUM(BA65:BD65)</f>
        <v>2268.1800000000003</v>
      </c>
      <c r="BF65" s="137">
        <f>BF48+BF44+BF52</f>
        <v>571.27200000000005</v>
      </c>
      <c r="BG65" s="137">
        <f>BG48+BG44+BG52</f>
        <v>611.76499999999999</v>
      </c>
      <c r="BH65" s="137">
        <f>BH48+BH44+BH52</f>
        <v>591.95000000000005</v>
      </c>
      <c r="BI65" s="137">
        <f>BI48+BI44+BI52</f>
        <v>638.077</v>
      </c>
      <c r="BJ65" s="139">
        <f>SUM(BF65:BI65)</f>
        <v>2413.0640000000003</v>
      </c>
      <c r="BK65" s="137">
        <f>BK48+BK44+BK52</f>
        <v>660.42399999999998</v>
      </c>
      <c r="BL65" s="137">
        <f>BL48+BL44+BL52</f>
        <v>651.37500000000011</v>
      </c>
      <c r="BM65" s="137">
        <f>BM48+BM44+BM52</f>
        <v>649.41600000000005</v>
      </c>
      <c r="BN65" s="138">
        <f>BN48+BN44+BN52</f>
        <v>691.19399999999996</v>
      </c>
      <c r="BO65" s="1440">
        <f>SUM(BK65:BN65)</f>
        <v>2652.4090000000001</v>
      </c>
      <c r="BP65" s="137">
        <f>BP48+BP44+BP52</f>
        <v>669.25000000000011</v>
      </c>
      <c r="BQ65" s="137">
        <f>BQ48+BQ44+BQ52</f>
        <v>686.06</v>
      </c>
      <c r="BR65" s="137">
        <f>BR48+BR44+BR52</f>
        <v>681.1</v>
      </c>
      <c r="BS65" s="138">
        <f>BS48+BS44+BS52</f>
        <v>695.58299999999997</v>
      </c>
      <c r="BT65" s="1440">
        <f>SUM(BP65:BS65)</f>
        <v>2731.9929999999999</v>
      </c>
      <c r="BU65" s="137">
        <f>BU48+BU44+BU52</f>
        <v>671.73099999999999</v>
      </c>
      <c r="BV65" s="137">
        <f>BV48+BV44+BV52</f>
        <v>684.85299999999995</v>
      </c>
      <c r="BW65" s="137">
        <f>BW48+BW44+BW52</f>
        <v>693.46900000000005</v>
      </c>
      <c r="BX65" s="138">
        <f>BX48+BX44+BX52</f>
        <v>719.33799999999997</v>
      </c>
      <c r="BY65" s="1440">
        <f>SUM(BU65:BX65)</f>
        <v>2769.3909999999996</v>
      </c>
      <c r="BZ65" s="137">
        <f>BZ48+BZ44+BZ52</f>
        <v>772.82999999999993</v>
      </c>
      <c r="CA65" s="137">
        <f>CA48+CA44+CA52</f>
        <v>751.96899999999994</v>
      </c>
      <c r="CB65" s="137">
        <f>CB48+CB44+CB52</f>
        <v>788.52700000000004</v>
      </c>
      <c r="CC65" s="138">
        <f>CC48+CC44+CC52</f>
        <v>820.06799999999998</v>
      </c>
      <c r="CD65" s="1440">
        <f>SUM(BZ65:CC65)</f>
        <v>3133.3940000000002</v>
      </c>
      <c r="CE65" s="137">
        <f>CE48+CE44+CE52</f>
        <v>859.98200000000008</v>
      </c>
      <c r="CF65" s="137">
        <f>CF48+CF44+CF52</f>
        <v>899.52800000000002</v>
      </c>
      <c r="CG65" s="137">
        <f>CG48+CG44+CG52</f>
        <v>903.35</v>
      </c>
      <c r="CH65" s="138">
        <f>CH48+CH44+CH52</f>
        <v>954.39700000000016</v>
      </c>
      <c r="CI65" s="1440">
        <f>SUM(CE65:CH65)</f>
        <v>3617.2570000000005</v>
      </c>
      <c r="CJ65" s="137">
        <f>CJ48+CJ44+CJ52</f>
        <v>974.38599999999997</v>
      </c>
      <c r="CK65" s="137">
        <f>CK48+CK44+CK52</f>
        <v>1022.4245593166597</v>
      </c>
      <c r="CL65" s="140">
        <f>CL48+CL44+CL52</f>
        <v>1053.0894153681281</v>
      </c>
      <c r="CM65" s="141">
        <f>CM48+CM44+CM52</f>
        <v>1118.1741755783783</v>
      </c>
      <c r="CN65" s="1231">
        <f>SUM(CJ65:CM65)</f>
        <v>4168.0741502631663</v>
      </c>
      <c r="CO65" s="140">
        <f>CO48+CO44+CO52</f>
        <v>1140.8995021998539</v>
      </c>
      <c r="CP65" s="140">
        <f>CP48+CP44+CP52</f>
        <v>1186.7024215787662</v>
      </c>
      <c r="CQ65" s="140">
        <f>CQ48+CQ44+CQ52</f>
        <v>1223.0081348563335</v>
      </c>
      <c r="CR65" s="141">
        <f>CR48+CR44+CR52</f>
        <v>1298.1042761671063</v>
      </c>
      <c r="CS65" s="1231">
        <f>SUM(CO65:CR65)</f>
        <v>4848.71433480206</v>
      </c>
      <c r="CT65" s="140">
        <f>CT48+CT44+CT52</f>
        <v>1335.1554264157548</v>
      </c>
      <c r="CU65" s="140">
        <f>CU48+CU44+CU52</f>
        <v>1364.0089125873194</v>
      </c>
      <c r="CV65" s="140">
        <f>CV48+CV44+CV52</f>
        <v>1394.6874783253609</v>
      </c>
      <c r="CW65" s="141">
        <f>CW48+CW44+CW52</f>
        <v>1469.6463598153077</v>
      </c>
      <c r="CX65" s="1231">
        <f>SUM(CT65:CW65)</f>
        <v>5563.4981771437424</v>
      </c>
      <c r="DA65" s="254"/>
      <c r="DB65" s="243"/>
      <c r="DC65" s="243"/>
    </row>
    <row r="66" spans="1:107">
      <c r="A66" s="155" t="s">
        <v>630</v>
      </c>
      <c r="B66" s="256"/>
      <c r="C66" s="257"/>
      <c r="D66" s="258"/>
      <c r="E66" s="258"/>
      <c r="F66" s="259"/>
      <c r="G66" s="260"/>
      <c r="H66" s="258"/>
      <c r="I66" s="1055"/>
      <c r="J66" s="258"/>
      <c r="K66" s="259"/>
      <c r="L66" s="261"/>
      <c r="M66" s="258"/>
      <c r="N66" s="258"/>
      <c r="O66" s="258"/>
      <c r="P66" s="259"/>
      <c r="Q66" s="260"/>
      <c r="R66" s="258"/>
      <c r="S66" s="258"/>
      <c r="T66" s="258"/>
      <c r="U66" s="259"/>
      <c r="V66" s="260"/>
      <c r="W66" s="258"/>
      <c r="X66" s="258"/>
      <c r="Y66" s="258"/>
      <c r="Z66" s="259"/>
      <c r="AA66" s="262"/>
      <c r="AB66" s="255"/>
      <c r="AC66" s="255"/>
      <c r="AD66" s="255"/>
      <c r="AE66" s="263"/>
      <c r="AF66" s="262"/>
      <c r="AG66" s="255"/>
      <c r="AH66" s="255"/>
      <c r="AI66" s="255"/>
      <c r="AJ66" s="263"/>
      <c r="AK66" s="262"/>
      <c r="AL66" s="255"/>
      <c r="AM66" s="255"/>
      <c r="AN66" s="255"/>
      <c r="AO66" s="263"/>
      <c r="AP66" s="262"/>
      <c r="AQ66" s="1066"/>
      <c r="AR66" s="1070"/>
      <c r="AS66" s="1070"/>
      <c r="AT66" s="1070"/>
      <c r="AU66" s="1139"/>
      <c r="AV66" s="1214"/>
      <c r="AW66" s="1070"/>
      <c r="AX66" s="1070"/>
      <c r="AY66" s="1070"/>
      <c r="AZ66" s="1139"/>
      <c r="BA66" s="283">
        <f t="shared" ref="BA66:CN66" si="141">BA65/AV65-1</f>
        <v>8.1835899122191469E-2</v>
      </c>
      <c r="BB66" s="283">
        <f t="shared" si="141"/>
        <v>7.0224675903855394E-2</v>
      </c>
      <c r="BC66" s="283">
        <f t="shared" si="141"/>
        <v>6.7369026904539275E-2</v>
      </c>
      <c r="BD66" s="283">
        <f t="shared" si="141"/>
        <v>0.14335397087322388</v>
      </c>
      <c r="BE66" s="1429">
        <f t="shared" si="141"/>
        <v>9.1114281783397422E-2</v>
      </c>
      <c r="BF66" s="283">
        <f t="shared" si="141"/>
        <v>5.8779702607880235E-2</v>
      </c>
      <c r="BG66" s="283">
        <f t="shared" si="141"/>
        <v>9.881849598022785E-2</v>
      </c>
      <c r="BH66" s="283">
        <f t="shared" si="141"/>
        <v>5.694787664090728E-2</v>
      </c>
      <c r="BI66" s="283">
        <f t="shared" si="141"/>
        <v>4.2917921803670822E-2</v>
      </c>
      <c r="BJ66" s="1429">
        <f t="shared" si="141"/>
        <v>6.3876764630673044E-2</v>
      </c>
      <c r="BK66" s="283">
        <f t="shared" si="141"/>
        <v>0.15605876010026742</v>
      </c>
      <c r="BL66" s="283">
        <f t="shared" si="141"/>
        <v>6.4747084256209675E-2</v>
      </c>
      <c r="BM66" s="283">
        <f t="shared" si="141"/>
        <v>9.7079145198074146E-2</v>
      </c>
      <c r="BN66" s="283">
        <f t="shared" si="141"/>
        <v>8.3245439030085633E-2</v>
      </c>
      <c r="BO66" s="1429">
        <f t="shared" si="141"/>
        <v>9.9187174480245721E-2</v>
      </c>
      <c r="BP66" s="283">
        <f t="shared" si="141"/>
        <v>1.3364141824040443E-2</v>
      </c>
      <c r="BQ66" s="283">
        <f t="shared" si="141"/>
        <v>5.3248896564958459E-2</v>
      </c>
      <c r="BR66" s="283">
        <f t="shared" si="141"/>
        <v>4.8788449930398992E-2</v>
      </c>
      <c r="BS66" s="283">
        <f t="shared" si="141"/>
        <v>6.3498815093880889E-3</v>
      </c>
      <c r="BT66" s="1429">
        <f t="shared" si="141"/>
        <v>3.0004422394886987E-2</v>
      </c>
      <c r="BU66" s="283">
        <f t="shared" si="141"/>
        <v>3.7071348524466696E-3</v>
      </c>
      <c r="BV66" s="283">
        <f t="shared" si="141"/>
        <v>-1.7593213421566167E-3</v>
      </c>
      <c r="BW66" s="283">
        <f t="shared" si="141"/>
        <v>1.8160328879753385E-2</v>
      </c>
      <c r="BX66" s="283">
        <f t="shared" si="141"/>
        <v>3.4151208410786449E-2</v>
      </c>
      <c r="BY66" s="1488">
        <f t="shared" si="141"/>
        <v>1.3688907694858532E-2</v>
      </c>
      <c r="BZ66" s="283">
        <f t="shared" si="141"/>
        <v>0.1505051873443386</v>
      </c>
      <c r="CA66" s="283">
        <f t="shared" si="141"/>
        <v>9.8000592827949928E-2</v>
      </c>
      <c r="CB66" s="283">
        <f t="shared" si="141"/>
        <v>0.13707606252045879</v>
      </c>
      <c r="CC66" s="283">
        <f t="shared" si="141"/>
        <v>0.14003152898915405</v>
      </c>
      <c r="CD66" s="1488">
        <f t="shared" si="141"/>
        <v>0.13143792263353227</v>
      </c>
      <c r="CE66" s="283">
        <f t="shared" si="141"/>
        <v>0.11276994940672624</v>
      </c>
      <c r="CF66" s="283">
        <f t="shared" si="141"/>
        <v>0.19623016374345226</v>
      </c>
      <c r="CG66" s="1489">
        <f t="shared" si="141"/>
        <v>0.14561708096235138</v>
      </c>
      <c r="CH66" s="283">
        <f t="shared" si="141"/>
        <v>0.16380227005565406</v>
      </c>
      <c r="CI66" s="1488">
        <f t="shared" si="141"/>
        <v>0.15442137184152394</v>
      </c>
      <c r="CJ66" s="283">
        <f t="shared" si="141"/>
        <v>0.13303069134005119</v>
      </c>
      <c r="CK66" s="1489">
        <f t="shared" si="141"/>
        <v>0.13662338394875939</v>
      </c>
      <c r="CL66" s="1489">
        <f t="shared" si="141"/>
        <v>0.16576013213940133</v>
      </c>
      <c r="CM66" s="1489">
        <f t="shared" si="141"/>
        <v>0.1716027770187647</v>
      </c>
      <c r="CN66" s="1488">
        <f t="shared" si="141"/>
        <v>0.15227481770390261</v>
      </c>
      <c r="CO66" s="1489">
        <f t="shared" ref="CO66:CX66" si="142">CO65/CJ65-1</f>
        <v>0.17089069650000521</v>
      </c>
      <c r="CP66" s="1489">
        <f t="shared" si="142"/>
        <v>0.16067480066392581</v>
      </c>
      <c r="CQ66" s="1489">
        <f t="shared" si="142"/>
        <v>0.16135260407000374</v>
      </c>
      <c r="CR66" s="1489">
        <f t="shared" si="142"/>
        <v>0.16091419791166151</v>
      </c>
      <c r="CS66" s="1488">
        <f t="shared" si="142"/>
        <v>0.16329848270475678</v>
      </c>
      <c r="CT66" s="1489">
        <f t="shared" si="142"/>
        <v>0.17026558767125533</v>
      </c>
      <c r="CU66" s="1489">
        <f t="shared" si="142"/>
        <v>0.14941108047345852</v>
      </c>
      <c r="CV66" s="1489">
        <f t="shared" si="142"/>
        <v>0.14037465375419966</v>
      </c>
      <c r="CW66" s="1489">
        <f t="shared" si="142"/>
        <v>0.13214815388692136</v>
      </c>
      <c r="CX66" s="1488">
        <f t="shared" si="142"/>
        <v>0.14741718999844156</v>
      </c>
      <c r="DA66" s="264"/>
      <c r="DB66" s="258"/>
      <c r="DC66" s="258"/>
    </row>
    <row r="67" spans="1:107">
      <c r="A67" s="175" t="s">
        <v>157</v>
      </c>
      <c r="B67" s="214"/>
      <c r="C67" s="265">
        <f>C38-C65</f>
        <v>119.03599999999997</v>
      </c>
      <c r="D67" s="266">
        <f>D38-D65</f>
        <v>121.48000000000005</v>
      </c>
      <c r="E67" s="266">
        <f>E38-E65</f>
        <v>96.411000000000001</v>
      </c>
      <c r="F67" s="267">
        <f>F38-F65</f>
        <v>67.87399999999991</v>
      </c>
      <c r="G67" s="268">
        <f>SUM(C67:F67)</f>
        <v>404.80099999999993</v>
      </c>
      <c r="H67" s="266">
        <f>H38-H65</f>
        <v>72.685000000000002</v>
      </c>
      <c r="I67" s="266">
        <f>I38-I65</f>
        <v>96.404000000000053</v>
      </c>
      <c r="J67" s="266">
        <f>J38-J65</f>
        <v>73.011000000000024</v>
      </c>
      <c r="K67" s="267">
        <f>K38-K65</f>
        <v>83.817000000000007</v>
      </c>
      <c r="L67" s="267">
        <f>SUM(H67:K67)</f>
        <v>325.91700000000009</v>
      </c>
      <c r="M67" s="266">
        <f>M38-M65</f>
        <v>80.507999999999953</v>
      </c>
      <c r="N67" s="266">
        <f>N38-N65</f>
        <v>91.460999999999956</v>
      </c>
      <c r="O67" s="266">
        <f>O38-O65</f>
        <v>91.775999999999982</v>
      </c>
      <c r="P67" s="267">
        <f>P38-P65</f>
        <v>115.15799999999996</v>
      </c>
      <c r="Q67" s="268">
        <f>SUM(M67:P67)</f>
        <v>378.90299999999985</v>
      </c>
      <c r="R67" s="266">
        <f>R38-R65</f>
        <v>163.26199999999997</v>
      </c>
      <c r="S67" s="266">
        <f>S38-S65</f>
        <v>141.83899999999997</v>
      </c>
      <c r="T67" s="266">
        <f>T38-T65</f>
        <v>140.31399999999996</v>
      </c>
      <c r="U67" s="267">
        <f>U38-U65</f>
        <v>146.37899999999996</v>
      </c>
      <c r="V67" s="268">
        <f>SUM(R67:U67)</f>
        <v>591.79399999999987</v>
      </c>
      <c r="W67" s="266">
        <f>W38-W65</f>
        <v>170.71199999999999</v>
      </c>
      <c r="X67" s="266">
        <f>X38-X65</f>
        <v>182.20399999999995</v>
      </c>
      <c r="Y67" s="266">
        <f>Y38-Y65</f>
        <v>183.58799999999997</v>
      </c>
      <c r="Z67" s="267">
        <f>Z38-Z65</f>
        <v>191.93000000000018</v>
      </c>
      <c r="AA67" s="268">
        <f>SUM(W67:Z67)</f>
        <v>728.43400000000008</v>
      </c>
      <c r="AB67" s="266">
        <f>AB38-AB65</f>
        <v>252.40100000000007</v>
      </c>
      <c r="AC67" s="266">
        <f>AC38-AC65</f>
        <v>243.065</v>
      </c>
      <c r="AD67" s="266">
        <f>AD38-AD65</f>
        <v>207.24899999999997</v>
      </c>
      <c r="AE67" s="267">
        <f>AE38-AE65</f>
        <v>253.96899999999999</v>
      </c>
      <c r="AF67" s="179">
        <f>SUM(AB67:AE67)</f>
        <v>956.68399999999997</v>
      </c>
      <c r="AG67" s="266">
        <f>AG38-AG65</f>
        <v>222.52500000000009</v>
      </c>
      <c r="AH67" s="266">
        <f>AH38-AH65</f>
        <v>282.05400000000003</v>
      </c>
      <c r="AI67" s="266">
        <f>AI38-AI65</f>
        <v>340.85699999999991</v>
      </c>
      <c r="AJ67" s="267">
        <f>AJ38-AJ65</f>
        <v>362.19299999999998</v>
      </c>
      <c r="AK67" s="179">
        <f>SUM(AG67:AJ67)</f>
        <v>1207.6289999999999</v>
      </c>
      <c r="AL67" s="266">
        <f>AL38-AL65</f>
        <v>358.94099999999992</v>
      </c>
      <c r="AM67" s="266">
        <f>AM38-AM65</f>
        <v>349.637</v>
      </c>
      <c r="AN67" s="266">
        <f>AN38-AN65</f>
        <v>351.91899999999998</v>
      </c>
      <c r="AO67" s="197">
        <f>AO38-AO65</f>
        <v>374.86300000000006</v>
      </c>
      <c r="AP67" s="179">
        <f>SUM(AL67:AO67)</f>
        <v>1435.36</v>
      </c>
      <c r="AQ67" s="266">
        <f t="shared" ref="AQ67:BA67" si="143">AQ38-AQ65</f>
        <v>294.97499999999991</v>
      </c>
      <c r="AR67" s="266">
        <f t="shared" si="143"/>
        <v>237.69600000000003</v>
      </c>
      <c r="AS67" s="266">
        <f t="shared" si="143"/>
        <v>237.08900000000011</v>
      </c>
      <c r="AT67" s="266">
        <f t="shared" si="143"/>
        <v>265.18599999999998</v>
      </c>
      <c r="AU67" s="179">
        <f t="shared" si="143"/>
        <v>1034.9459999999999</v>
      </c>
      <c r="AV67" s="266">
        <f t="shared" si="143"/>
        <v>289.286</v>
      </c>
      <c r="AW67" s="266">
        <f>AW38-AW65</f>
        <v>334.46599999999989</v>
      </c>
      <c r="AX67" s="266">
        <f t="shared" si="143"/>
        <v>384.94000000000005</v>
      </c>
      <c r="AY67" s="266">
        <f t="shared" si="143"/>
        <v>383.91799999999989</v>
      </c>
      <c r="AZ67" s="179">
        <f>SUM(AV67:AY67)</f>
        <v>1392.61</v>
      </c>
      <c r="BA67" s="266">
        <f t="shared" si="143"/>
        <v>400.11000000000013</v>
      </c>
      <c r="BB67" s="266">
        <f>BB38-BB65</f>
        <v>376.42999999999995</v>
      </c>
      <c r="BC67" s="266">
        <f>BC38-BC65</f>
        <v>366.10199999999998</v>
      </c>
      <c r="BD67" s="266">
        <f>BD38-BD65</f>
        <v>444.56299999999987</v>
      </c>
      <c r="BE67" s="179">
        <f>SUM(BA67:BD67)</f>
        <v>1587.2049999999999</v>
      </c>
      <c r="BF67" s="266">
        <f>BF38-BF65</f>
        <v>386.58299999999997</v>
      </c>
      <c r="BG67" s="266">
        <f>BG38-BG65</f>
        <v>404.35700000000008</v>
      </c>
      <c r="BH67" s="266">
        <f>BH38-BH65</f>
        <v>392.0089999999999</v>
      </c>
      <c r="BI67" s="266">
        <f>BI38-BI65</f>
        <v>414.57299999999987</v>
      </c>
      <c r="BJ67" s="179">
        <f>SUM(BF67:BI67)</f>
        <v>1597.5219999999999</v>
      </c>
      <c r="BK67" s="266">
        <f>BK38-BK65</f>
        <v>240.66499999999996</v>
      </c>
      <c r="BL67" s="266">
        <f>BL38-BL65</f>
        <v>247.29299999999989</v>
      </c>
      <c r="BM67" s="266">
        <f>BM38-BM65</f>
        <v>223.02699999999993</v>
      </c>
      <c r="BN67" s="267">
        <f>BN38-BN65</f>
        <v>224.3889999999999</v>
      </c>
      <c r="BO67" s="1445">
        <f>SUM(BK67:BN67)</f>
        <v>935.37399999999968</v>
      </c>
      <c r="BP67" s="266">
        <f>BP38-BP65</f>
        <v>204.9609999999999</v>
      </c>
      <c r="BQ67" s="266">
        <f>BQ38-BQ65</f>
        <v>250.34400000000016</v>
      </c>
      <c r="BR67" s="266">
        <f>BR38-BR65</f>
        <v>189.8850000000001</v>
      </c>
      <c r="BS67" s="267">
        <f>BS38-BS65</f>
        <v>240.702</v>
      </c>
      <c r="BT67" s="1445">
        <f>SUM(BP67:BS67)</f>
        <v>885.89200000000017</v>
      </c>
      <c r="BU67" s="266">
        <f t="shared" ref="BU67:BZ67" si="144">BU38-BU65</f>
        <v>295.15200000000004</v>
      </c>
      <c r="BV67" s="266">
        <f t="shared" si="144"/>
        <v>319.13199999999995</v>
      </c>
      <c r="BW67" s="266">
        <f t="shared" si="144"/>
        <v>360.71399999999994</v>
      </c>
      <c r="BX67" s="267">
        <f t="shared" si="144"/>
        <v>410.2049999999997</v>
      </c>
      <c r="BY67" s="1445">
        <f t="shared" si="144"/>
        <v>1385.2029999999995</v>
      </c>
      <c r="BZ67" s="266">
        <f t="shared" si="144"/>
        <v>435.33300000000008</v>
      </c>
      <c r="CA67" s="1666">
        <f>CA38-CA65</f>
        <v>463.56400000000019</v>
      </c>
      <c r="CB67" s="266">
        <f>CB38-CB65</f>
        <v>491.13900000000012</v>
      </c>
      <c r="CC67" s="266">
        <f>CC38-CC65</f>
        <v>589.69499999999994</v>
      </c>
      <c r="CD67" s="1445">
        <f>SUM(BZ67:CC67)</f>
        <v>1979.7310000000004</v>
      </c>
      <c r="CE67" s="266">
        <f>CE38-CE65</f>
        <v>608.02699999999993</v>
      </c>
      <c r="CF67" s="1666">
        <f>CF38-CF65</f>
        <v>659.202</v>
      </c>
      <c r="CG67" s="1666">
        <f>CG38-CG65</f>
        <v>700.30200000000002</v>
      </c>
      <c r="CH67" s="266">
        <f>CH38-CH65</f>
        <v>806.32599999999979</v>
      </c>
      <c r="CI67" s="1445">
        <f>SUM(CE67:CH67)</f>
        <v>2773.857</v>
      </c>
      <c r="CJ67" s="266">
        <f>CJ38-CJ65</f>
        <v>869.95900000000006</v>
      </c>
      <c r="CK67" s="269">
        <f>CK38-CK65</f>
        <v>899.12056218791486</v>
      </c>
      <c r="CL67" s="269">
        <f>CL38-CL65</f>
        <v>927.20130369828757</v>
      </c>
      <c r="CM67" s="270">
        <f>CM38-CM65</f>
        <v>980.19943323251346</v>
      </c>
      <c r="CN67" s="1227">
        <f>SUM(CJ67:CM67)</f>
        <v>3676.4802991187157</v>
      </c>
      <c r="CO67" s="269">
        <f>CO38-CO65</f>
        <v>1061.1433216444352</v>
      </c>
      <c r="CP67" s="269">
        <f>CP38-CP65</f>
        <v>1097.4595824115142</v>
      </c>
      <c r="CQ67" s="269">
        <f>CQ38-CQ65</f>
        <v>1135.9061409612177</v>
      </c>
      <c r="CR67" s="270">
        <f>CR38-CR65</f>
        <v>1199.9255773959928</v>
      </c>
      <c r="CS67" s="1227">
        <f>SUM(CO67:CR67)</f>
        <v>4494.4346224131605</v>
      </c>
      <c r="CT67" s="269">
        <f>CT38-CT65</f>
        <v>1270.8966265958843</v>
      </c>
      <c r="CU67" s="269">
        <f>CU38-CU65</f>
        <v>1320.123921517755</v>
      </c>
      <c r="CV67" s="269">
        <f>CV38-CV65</f>
        <v>1356.7086540574571</v>
      </c>
      <c r="CW67" s="270">
        <f>CW38-CW65</f>
        <v>1422.4040860452842</v>
      </c>
      <c r="CX67" s="1227">
        <f>SUM(CT67:CW67)</f>
        <v>5370.1332882163806</v>
      </c>
      <c r="DA67" s="271"/>
      <c r="DB67" s="182"/>
      <c r="DC67" s="182"/>
    </row>
    <row r="68" spans="1:107">
      <c r="A68" s="666" t="s">
        <v>158</v>
      </c>
      <c r="B68" s="272"/>
      <c r="C68" s="273">
        <f t="shared" ref="C68:AH68" si="145">C67/C24</f>
        <v>0.36184564503038275</v>
      </c>
      <c r="D68" s="274">
        <f t="shared" si="145"/>
        <v>0.35304408982455338</v>
      </c>
      <c r="E68" s="274">
        <f t="shared" si="145"/>
        <v>0.33004128468632538</v>
      </c>
      <c r="F68" s="275">
        <f t="shared" si="145"/>
        <v>0.25657367505859197</v>
      </c>
      <c r="G68" s="276">
        <f t="shared" si="145"/>
        <v>0.32918143967732488</v>
      </c>
      <c r="H68" s="274">
        <f t="shared" si="145"/>
        <v>0.27131797413921821</v>
      </c>
      <c r="I68" s="274">
        <f t="shared" si="145"/>
        <v>0.30376954805126072</v>
      </c>
      <c r="J68" s="274">
        <f t="shared" si="145"/>
        <v>0.25628775725834485</v>
      </c>
      <c r="K68" s="275">
        <f t="shared" si="145"/>
        <v>0.28445906045735003</v>
      </c>
      <c r="L68" s="275">
        <f t="shared" si="145"/>
        <v>0.27980799939559825</v>
      </c>
      <c r="M68" s="274">
        <f t="shared" si="145"/>
        <v>0.2711665740413276</v>
      </c>
      <c r="N68" s="274">
        <f t="shared" si="145"/>
        <v>0.28568528109050234</v>
      </c>
      <c r="O68" s="274">
        <f t="shared" si="145"/>
        <v>0.28758907251772048</v>
      </c>
      <c r="P68" s="275">
        <f t="shared" si="145"/>
        <v>0.32114471842180115</v>
      </c>
      <c r="Q68" s="276">
        <f t="shared" si="145"/>
        <v>0.29264591052010847</v>
      </c>
      <c r="R68" s="274">
        <f t="shared" si="145"/>
        <v>0.38570594947564379</v>
      </c>
      <c r="S68" s="274">
        <f t="shared" si="145"/>
        <v>0.34587707426509134</v>
      </c>
      <c r="T68" s="274">
        <f t="shared" si="145"/>
        <v>0.3475587855729193</v>
      </c>
      <c r="U68" s="275">
        <f t="shared" si="145"/>
        <v>0.34081098574628288</v>
      </c>
      <c r="V68" s="276">
        <f t="shared" si="145"/>
        <v>0.35509465186510575</v>
      </c>
      <c r="W68" s="274">
        <f t="shared" si="145"/>
        <v>0.36100337927855147</v>
      </c>
      <c r="X68" s="274">
        <f t="shared" si="145"/>
        <v>0.36732529751284693</v>
      </c>
      <c r="Y68" s="274">
        <f t="shared" si="145"/>
        <v>0.37694722599216895</v>
      </c>
      <c r="Z68" s="275">
        <f t="shared" si="145"/>
        <v>0.37605976828620774</v>
      </c>
      <c r="AA68" s="276">
        <f t="shared" si="145"/>
        <v>0.37045528171646447</v>
      </c>
      <c r="AB68" s="274">
        <f t="shared" si="145"/>
        <v>0.38506402960892666</v>
      </c>
      <c r="AC68" s="274">
        <f t="shared" si="145"/>
        <v>0.3825048469130829</v>
      </c>
      <c r="AD68" s="274">
        <f t="shared" si="145"/>
        <v>0.3441582487948176</v>
      </c>
      <c r="AE68" s="275">
        <f t="shared" si="145"/>
        <v>0.37229303331256641</v>
      </c>
      <c r="AF68" s="276">
        <f t="shared" si="145"/>
        <v>0.37148448724420458</v>
      </c>
      <c r="AG68" s="274">
        <f t="shared" si="145"/>
        <v>0.34265876407245394</v>
      </c>
      <c r="AH68" s="274">
        <f t="shared" si="145"/>
        <v>0.37830297876678065</v>
      </c>
      <c r="AI68" s="274">
        <f t="shared" ref="AI68:BA68" si="146">AI67/AI24</f>
        <v>0.40021439826414895</v>
      </c>
      <c r="AJ68" s="275">
        <f t="shared" si="146"/>
        <v>0.39748532447479229</v>
      </c>
      <c r="AK68" s="276">
        <f t="shared" si="146"/>
        <v>0.3824175135161838</v>
      </c>
      <c r="AL68" s="274">
        <f t="shared" si="146"/>
        <v>0.40310294291056714</v>
      </c>
      <c r="AM68" s="274">
        <f t="shared" si="146"/>
        <v>0.39422992357529602</v>
      </c>
      <c r="AN68" s="274">
        <f t="shared" si="146"/>
        <v>0.39663705104608926</v>
      </c>
      <c r="AO68" s="275">
        <f t="shared" si="146"/>
        <v>0.40955161198338036</v>
      </c>
      <c r="AP68" s="276">
        <f t="shared" si="146"/>
        <v>0.40095097920633849</v>
      </c>
      <c r="AQ68" s="274">
        <f t="shared" si="146"/>
        <v>0.375100141151337</v>
      </c>
      <c r="AR68" s="274">
        <f t="shared" si="146"/>
        <v>0.33731390304439085</v>
      </c>
      <c r="AS68" s="274">
        <f t="shared" si="146"/>
        <v>0.33990913352840918</v>
      </c>
      <c r="AT68" s="275">
        <f t="shared" si="146"/>
        <v>0.35018084388531101</v>
      </c>
      <c r="AU68" s="276">
        <f t="shared" si="146"/>
        <v>0.35132302935686199</v>
      </c>
      <c r="AV68" s="274">
        <f t="shared" si="146"/>
        <v>0.3368883195528124</v>
      </c>
      <c r="AW68" s="274">
        <f>AW67/AW24</f>
        <v>0.3546697630522726</v>
      </c>
      <c r="AX68" s="274">
        <f t="shared" si="146"/>
        <v>0.38870303407285939</v>
      </c>
      <c r="AY68" s="275">
        <f t="shared" si="146"/>
        <v>0.38089143664442332</v>
      </c>
      <c r="AZ68" s="276">
        <f t="shared" si="146"/>
        <v>0.36647631578947365</v>
      </c>
      <c r="BA68" s="274">
        <f t="shared" si="146"/>
        <v>0.38932340572109153</v>
      </c>
      <c r="BB68" s="274">
        <f t="shared" ref="BB68:BJ68" si="147">BB67/BB24</f>
        <v>0.36790239049081341</v>
      </c>
      <c r="BC68" s="274">
        <f t="shared" si="147"/>
        <v>0.36132813271062719</v>
      </c>
      <c r="BD68" s="275">
        <f t="shared" si="147"/>
        <v>0.38585145652387115</v>
      </c>
      <c r="BE68" s="276">
        <f t="shared" si="147"/>
        <v>0.37644873724520656</v>
      </c>
      <c r="BF68" s="274">
        <f t="shared" si="147"/>
        <v>0.36985802032108067</v>
      </c>
      <c r="BG68" s="274">
        <f t="shared" si="147"/>
        <v>0.35960457077199592</v>
      </c>
      <c r="BH68" s="274">
        <f t="shared" si="147"/>
        <v>0.36277647189472312</v>
      </c>
      <c r="BI68" s="274">
        <f t="shared" si="147"/>
        <v>0.35942685629272042</v>
      </c>
      <c r="BJ68" s="276">
        <f t="shared" si="147"/>
        <v>0.36277002150702697</v>
      </c>
      <c r="BK68" s="274">
        <f t="shared" ref="BK68:BS68" si="148">BK67/BK24</f>
        <v>0.23878504533805348</v>
      </c>
      <c r="BL68" s="274">
        <f t="shared" si="148"/>
        <v>0.24471153798578782</v>
      </c>
      <c r="BM68" s="274">
        <f t="shared" si="148"/>
        <v>0.22412093428022167</v>
      </c>
      <c r="BN68" s="275">
        <f t="shared" si="148"/>
        <v>0.21540675377436277</v>
      </c>
      <c r="BO68" s="1446">
        <f t="shared" si="148"/>
        <v>0.23065811148045484</v>
      </c>
      <c r="BP68" s="274">
        <f t="shared" si="148"/>
        <v>0.20493640763108417</v>
      </c>
      <c r="BQ68" s="274">
        <f t="shared" si="148"/>
        <v>0.23435885145964094</v>
      </c>
      <c r="BR68" s="274">
        <f t="shared" si="148"/>
        <v>0.18886343766566649</v>
      </c>
      <c r="BS68" s="275">
        <f t="shared" si="148"/>
        <v>0.2242576360627879</v>
      </c>
      <c r="BT68" s="1446">
        <f>BT67/BT24</f>
        <v>0.21361902936172938</v>
      </c>
      <c r="BU68" s="274">
        <f t="shared" ref="BU68:CD68" si="149">BU67/BU24</f>
        <v>0.26609904064350187</v>
      </c>
      <c r="BV68" s="274">
        <f t="shared" si="149"/>
        <v>0.27460293695005322</v>
      </c>
      <c r="BW68" s="274">
        <f t="shared" si="149"/>
        <v>0.2962091301463004</v>
      </c>
      <c r="BX68" s="275">
        <f>BX67/BX24</f>
        <v>0.31399551746626603</v>
      </c>
      <c r="BY68" s="1446">
        <f t="shared" si="149"/>
        <v>0.28885409709205123</v>
      </c>
      <c r="BZ68" s="274">
        <f>BZ67/BZ24</f>
        <v>0.31469817506243974</v>
      </c>
      <c r="CA68" s="274">
        <f>CA67/CA24</f>
        <v>0.33142276198980641</v>
      </c>
      <c r="CB68" s="274">
        <f t="shared" si="149"/>
        <v>0.33548502117875612</v>
      </c>
      <c r="CC68" s="274">
        <f t="shared" ref="CC68:CE68" si="150">CC67/CC24</f>
        <v>0.36663021264981327</v>
      </c>
      <c r="CD68" s="1446">
        <f t="shared" si="149"/>
        <v>0.33815947923196626</v>
      </c>
      <c r="CE68" s="274">
        <f t="shared" si="150"/>
        <v>0.36156658416813048</v>
      </c>
      <c r="CF68" s="274">
        <f>CF67/CF24</f>
        <v>0.37197027406767896</v>
      </c>
      <c r="CG68" s="274">
        <f>CG67/CG24</f>
        <v>0.38037688870735231</v>
      </c>
      <c r="CH68" s="274">
        <f>CH67/CH24</f>
        <v>0.40183793939484541</v>
      </c>
      <c r="CI68" s="1446">
        <f t="shared" ref="CI68:CN68" si="151">CI67/CI24</f>
        <v>0.37990208867897785</v>
      </c>
      <c r="CJ68" s="274">
        <f t="shared" si="151"/>
        <v>0.41846136529695083</v>
      </c>
      <c r="CK68" s="277">
        <f t="shared" si="151"/>
        <v>0.4133884387365595</v>
      </c>
      <c r="CL68" s="277">
        <f t="shared" si="151"/>
        <v>0.409998334046697</v>
      </c>
      <c r="CM68" s="278">
        <f t="shared" si="151"/>
        <v>0.41188233831336962</v>
      </c>
      <c r="CN68" s="1130">
        <f t="shared" si="151"/>
        <v>0.4133092368701024</v>
      </c>
      <c r="CO68" s="277">
        <f t="shared" ref="CO68:CX68" si="152">CO67/CO24</f>
        <v>0.42988189696786505</v>
      </c>
      <c r="CP68" s="277">
        <f t="shared" si="152"/>
        <v>0.42686798380190244</v>
      </c>
      <c r="CQ68" s="277">
        <f t="shared" si="152"/>
        <v>0.42414127003890173</v>
      </c>
      <c r="CR68" s="278">
        <f t="shared" si="152"/>
        <v>0.42600377356247315</v>
      </c>
      <c r="CS68" s="1130">
        <f t="shared" si="152"/>
        <v>0.42664993139142909</v>
      </c>
      <c r="CT68" s="277">
        <f t="shared" si="152"/>
        <v>0.43756787118135132</v>
      </c>
      <c r="CU68" s="277">
        <f t="shared" si="152"/>
        <v>0.43947053103526895</v>
      </c>
      <c r="CV68" s="277">
        <f t="shared" si="152"/>
        <v>0.43693345565090691</v>
      </c>
      <c r="CW68" s="278">
        <f t="shared" si="152"/>
        <v>0.43878628347529874</v>
      </c>
      <c r="CX68" s="1130">
        <f t="shared" si="152"/>
        <v>0.43819578851298507</v>
      </c>
      <c r="CY68" s="1759"/>
      <c r="DA68" s="280"/>
      <c r="DB68" s="279"/>
      <c r="DC68" s="279"/>
    </row>
    <row r="69" spans="1:107">
      <c r="A69" s="155" t="s">
        <v>630</v>
      </c>
      <c r="B69" s="184"/>
      <c r="C69" s="157"/>
      <c r="D69" s="158"/>
      <c r="E69" s="158"/>
      <c r="F69" s="159"/>
      <c r="G69" s="160"/>
      <c r="H69" s="282">
        <f t="shared" ref="H69:BA69" si="153">H67/C67-1</f>
        <v>-0.38938640411304126</v>
      </c>
      <c r="I69" s="282">
        <f t="shared" si="153"/>
        <v>-0.206420810009878</v>
      </c>
      <c r="J69" s="282">
        <f t="shared" si="153"/>
        <v>-0.24271089398512591</v>
      </c>
      <c r="K69" s="282">
        <f t="shared" si="153"/>
        <v>0.23489112178448468</v>
      </c>
      <c r="L69" s="163">
        <f t="shared" si="153"/>
        <v>-0.19487106010113575</v>
      </c>
      <c r="M69" s="282">
        <f t="shared" si="153"/>
        <v>0.10762880924537321</v>
      </c>
      <c r="N69" s="282">
        <f t="shared" si="153"/>
        <v>-5.1273806066139294E-2</v>
      </c>
      <c r="O69" s="282">
        <f t="shared" si="153"/>
        <v>0.25701606607223493</v>
      </c>
      <c r="P69" s="282">
        <f t="shared" si="153"/>
        <v>0.37392175811589468</v>
      </c>
      <c r="Q69" s="163">
        <f t="shared" si="153"/>
        <v>0.16257513415992331</v>
      </c>
      <c r="R69" s="282">
        <f t="shared" si="153"/>
        <v>1.0278978486610035</v>
      </c>
      <c r="S69" s="282">
        <f t="shared" si="153"/>
        <v>0.55081400815648252</v>
      </c>
      <c r="T69" s="282">
        <f t="shared" si="153"/>
        <v>0.52887465132496514</v>
      </c>
      <c r="U69" s="282">
        <f t="shared" si="153"/>
        <v>0.27111446881675616</v>
      </c>
      <c r="V69" s="163">
        <f t="shared" si="153"/>
        <v>0.56186147905928463</v>
      </c>
      <c r="W69" s="283">
        <f t="shared" si="153"/>
        <v>4.5632174051524643E-2</v>
      </c>
      <c r="X69" s="283">
        <f t="shared" si="153"/>
        <v>0.28458322464202368</v>
      </c>
      <c r="Y69" s="283">
        <f t="shared" si="153"/>
        <v>0.30840828427669376</v>
      </c>
      <c r="Z69" s="283">
        <f t="shared" si="153"/>
        <v>0.31118534762500238</v>
      </c>
      <c r="AA69" s="237">
        <f t="shared" si="153"/>
        <v>0.23089115469234267</v>
      </c>
      <c r="AB69" s="283">
        <f t="shared" si="153"/>
        <v>0.47851937766530805</v>
      </c>
      <c r="AC69" s="283">
        <f t="shared" si="153"/>
        <v>0.33402669535246243</v>
      </c>
      <c r="AD69" s="283">
        <f t="shared" si="153"/>
        <v>0.12888097261258902</v>
      </c>
      <c r="AE69" s="283">
        <f t="shared" si="153"/>
        <v>0.32323763872244959</v>
      </c>
      <c r="AF69" s="237">
        <f t="shared" si="153"/>
        <v>0.31334341889587791</v>
      </c>
      <c r="AG69" s="283">
        <f t="shared" si="153"/>
        <v>-0.11836720139777568</v>
      </c>
      <c r="AH69" s="283">
        <f t="shared" si="153"/>
        <v>0.1604056528089195</v>
      </c>
      <c r="AI69" s="283">
        <f t="shared" si="153"/>
        <v>0.64467379818479209</v>
      </c>
      <c r="AJ69" s="283">
        <f t="shared" si="153"/>
        <v>0.42613074824092712</v>
      </c>
      <c r="AK69" s="237">
        <f t="shared" si="153"/>
        <v>0.26230709408749386</v>
      </c>
      <c r="AL69" s="283">
        <f t="shared" si="153"/>
        <v>0.61303673744522991</v>
      </c>
      <c r="AM69" s="283">
        <f t="shared" si="153"/>
        <v>0.23961014557496063</v>
      </c>
      <c r="AN69" s="283">
        <f t="shared" si="153"/>
        <v>3.2453492226945713E-2</v>
      </c>
      <c r="AO69" s="283">
        <f t="shared" si="153"/>
        <v>3.4981349722385868E-2</v>
      </c>
      <c r="AP69" s="237">
        <f t="shared" si="153"/>
        <v>0.18857695533976071</v>
      </c>
      <c r="AQ69" s="283">
        <f t="shared" si="153"/>
        <v>-0.17820756057402198</v>
      </c>
      <c r="AR69" s="283">
        <f t="shared" si="153"/>
        <v>-0.32016348384181303</v>
      </c>
      <c r="AS69" s="283">
        <f t="shared" si="153"/>
        <v>-0.32629667622378977</v>
      </c>
      <c r="AT69" s="283">
        <f t="shared" si="153"/>
        <v>-0.29257888882071603</v>
      </c>
      <c r="AU69" s="237">
        <f t="shared" si="153"/>
        <v>-0.27896416230074683</v>
      </c>
      <c r="AV69" s="283">
        <f t="shared" si="153"/>
        <v>-1.9286380201711695E-2</v>
      </c>
      <c r="AW69" s="283">
        <f t="shared" si="153"/>
        <v>0.40711665320409196</v>
      </c>
      <c r="AX69" s="283">
        <f t="shared" si="153"/>
        <v>0.62360969931122856</v>
      </c>
      <c r="AY69" s="283">
        <f t="shared" si="153"/>
        <v>0.44773102652477847</v>
      </c>
      <c r="AZ69" s="237">
        <f t="shared" si="153"/>
        <v>0.34558711275757381</v>
      </c>
      <c r="BA69" s="283">
        <f t="shared" si="153"/>
        <v>0.38309493027661246</v>
      </c>
      <c r="BB69" s="283">
        <f t="shared" ref="BB69:BJ69" si="154">BB67/AW67-1</f>
        <v>0.12546566766128708</v>
      </c>
      <c r="BC69" s="283">
        <f t="shared" si="154"/>
        <v>-4.8937496752740839E-2</v>
      </c>
      <c r="BD69" s="283">
        <f t="shared" si="154"/>
        <v>0.15796341927182356</v>
      </c>
      <c r="BE69" s="237">
        <f t="shared" si="154"/>
        <v>0.13973402460128836</v>
      </c>
      <c r="BF69" s="283">
        <f t="shared" si="154"/>
        <v>-3.3808202744245675E-2</v>
      </c>
      <c r="BG69" s="283">
        <f t="shared" si="154"/>
        <v>7.4189092261509826E-2</v>
      </c>
      <c r="BH69" s="283">
        <f t="shared" si="154"/>
        <v>7.0764431770380831E-2</v>
      </c>
      <c r="BI69" s="283">
        <f t="shared" si="154"/>
        <v>-6.7459505176994061E-2</v>
      </c>
      <c r="BJ69" s="237">
        <f t="shared" si="154"/>
        <v>6.5001055314215517E-3</v>
      </c>
      <c r="BK69" s="283">
        <f t="shared" ref="BK69:BT69" si="155">BK67/BF67-1</f>
        <v>-0.37745581155922536</v>
      </c>
      <c r="BL69" s="283">
        <f t="shared" si="155"/>
        <v>-0.38842903671755447</v>
      </c>
      <c r="BM69" s="283">
        <f t="shared" si="155"/>
        <v>-0.43106663367422693</v>
      </c>
      <c r="BN69" s="283">
        <f t="shared" si="155"/>
        <v>-0.45874671047077364</v>
      </c>
      <c r="BO69" s="1429">
        <f t="shared" si="155"/>
        <v>-0.41448443276524538</v>
      </c>
      <c r="BP69" s="283">
        <f t="shared" si="155"/>
        <v>-0.14835559803045761</v>
      </c>
      <c r="BQ69" s="283">
        <f t="shared" si="155"/>
        <v>1.2337591440114704E-2</v>
      </c>
      <c r="BR69" s="283">
        <f t="shared" si="155"/>
        <v>-0.14860084205051338</v>
      </c>
      <c r="BS69" s="283">
        <f t="shared" si="155"/>
        <v>7.2699642139321119E-2</v>
      </c>
      <c r="BT69" s="1429">
        <f t="shared" si="155"/>
        <v>-5.2900764827758184E-2</v>
      </c>
      <c r="BU69" s="283">
        <f t="shared" ref="BU69:CJ69" si="156">BU67/BP67-1</f>
        <v>0.44003981245212587</v>
      </c>
      <c r="BV69" s="283">
        <f t="shared" si="156"/>
        <v>0.27477391109832761</v>
      </c>
      <c r="BW69" s="283">
        <f t="shared" si="156"/>
        <v>0.89964452168417597</v>
      </c>
      <c r="BX69" s="283">
        <f t="shared" si="156"/>
        <v>0.70420270708178445</v>
      </c>
      <c r="BY69" s="1429">
        <f t="shared" si="156"/>
        <v>0.56362513714990015</v>
      </c>
      <c r="BZ69" s="283">
        <f t="shared" si="156"/>
        <v>0.47494511302650855</v>
      </c>
      <c r="CA69" s="283">
        <f t="shared" si="156"/>
        <v>0.45257761678553154</v>
      </c>
      <c r="CB69" s="283">
        <f t="shared" si="156"/>
        <v>0.36157454382142151</v>
      </c>
      <c r="CC69" s="283">
        <f t="shared" si="156"/>
        <v>0.43756170695140328</v>
      </c>
      <c r="CD69" s="1429">
        <f t="shared" si="156"/>
        <v>0.42919918596768936</v>
      </c>
      <c r="CE69" s="283">
        <f t="shared" si="156"/>
        <v>0.39669402503370943</v>
      </c>
      <c r="CF69" s="283">
        <f t="shared" si="156"/>
        <v>0.42203018353452748</v>
      </c>
      <c r="CG69" s="283">
        <f t="shared" si="156"/>
        <v>0.42587332710291759</v>
      </c>
      <c r="CH69" s="283">
        <f t="shared" si="156"/>
        <v>0.36736109344661205</v>
      </c>
      <c r="CI69" s="1429">
        <f t="shared" ref="CI69:CN69" si="157">CI67/CD67-1</f>
        <v>0.40112823408836817</v>
      </c>
      <c r="CJ69" s="283">
        <f t="shared" si="156"/>
        <v>0.43079008004578778</v>
      </c>
      <c r="CK69" s="284">
        <f t="shared" si="157"/>
        <v>0.3639530253062262</v>
      </c>
      <c r="CL69" s="284">
        <f t="shared" si="157"/>
        <v>0.32400207867218356</v>
      </c>
      <c r="CM69" s="284">
        <f t="shared" si="157"/>
        <v>0.21563664477210676</v>
      </c>
      <c r="CN69" s="1128">
        <f t="shared" si="157"/>
        <v>0.3254036884809548</v>
      </c>
      <c r="CO69" s="284">
        <f t="shared" ref="CO69:CX69" si="158">CO67/CJ67-1</f>
        <v>0.21976245046540721</v>
      </c>
      <c r="CP69" s="284">
        <f t="shared" si="158"/>
        <v>0.22059224153539803</v>
      </c>
      <c r="CQ69" s="284">
        <f t="shared" si="158"/>
        <v>0.22509118185067067</v>
      </c>
      <c r="CR69" s="284">
        <f t="shared" si="158"/>
        <v>0.2241647329246701</v>
      </c>
      <c r="CS69" s="1128">
        <f t="shared" si="158"/>
        <v>0.22248298827835833</v>
      </c>
      <c r="CT69" s="284">
        <f t="shared" si="158"/>
        <v>0.19766727139779583</v>
      </c>
      <c r="CU69" s="284">
        <f t="shared" si="158"/>
        <v>0.20289069654571423</v>
      </c>
      <c r="CV69" s="284">
        <f t="shared" si="158"/>
        <v>0.19438446992582814</v>
      </c>
      <c r="CW69" s="284">
        <f t="shared" si="158"/>
        <v>0.18541025613613549</v>
      </c>
      <c r="CX69" s="1128">
        <f t="shared" si="158"/>
        <v>0.19484067282594908</v>
      </c>
      <c r="DA69" s="171"/>
      <c r="DB69" s="170"/>
      <c r="DC69" s="170"/>
    </row>
    <row r="70" spans="1:107" ht="5.25" customHeight="1">
      <c r="A70" s="155"/>
      <c r="B70" s="184"/>
      <c r="C70" s="157"/>
      <c r="D70" s="158"/>
      <c r="E70" s="158"/>
      <c r="F70" s="159"/>
      <c r="G70" s="160"/>
      <c r="H70" s="282"/>
      <c r="I70" s="282"/>
      <c r="J70" s="282"/>
      <c r="K70" s="282"/>
      <c r="L70" s="161"/>
      <c r="M70" s="282"/>
      <c r="N70" s="282"/>
      <c r="O70" s="282"/>
      <c r="P70" s="282"/>
      <c r="Q70" s="163"/>
      <c r="R70" s="282"/>
      <c r="S70" s="282"/>
      <c r="T70" s="282"/>
      <c r="U70" s="282"/>
      <c r="V70" s="163"/>
      <c r="W70" s="283"/>
      <c r="X70" s="283"/>
      <c r="Y70" s="283"/>
      <c r="Z70" s="283"/>
      <c r="AA70" s="237"/>
      <c r="AB70" s="283"/>
      <c r="AC70" s="283"/>
      <c r="AD70" s="283"/>
      <c r="AE70" s="283"/>
      <c r="AF70" s="237"/>
      <c r="AG70" s="283"/>
      <c r="AH70" s="283"/>
      <c r="AI70" s="283"/>
      <c r="AJ70" s="283"/>
      <c r="AK70" s="237"/>
      <c r="AL70" s="283"/>
      <c r="AM70" s="283"/>
      <c r="AN70" s="283"/>
      <c r="AO70" s="283"/>
      <c r="AP70" s="237"/>
      <c r="AQ70" s="283"/>
      <c r="AR70" s="283"/>
      <c r="AS70" s="283"/>
      <c r="AT70" s="283"/>
      <c r="AU70" s="237"/>
      <c r="AV70" s="283"/>
      <c r="AW70" s="283"/>
      <c r="AX70" s="283"/>
      <c r="AY70" s="283"/>
      <c r="AZ70" s="237"/>
      <c r="BA70" s="283"/>
      <c r="BB70" s="283"/>
      <c r="BC70" s="283"/>
      <c r="BD70" s="283"/>
      <c r="BE70" s="237"/>
      <c r="BF70" s="283"/>
      <c r="BG70" s="283"/>
      <c r="BH70" s="283"/>
      <c r="BI70" s="283"/>
      <c r="BJ70" s="237"/>
      <c r="BK70" s="283"/>
      <c r="BL70" s="283"/>
      <c r="BM70" s="283"/>
      <c r="BN70" s="283"/>
      <c r="BO70" s="1429"/>
      <c r="BP70" s="283"/>
      <c r="BQ70" s="283"/>
      <c r="BR70" s="283"/>
      <c r="BS70" s="283"/>
      <c r="BT70" s="1429"/>
      <c r="BU70" s="283"/>
      <c r="BV70" s="283"/>
      <c r="BW70" s="283"/>
      <c r="BX70" s="283"/>
      <c r="BY70" s="1429"/>
      <c r="BZ70" s="283"/>
      <c r="CA70" s="283"/>
      <c r="CB70" s="283"/>
      <c r="CC70" s="283"/>
      <c r="CD70" s="1429"/>
      <c r="CE70" s="283"/>
      <c r="CF70" s="283"/>
      <c r="CG70" s="283"/>
      <c r="CH70" s="283"/>
      <c r="CI70" s="1429"/>
      <c r="CJ70" s="283"/>
      <c r="CK70" s="284"/>
      <c r="CL70" s="284"/>
      <c r="CM70" s="284"/>
      <c r="CN70" s="1128"/>
      <c r="CO70" s="284"/>
      <c r="CP70" s="284"/>
      <c r="CQ70" s="284"/>
      <c r="CR70" s="284"/>
      <c r="CS70" s="1128"/>
      <c r="CT70" s="284"/>
      <c r="CU70" s="284"/>
      <c r="CV70" s="284"/>
      <c r="CW70" s="284"/>
      <c r="CX70" s="1128"/>
      <c r="DA70" s="171"/>
      <c r="DB70" s="170"/>
      <c r="DC70" s="170"/>
    </row>
    <row r="71" spans="1:107" hidden="1" outlineLevel="1">
      <c r="A71" s="127" t="s">
        <v>186</v>
      </c>
      <c r="B71" s="184"/>
      <c r="C71" s="157"/>
      <c r="D71" s="158"/>
      <c r="E71" s="158"/>
      <c r="F71" s="159"/>
      <c r="G71" s="160"/>
      <c r="H71" s="282"/>
      <c r="I71" s="282"/>
      <c r="J71" s="282"/>
      <c r="K71" s="282"/>
      <c r="L71" s="161"/>
      <c r="M71" s="282"/>
      <c r="N71" s="282"/>
      <c r="O71" s="282"/>
      <c r="P71" s="282"/>
      <c r="Q71" s="163"/>
      <c r="R71" s="282"/>
      <c r="S71" s="282"/>
      <c r="T71" s="282"/>
      <c r="U71" s="282"/>
      <c r="V71" s="163"/>
      <c r="W71" s="283"/>
      <c r="X71" s="283"/>
      <c r="Y71" s="283"/>
      <c r="Z71" s="283"/>
      <c r="AA71" s="237"/>
      <c r="AB71" s="283"/>
      <c r="AC71" s="283"/>
      <c r="AD71" s="283"/>
      <c r="AE71" s="283"/>
      <c r="AF71" s="237"/>
      <c r="AG71" s="283"/>
      <c r="AH71" s="283"/>
      <c r="AI71" s="283"/>
      <c r="AJ71" s="283"/>
      <c r="AK71" s="237"/>
      <c r="AL71" s="283"/>
      <c r="AM71" s="283"/>
      <c r="AN71" s="283"/>
      <c r="AO71" s="283"/>
      <c r="AP71" s="237"/>
      <c r="AQ71" s="283"/>
      <c r="AR71" s="283"/>
      <c r="AS71" s="283"/>
      <c r="AT71" s="283"/>
      <c r="AU71" s="237"/>
      <c r="AV71" s="283"/>
      <c r="AW71" s="283"/>
      <c r="AX71" s="283"/>
      <c r="AY71" s="283"/>
      <c r="AZ71" s="237"/>
      <c r="BA71" s="266">
        <f>BA24-BA67</f>
        <v>627.596</v>
      </c>
      <c r="BB71" s="266">
        <f>BB24-BB67</f>
        <v>646.74900000000002</v>
      </c>
      <c r="BC71" s="266">
        <f>BC24-BC67</f>
        <v>647.11</v>
      </c>
      <c r="BD71" s="266">
        <f>BD24-BD67</f>
        <v>707.59799999999996</v>
      </c>
      <c r="BE71" s="268">
        <f>SUM(BA71:BD71)</f>
        <v>2629.0529999999999</v>
      </c>
      <c r="BF71" s="266">
        <f>BF24-BF67</f>
        <v>658.63700000000006</v>
      </c>
      <c r="BG71" s="266">
        <f>BG24-BG67</f>
        <v>720.09199999999998</v>
      </c>
      <c r="BH71" s="266">
        <f>BH24-BH67</f>
        <v>688.57100000000003</v>
      </c>
      <c r="BI71" s="266">
        <f>BI24-BI67</f>
        <v>738.85500000000002</v>
      </c>
      <c r="BJ71" s="268">
        <f>SUM(BF71:BI71)</f>
        <v>2806.1550000000002</v>
      </c>
      <c r="BK71" s="266">
        <f>BK24-BK67</f>
        <v>767.20799999999997</v>
      </c>
      <c r="BL71" s="266">
        <f>BL24-BL67</f>
        <v>763.25600000000009</v>
      </c>
      <c r="BM71" s="266">
        <f>BM24-BM67</f>
        <v>772.0920000000001</v>
      </c>
      <c r="BN71" s="266">
        <f>BN24-BN67</f>
        <v>817.31</v>
      </c>
      <c r="BO71" s="268">
        <f>SUM(BK71:BN71)</f>
        <v>3119.866</v>
      </c>
      <c r="BP71" s="266">
        <f>BP24-BP67</f>
        <v>795.15900000000011</v>
      </c>
      <c r="BQ71" s="266">
        <f>BQ24-BQ67</f>
        <v>817.86399999999992</v>
      </c>
      <c r="BR71" s="266">
        <f>BR24-BR67</f>
        <v>815.524</v>
      </c>
      <c r="BS71" s="266">
        <f>BS24-BS67</f>
        <v>832.62599999999998</v>
      </c>
      <c r="BT71" s="268">
        <f>SUM(BP71:BS71)</f>
        <v>3261.1729999999998</v>
      </c>
      <c r="BU71" s="266">
        <f>BU24-BU67</f>
        <v>814.029</v>
      </c>
      <c r="BV71" s="266">
        <f>BV24-BV67</f>
        <v>843.02599999999995</v>
      </c>
      <c r="BW71" s="266">
        <f>BW24-BW67</f>
        <v>857.05400000000009</v>
      </c>
      <c r="BX71" s="266">
        <f>BX24-BX67</f>
        <v>896.19900000000007</v>
      </c>
      <c r="BY71" s="268">
        <f>SUM(BU71:BX71)</f>
        <v>3410.308</v>
      </c>
      <c r="BZ71" s="266">
        <f>BZ24-BZ67</f>
        <v>948.00199999999995</v>
      </c>
      <c r="CA71" s="266">
        <f>CA24-CA67</f>
        <v>935.14499999999987</v>
      </c>
      <c r="CB71" s="266">
        <f>CB24-CB67</f>
        <v>972.82799999999997</v>
      </c>
      <c r="CC71" s="266">
        <f>CC24-CC67</f>
        <v>1018.7239999999999</v>
      </c>
      <c r="CD71" s="268">
        <f>SUM(BZ71:CC71)</f>
        <v>3874.6989999999996</v>
      </c>
      <c r="CE71" s="266">
        <f>CE24-CE67</f>
        <v>1073.6190000000001</v>
      </c>
      <c r="CF71" s="266">
        <f>CF24-CF67</f>
        <v>1112.9880000000001</v>
      </c>
      <c r="CG71" s="266">
        <f>CG24-CG67</f>
        <v>1140.7719999999999</v>
      </c>
      <c r="CH71" s="266">
        <f>CH24-CH67</f>
        <v>1200.2690000000002</v>
      </c>
      <c r="CI71" s="268">
        <f>SUM(CE71:CH71)</f>
        <v>4527.6480000000001</v>
      </c>
      <c r="CJ71" s="266">
        <f>CJ24-CJ67</f>
        <v>1208.9880000000001</v>
      </c>
      <c r="CK71" s="266">
        <f>CK24-CK67</f>
        <v>1275.881150331913</v>
      </c>
      <c r="CL71" s="266">
        <f>CL24-CL67</f>
        <v>1334.2744797440018</v>
      </c>
      <c r="CM71" s="266">
        <f>CM24-CM67</f>
        <v>1399.6050450230096</v>
      </c>
      <c r="CN71" s="268">
        <f>SUM(CJ71:CM71)</f>
        <v>5218.7486750989247</v>
      </c>
      <c r="CO71" s="266">
        <f>CO24-CO67</f>
        <v>1407.3098259040385</v>
      </c>
      <c r="CP71" s="266">
        <f>CP24-CP67</f>
        <v>1473.4982407472605</v>
      </c>
      <c r="CQ71" s="266">
        <f>CQ24-CQ67</f>
        <v>1542.2254656542709</v>
      </c>
      <c r="CR71" s="266">
        <f>CR24-CR67</f>
        <v>1616.7761794020009</v>
      </c>
      <c r="CS71" s="268">
        <f>SUM(CO71:CR71)</f>
        <v>6039.8097117075704</v>
      </c>
      <c r="CT71" s="266">
        <f>CT24-CT67</f>
        <v>1633.5593682300187</v>
      </c>
      <c r="CU71" s="266">
        <f>CU24-CU67</f>
        <v>1683.7724225850322</v>
      </c>
      <c r="CV71" s="266">
        <f>CV24-CV67</f>
        <v>1748.3606339794271</v>
      </c>
      <c r="CW71" s="266">
        <f>CW24-CW67</f>
        <v>1819.2744704936367</v>
      </c>
      <c r="CX71" s="268">
        <f>SUM(CT71:CW71)</f>
        <v>6884.9668952881148</v>
      </c>
      <c r="DA71" s="171"/>
      <c r="DB71" s="170"/>
      <c r="DC71" s="170"/>
    </row>
    <row r="72" spans="1:107" hidden="1" outlineLevel="1">
      <c r="A72" s="155" t="s">
        <v>630</v>
      </c>
      <c r="B72" s="184"/>
      <c r="C72" s="157"/>
      <c r="D72" s="158"/>
      <c r="E72" s="158"/>
      <c r="F72" s="159"/>
      <c r="G72" s="160"/>
      <c r="H72" s="282"/>
      <c r="I72" s="282"/>
      <c r="J72" s="282"/>
      <c r="K72" s="282"/>
      <c r="L72" s="161"/>
      <c r="M72" s="282"/>
      <c r="N72" s="282"/>
      <c r="O72" s="282"/>
      <c r="P72" s="282"/>
      <c r="Q72" s="163"/>
      <c r="R72" s="282"/>
      <c r="S72" s="282"/>
      <c r="T72" s="282"/>
      <c r="U72" s="282"/>
      <c r="V72" s="163"/>
      <c r="W72" s="283"/>
      <c r="X72" s="283"/>
      <c r="Y72" s="283"/>
      <c r="Z72" s="283"/>
      <c r="AA72" s="237"/>
      <c r="AB72" s="283"/>
      <c r="AC72" s="283"/>
      <c r="AD72" s="283"/>
      <c r="AE72" s="283"/>
      <c r="AF72" s="237"/>
      <c r="AG72" s="283"/>
      <c r="AH72" s="283"/>
      <c r="AI72" s="283"/>
      <c r="AJ72" s="283"/>
      <c r="AK72" s="237"/>
      <c r="AL72" s="283"/>
      <c r="AM72" s="283"/>
      <c r="AN72" s="283"/>
      <c r="AO72" s="283"/>
      <c r="AP72" s="237"/>
      <c r="AQ72" s="283"/>
      <c r="AR72" s="1235"/>
      <c r="AS72" s="283"/>
      <c r="AT72" s="283"/>
      <c r="AU72" s="237"/>
      <c r="AV72" s="283"/>
      <c r="AW72" s="1235"/>
      <c r="AX72" s="1235"/>
      <c r="AY72" s="283"/>
      <c r="AZ72" s="237"/>
      <c r="BA72" s="283"/>
      <c r="BB72" s="283"/>
      <c r="BC72" s="283"/>
      <c r="BD72" s="283"/>
      <c r="BE72" s="1429"/>
      <c r="BF72" s="283">
        <f t="shared" ref="BF72:CN72" si="159">BF71/BA71-1</f>
        <v>4.94601622699955E-2</v>
      </c>
      <c r="BG72" s="283">
        <f t="shared" si="159"/>
        <v>0.11340257194058267</v>
      </c>
      <c r="BH72" s="283">
        <f t="shared" si="159"/>
        <v>6.4071023473597943E-2</v>
      </c>
      <c r="BI72" s="283">
        <f t="shared" si="159"/>
        <v>4.4173386583907792E-2</v>
      </c>
      <c r="BJ72" s="1429">
        <f t="shared" si="159"/>
        <v>6.7363419451795137E-2</v>
      </c>
      <c r="BK72" s="283">
        <f t="shared" si="159"/>
        <v>0.16484193873104602</v>
      </c>
      <c r="BL72" s="283">
        <f t="shared" si="159"/>
        <v>5.9942340700910535E-2</v>
      </c>
      <c r="BM72" s="283">
        <f t="shared" si="159"/>
        <v>0.12129613358680524</v>
      </c>
      <c r="BN72" s="283">
        <f t="shared" si="159"/>
        <v>0.10618456936746723</v>
      </c>
      <c r="BO72" s="1429">
        <f t="shared" si="159"/>
        <v>0.11179389591807998</v>
      </c>
      <c r="BP72" s="283">
        <f t="shared" si="159"/>
        <v>3.6432101855038201E-2</v>
      </c>
      <c r="BQ72" s="283">
        <f t="shared" si="159"/>
        <v>7.1546112968649878E-2</v>
      </c>
      <c r="BR72" s="283">
        <f t="shared" si="159"/>
        <v>5.6252363707951725E-2</v>
      </c>
      <c r="BS72" s="283">
        <f t="shared" si="159"/>
        <v>1.8739523558992444E-2</v>
      </c>
      <c r="BT72" s="1429">
        <f t="shared" si="159"/>
        <v>4.5292650389471723E-2</v>
      </c>
      <c r="BU72" s="283">
        <f t="shared" si="159"/>
        <v>2.3731102836036522E-2</v>
      </c>
      <c r="BV72" s="283">
        <f t="shared" si="159"/>
        <v>3.07655062455372E-2</v>
      </c>
      <c r="BW72" s="283">
        <f t="shared" si="159"/>
        <v>5.092431369279149E-2</v>
      </c>
      <c r="BX72" s="283">
        <f t="shared" si="159"/>
        <v>7.6352407923845789E-2</v>
      </c>
      <c r="BY72" s="1429">
        <f t="shared" si="159"/>
        <v>4.5730477959924354E-2</v>
      </c>
      <c r="BZ72" s="283">
        <f t="shared" si="159"/>
        <v>0.16458013166607088</v>
      </c>
      <c r="CA72" s="283">
        <f t="shared" si="159"/>
        <v>0.10927183740477742</v>
      </c>
      <c r="CB72" s="283">
        <f t="shared" si="159"/>
        <v>0.13508367034049185</v>
      </c>
      <c r="CC72" s="283">
        <f t="shared" si="159"/>
        <v>0.13671628734243169</v>
      </c>
      <c r="CD72" s="1429">
        <f t="shared" si="159"/>
        <v>0.13617274451457151</v>
      </c>
      <c r="CE72" s="283">
        <f t="shared" si="159"/>
        <v>0.13250710441539182</v>
      </c>
      <c r="CF72" s="283">
        <f t="shared" si="159"/>
        <v>0.19017692443417888</v>
      </c>
      <c r="CG72" s="283">
        <f t="shared" si="159"/>
        <v>0.17263483370133259</v>
      </c>
      <c r="CH72" s="283">
        <f t="shared" si="159"/>
        <v>0.17820822911799494</v>
      </c>
      <c r="CI72" s="1429">
        <f t="shared" si="159"/>
        <v>0.16851605763441246</v>
      </c>
      <c r="CJ72" s="283">
        <f t="shared" si="159"/>
        <v>0.12608662849670127</v>
      </c>
      <c r="CK72" s="283">
        <f t="shared" si="159"/>
        <v>0.14635660971359332</v>
      </c>
      <c r="CL72" s="283">
        <f t="shared" si="159"/>
        <v>0.1696241490359176</v>
      </c>
      <c r="CM72" s="283">
        <f t="shared" si="159"/>
        <v>0.16607614211731647</v>
      </c>
      <c r="CN72" s="1429">
        <f t="shared" si="159"/>
        <v>0.15264010698246078</v>
      </c>
      <c r="CO72" s="283">
        <f t="shared" ref="CO72:CX72" si="160">CO71/CJ71-1</f>
        <v>0.16403953215750566</v>
      </c>
      <c r="CP72" s="283">
        <f t="shared" si="160"/>
        <v>0.15488675443158528</v>
      </c>
      <c r="CQ72" s="283">
        <f t="shared" si="160"/>
        <v>0.15585322890247233</v>
      </c>
      <c r="CR72" s="283">
        <f t="shared" si="160"/>
        <v>0.15516601283429998</v>
      </c>
      <c r="CS72" s="1429">
        <f t="shared" si="160"/>
        <v>0.15732910084869767</v>
      </c>
      <c r="CT72" s="283">
        <f t="shared" si="160"/>
        <v>0.1607674004412214</v>
      </c>
      <c r="CU72" s="283">
        <f t="shared" si="160"/>
        <v>0.14270406032594551</v>
      </c>
      <c r="CV72" s="283">
        <f t="shared" si="160"/>
        <v>0.13366085109851666</v>
      </c>
      <c r="CW72" s="283">
        <f t="shared" si="160"/>
        <v>0.12524819061011527</v>
      </c>
      <c r="CX72" s="1429">
        <f t="shared" si="160"/>
        <v>0.13993109450820795</v>
      </c>
      <c r="DA72" s="171"/>
      <c r="DB72" s="170"/>
      <c r="DC72" s="170"/>
    </row>
    <row r="73" spans="1:107" ht="10.5" customHeight="1" collapsed="1">
      <c r="A73" s="144" t="s">
        <v>102</v>
      </c>
      <c r="B73" s="214"/>
      <c r="C73" s="146"/>
      <c r="D73" s="147"/>
      <c r="E73" s="147"/>
      <c r="F73" s="148"/>
      <c r="G73" s="149"/>
      <c r="H73" s="147"/>
      <c r="I73" s="147"/>
      <c r="J73" s="147"/>
      <c r="K73" s="148"/>
      <c r="L73" s="148"/>
      <c r="M73" s="147"/>
      <c r="N73" s="147"/>
      <c r="O73" s="147"/>
      <c r="P73" s="148"/>
      <c r="Q73" s="149"/>
      <c r="R73" s="147"/>
      <c r="S73" s="147"/>
      <c r="T73" s="147"/>
      <c r="U73" s="148"/>
      <c r="V73" s="149"/>
      <c r="W73" s="147">
        <f>W67+W176</f>
        <v>171.20949999999999</v>
      </c>
      <c r="X73" s="147">
        <f>X67+X176</f>
        <v>182.70149999999995</v>
      </c>
      <c r="Y73" s="147">
        <f>Y67+Y176</f>
        <v>184.08549999999997</v>
      </c>
      <c r="Z73" s="147">
        <f>Z67+Z176</f>
        <v>192.42750000000018</v>
      </c>
      <c r="AA73" s="149">
        <f>SUM(W73:Z73)</f>
        <v>730.42400000000021</v>
      </c>
      <c r="AB73" s="147">
        <f>AB67+AB176</f>
        <v>263.68400000000008</v>
      </c>
      <c r="AC73" s="147">
        <f>AC67+AC176</f>
        <v>254.34800000000001</v>
      </c>
      <c r="AD73" s="147">
        <f>AD67+AD176</f>
        <v>218.53199999999998</v>
      </c>
      <c r="AE73" s="147">
        <f>AE67+AE176</f>
        <v>265.25200000000001</v>
      </c>
      <c r="AF73" s="149">
        <f>SUM(AB73:AE73)</f>
        <v>1001.816</v>
      </c>
      <c r="AG73" s="147">
        <f>AG67+AG176</f>
        <v>231.65050000000008</v>
      </c>
      <c r="AH73" s="147">
        <f>AH67+AH176</f>
        <v>291.17950000000002</v>
      </c>
      <c r="AI73" s="147">
        <f>AI67+AI176</f>
        <v>349.9824999999999</v>
      </c>
      <c r="AJ73" s="147">
        <f>AJ67+AJ176</f>
        <v>371.31849999999997</v>
      </c>
      <c r="AK73" s="149">
        <f>SUM(AG73:AJ73)</f>
        <v>1244.1309999999999</v>
      </c>
      <c r="AL73" s="147">
        <f>AL67+AL176</f>
        <v>366.66508022714356</v>
      </c>
      <c r="AM73" s="147">
        <f>AM67+AM176</f>
        <v>357.36108022714365</v>
      </c>
      <c r="AN73" s="147">
        <f>AN67+AN176</f>
        <v>359.64308022714363</v>
      </c>
      <c r="AO73" s="147">
        <f>AO67+AO176</f>
        <v>382.5870802271437</v>
      </c>
      <c r="AP73" s="149">
        <f>SUM(AL73:AO73)</f>
        <v>1466.2563209085747</v>
      </c>
      <c r="AQ73" s="147">
        <f>AQ67+AQ176</f>
        <v>303.2380081090289</v>
      </c>
      <c r="AR73" s="147">
        <f>AR67+AR176</f>
        <v>245.95900810902899</v>
      </c>
      <c r="AS73" s="147">
        <f>AS67+AS176</f>
        <v>245.35200810902907</v>
      </c>
      <c r="AT73" s="147">
        <f>AT67+AT176</f>
        <v>273.44900810902897</v>
      </c>
      <c r="AU73" s="149">
        <f>SUM(AQ73:AT73)</f>
        <v>1067.9980324361159</v>
      </c>
      <c r="AV73" s="147">
        <f>AV67+AV176</f>
        <v>298.78570941131932</v>
      </c>
      <c r="AW73" s="147">
        <f>AW67+AW176</f>
        <v>343.96570941131921</v>
      </c>
      <c r="AX73" s="147">
        <f>AX67+AX176</f>
        <v>394.43970941131937</v>
      </c>
      <c r="AY73" s="147">
        <f>AY67+AY176</f>
        <v>393.41770941131921</v>
      </c>
      <c r="AZ73" s="149">
        <f>SUM(AV73:AY73)</f>
        <v>1430.6088376452772</v>
      </c>
      <c r="BA73" s="147">
        <f>BA67+BA176</f>
        <v>414.63991025553673</v>
      </c>
      <c r="BB73" s="147">
        <f>BB67+BB176</f>
        <v>390.95991025553656</v>
      </c>
      <c r="BC73" s="147">
        <f>BC67+BC176</f>
        <v>380.63191025553658</v>
      </c>
      <c r="BD73" s="147">
        <f>BD67+BD176</f>
        <v>459.09291025553648</v>
      </c>
      <c r="BE73" s="149">
        <f>SUM(BA73:BD73)</f>
        <v>1645.3246410221464</v>
      </c>
      <c r="BF73" s="147">
        <f>BF67+BF176</f>
        <v>405.31254032178686</v>
      </c>
      <c r="BG73" s="147">
        <f>BG67+BG176</f>
        <v>423.08654032178697</v>
      </c>
      <c r="BH73" s="147">
        <f>BH67+BH176</f>
        <v>410.73854032178679</v>
      </c>
      <c r="BI73" s="147">
        <f>BI67+BI176</f>
        <v>433.30254032178675</v>
      </c>
      <c r="BJ73" s="149">
        <f>SUM(BF73:BI73)</f>
        <v>1672.4401612871475</v>
      </c>
      <c r="BK73" s="147">
        <f>BK67+BK176</f>
        <v>253.6792792277115</v>
      </c>
      <c r="BL73" s="147">
        <f>BL67+BL176</f>
        <v>260.30727922771143</v>
      </c>
      <c r="BM73" s="147">
        <f>BM67+BM176</f>
        <v>236.04127922771147</v>
      </c>
      <c r="BN73" s="147">
        <f>BN67+BN176</f>
        <v>237.40327922771144</v>
      </c>
      <c r="BO73" s="1436">
        <f>SUM(BK73:BN73)</f>
        <v>987.43111691084584</v>
      </c>
      <c r="BP73" s="147">
        <f>BP67+BP176</f>
        <v>215.2097500738216</v>
      </c>
      <c r="BQ73" s="147">
        <f>BQ67+BQ176</f>
        <v>260.59275007382183</v>
      </c>
      <c r="BR73" s="147">
        <f>BR67+BR176</f>
        <v>200.1337500738218</v>
      </c>
      <c r="BS73" s="147">
        <f>BS67+BS176</f>
        <v>250.95075007382169</v>
      </c>
      <c r="BT73" s="1436">
        <f>SUM(BP73:BS73)</f>
        <v>926.88700029528695</v>
      </c>
      <c r="BU73" s="147">
        <f t="shared" ref="BU73:CB73" si="161">BU67+BU176</f>
        <v>307.92984189286398</v>
      </c>
      <c r="BV73" s="147">
        <f t="shared" si="161"/>
        <v>331.90984189286388</v>
      </c>
      <c r="BW73" s="147">
        <f t="shared" si="161"/>
        <v>373.49184189286387</v>
      </c>
      <c r="BX73" s="147">
        <f>BX67+BX176</f>
        <v>422.98284189286363</v>
      </c>
      <c r="BY73" s="1436">
        <f t="shared" si="161"/>
        <v>1436.3143675714553</v>
      </c>
      <c r="BZ73" s="147">
        <f t="shared" si="161"/>
        <v>449.41456371379905</v>
      </c>
      <c r="CA73" s="147">
        <f>CA67+CA176</f>
        <v>477.64556371379916</v>
      </c>
      <c r="CB73" s="147">
        <f t="shared" si="161"/>
        <v>505.22056371379909</v>
      </c>
      <c r="CC73" s="147">
        <f>CC67+CC176</f>
        <v>603.77656371379896</v>
      </c>
      <c r="CD73" s="1436">
        <f>SUM(BZ73:CC73)</f>
        <v>2036.0572548551963</v>
      </c>
      <c r="CE73" s="147">
        <f>CE67+CE176</f>
        <v>620.33404002271425</v>
      </c>
      <c r="CF73" s="147">
        <f>CF67+CF176</f>
        <v>671.50904002271432</v>
      </c>
      <c r="CG73" s="147">
        <f>CG67+CG176</f>
        <v>712.60904002271434</v>
      </c>
      <c r="CH73" s="147">
        <f>CH67+CH176</f>
        <v>818.63304002271411</v>
      </c>
      <c r="CI73" s="1436">
        <f>SUM(CE73:CH73)</f>
        <v>2823.0851600908572</v>
      </c>
      <c r="CJ73" s="147">
        <f>CJ67+CJ176</f>
        <v>888.87495846641366</v>
      </c>
      <c r="CK73" s="150">
        <f>CK67+CK176</f>
        <v>918.03652065432846</v>
      </c>
      <c r="CL73" s="150">
        <f>CL67+CL176</f>
        <v>946.11726216470117</v>
      </c>
      <c r="CM73" s="150">
        <f>CM67+CM176</f>
        <v>999.11539169892706</v>
      </c>
      <c r="CN73" s="1230">
        <f>SUM(CJ73:CM73)</f>
        <v>3752.1441329843701</v>
      </c>
      <c r="CO73" s="150">
        <f>CO67+CO176</f>
        <v>1080.2945470690183</v>
      </c>
      <c r="CP73" s="150">
        <f>CP67+CP176</f>
        <v>1116.6108078360974</v>
      </c>
      <c r="CQ73" s="150">
        <f>CQ67+CQ176</f>
        <v>1155.0573663858008</v>
      </c>
      <c r="CR73" s="150">
        <f>CR67+CR176</f>
        <v>1219.0768028205759</v>
      </c>
      <c r="CS73" s="1230">
        <f>SUM(CO73:CR73)</f>
        <v>4571.0395241114929</v>
      </c>
      <c r="CT73" s="150">
        <f>CT67+CT176</f>
        <v>1293.3665057259675</v>
      </c>
      <c r="CU73" s="150">
        <f>CU67+CU176</f>
        <v>1342.5938006478382</v>
      </c>
      <c r="CV73" s="150">
        <f>CV67+CV176</f>
        <v>1379.1785331875403</v>
      </c>
      <c r="CW73" s="150">
        <f>CW67+CW176</f>
        <v>1444.8739651753674</v>
      </c>
      <c r="CX73" s="1230">
        <f>SUM(CT73:CW73)</f>
        <v>5460.0128047367134</v>
      </c>
      <c r="DA73" s="153"/>
      <c r="DB73" s="152"/>
      <c r="DC73" s="152"/>
    </row>
    <row r="74" spans="1:107">
      <c r="A74" s="666" t="s">
        <v>103</v>
      </c>
      <c r="B74" s="184"/>
      <c r="C74" s="157"/>
      <c r="D74" s="158"/>
      <c r="E74" s="158"/>
      <c r="F74" s="159"/>
      <c r="G74" s="160"/>
      <c r="H74" s="158"/>
      <c r="I74" s="158"/>
      <c r="J74" s="158"/>
      <c r="K74" s="161"/>
      <c r="L74" s="161"/>
      <c r="M74" s="162"/>
      <c r="N74" s="162"/>
      <c r="O74" s="162"/>
      <c r="P74" s="161"/>
      <c r="Q74" s="163"/>
      <c r="R74" s="162"/>
      <c r="S74" s="162"/>
      <c r="T74" s="162"/>
      <c r="U74" s="161"/>
      <c r="V74" s="163"/>
      <c r="W74" s="164">
        <f>W73/W24</f>
        <v>0.36205543877753854</v>
      </c>
      <c r="X74" s="162">
        <f t="shared" ref="X74:BA74" si="162">X73/X24</f>
        <v>0.36832826306526423</v>
      </c>
      <c r="Y74" s="162">
        <f t="shared" si="162"/>
        <v>0.37796870476491612</v>
      </c>
      <c r="Z74" s="161">
        <f t="shared" si="162"/>
        <v>0.37703454937682618</v>
      </c>
      <c r="AA74" s="163">
        <f t="shared" si="162"/>
        <v>0.3714673240025409</v>
      </c>
      <c r="AB74" s="164">
        <f t="shared" si="162"/>
        <v>0.4022774219729725</v>
      </c>
      <c r="AC74" s="162">
        <f t="shared" si="162"/>
        <v>0.40026060026185922</v>
      </c>
      <c r="AD74" s="162">
        <f t="shared" si="162"/>
        <v>0.36289482904925513</v>
      </c>
      <c r="AE74" s="161">
        <f t="shared" si="162"/>
        <v>0.38883277751310152</v>
      </c>
      <c r="AF74" s="163">
        <f t="shared" si="162"/>
        <v>0.38900943579388814</v>
      </c>
      <c r="AG74" s="162">
        <f t="shared" si="162"/>
        <v>0.35671081463550602</v>
      </c>
      <c r="AH74" s="162">
        <f t="shared" si="162"/>
        <v>0.39054249259298507</v>
      </c>
      <c r="AI74" s="162">
        <f t="shared" si="162"/>
        <v>0.41092902783420171</v>
      </c>
      <c r="AJ74" s="161">
        <f t="shared" si="162"/>
        <v>0.40750001920521151</v>
      </c>
      <c r="AK74" s="163">
        <f t="shared" si="162"/>
        <v>0.39397653046457415</v>
      </c>
      <c r="AL74" s="164">
        <f t="shared" si="162"/>
        <v>0.41177734753650547</v>
      </c>
      <c r="AM74" s="164">
        <f t="shared" si="162"/>
        <v>0.4029391378679375</v>
      </c>
      <c r="AN74" s="162">
        <f t="shared" si="162"/>
        <v>0.40534262364472035</v>
      </c>
      <c r="AO74" s="161">
        <f t="shared" si="162"/>
        <v>0.41799045366184862</v>
      </c>
      <c r="AP74" s="163">
        <f t="shared" si="162"/>
        <v>0.40958150403785554</v>
      </c>
      <c r="AQ74" s="164">
        <f t="shared" si="162"/>
        <v>0.3856076604598595</v>
      </c>
      <c r="AR74" s="164">
        <f t="shared" si="162"/>
        <v>0.34903992079876622</v>
      </c>
      <c r="AS74" s="164">
        <f t="shared" si="162"/>
        <v>0.3517556212468535</v>
      </c>
      <c r="AT74" s="236">
        <f t="shared" si="162"/>
        <v>0.36109223118573763</v>
      </c>
      <c r="AU74" s="237">
        <f t="shared" si="162"/>
        <v>0.36254288059727219</v>
      </c>
      <c r="AV74" s="164">
        <f t="shared" si="162"/>
        <v>0.34795121627031478</v>
      </c>
      <c r="AW74" s="164">
        <f t="shared" si="162"/>
        <v>0.36474331219023604</v>
      </c>
      <c r="AX74" s="164">
        <f t="shared" si="162"/>
        <v>0.39829560920402352</v>
      </c>
      <c r="AY74" s="236">
        <f t="shared" si="162"/>
        <v>0.39031625643766554</v>
      </c>
      <c r="AZ74" s="237">
        <f t="shared" si="162"/>
        <v>0.37647600990665187</v>
      </c>
      <c r="BA74" s="164">
        <f t="shared" si="162"/>
        <v>0.40346160308058598</v>
      </c>
      <c r="BB74" s="164">
        <f t="shared" ref="BB74:BJ74" si="163">BB73/BB24</f>
        <v>0.3821031415378312</v>
      </c>
      <c r="BC74" s="164">
        <f t="shared" si="163"/>
        <v>0.3756685770160012</v>
      </c>
      <c r="BD74" s="236">
        <f t="shared" si="163"/>
        <v>0.39846246336713059</v>
      </c>
      <c r="BE74" s="237">
        <f t="shared" si="163"/>
        <v>0.39023338728847867</v>
      </c>
      <c r="BF74" s="164">
        <f t="shared" si="163"/>
        <v>0.38777725294367393</v>
      </c>
      <c r="BG74" s="164">
        <f t="shared" si="163"/>
        <v>0.37626120910933886</v>
      </c>
      <c r="BH74" s="164">
        <f t="shared" si="163"/>
        <v>0.3801093304723267</v>
      </c>
      <c r="BI74" s="164">
        <f t="shared" si="163"/>
        <v>0.37566500927824431</v>
      </c>
      <c r="BJ74" s="237">
        <f t="shared" si="163"/>
        <v>0.37978265919302157</v>
      </c>
      <c r="BK74" s="164">
        <f t="shared" ref="BK74:BS74" si="164">BK73/BK24</f>
        <v>0.25169766352279654</v>
      </c>
      <c r="BL74" s="164">
        <f t="shared" si="164"/>
        <v>0.25758996271107232</v>
      </c>
      <c r="BM74" s="164">
        <f t="shared" si="164"/>
        <v>0.23719904777992529</v>
      </c>
      <c r="BN74" s="236">
        <f t="shared" si="164"/>
        <v>0.2279000740403048</v>
      </c>
      <c r="BO74" s="1429">
        <f t="shared" si="164"/>
        <v>0.24349511173465588</v>
      </c>
      <c r="BP74" s="164">
        <f t="shared" si="164"/>
        <v>0.21518392800246131</v>
      </c>
      <c r="BQ74" s="164">
        <f t="shared" si="164"/>
        <v>0.2439531908334536</v>
      </c>
      <c r="BR74" s="164">
        <f t="shared" si="164"/>
        <v>0.19905705048773362</v>
      </c>
      <c r="BS74" s="236">
        <f t="shared" si="164"/>
        <v>0.23380620842260866</v>
      </c>
      <c r="BT74" s="1429">
        <f>BT73/BT24</f>
        <v>0.22350433385907553</v>
      </c>
      <c r="BU74" s="164">
        <f t="shared" ref="BU74:CD74" si="165">BU73/BU24</f>
        <v>0.27761910985931421</v>
      </c>
      <c r="BV74" s="164">
        <f t="shared" si="165"/>
        <v>0.28559786353737093</v>
      </c>
      <c r="BW74" s="164">
        <f t="shared" si="165"/>
        <v>0.30670196777453823</v>
      </c>
      <c r="BX74" s="236">
        <f t="shared" si="165"/>
        <v>0.32377644426445701</v>
      </c>
      <c r="BY74" s="1429">
        <f t="shared" si="165"/>
        <v>0.2995122662780787</v>
      </c>
      <c r="BZ74" s="164">
        <f>BZ73/BZ24</f>
        <v>0.32487760644659397</v>
      </c>
      <c r="CA74" s="164">
        <f>CA73/CA24</f>
        <v>0.34149030549871284</v>
      </c>
      <c r="CB74" s="164">
        <f t="shared" si="165"/>
        <v>0.34510379244463779</v>
      </c>
      <c r="CC74" s="164">
        <f t="shared" si="165"/>
        <v>0.37538512272846752</v>
      </c>
      <c r="CD74" s="1429">
        <f t="shared" si="165"/>
        <v>0.34778061311779218</v>
      </c>
      <c r="CE74" s="164">
        <f t="shared" ref="CE74" si="166">CE73/CE24</f>
        <v>0.36888503289200836</v>
      </c>
      <c r="CF74" s="164">
        <f>CF73/CF24</f>
        <v>0.37891481163008162</v>
      </c>
      <c r="CG74" s="164">
        <f>CG73/CG24</f>
        <v>0.38706159558101105</v>
      </c>
      <c r="CH74" s="164">
        <f>CH73/CH24</f>
        <v>0.40797123486439174</v>
      </c>
      <c r="CI74" s="1429">
        <f t="shared" ref="CI74:CN74" si="167">CI73/CI24</f>
        <v>0.38664428225288583</v>
      </c>
      <c r="CJ74" s="164">
        <f t="shared" si="167"/>
        <v>0.42756018237425658</v>
      </c>
      <c r="CK74" s="165">
        <f t="shared" si="167"/>
        <v>0.42208542428720475</v>
      </c>
      <c r="CL74" s="165">
        <f t="shared" si="167"/>
        <v>0.41836276518715376</v>
      </c>
      <c r="CM74" s="166">
        <f t="shared" si="167"/>
        <v>0.41983087300991734</v>
      </c>
      <c r="CN74" s="1128">
        <f t="shared" si="167"/>
        <v>0.42181535111235091</v>
      </c>
      <c r="CO74" s="165">
        <f t="shared" ref="CO74:CX74" si="168">CO73/CO24</f>
        <v>0.43764028826794021</v>
      </c>
      <c r="CP74" s="165">
        <f t="shared" si="168"/>
        <v>0.43431704626884454</v>
      </c>
      <c r="CQ74" s="165">
        <f t="shared" si="168"/>
        <v>0.43129223505394282</v>
      </c>
      <c r="CR74" s="166">
        <f t="shared" si="168"/>
        <v>0.43280294048824453</v>
      </c>
      <c r="CS74" s="1128">
        <f t="shared" si="168"/>
        <v>0.43392191970578847</v>
      </c>
      <c r="CT74" s="165">
        <f t="shared" si="168"/>
        <v>0.44530421808077475</v>
      </c>
      <c r="CU74" s="165">
        <f t="shared" si="168"/>
        <v>0.44695077554310486</v>
      </c>
      <c r="CV74" s="165">
        <f t="shared" si="168"/>
        <v>0.44416997021650922</v>
      </c>
      <c r="CW74" s="166">
        <f t="shared" si="168"/>
        <v>0.44571784030247347</v>
      </c>
      <c r="CX74" s="1128">
        <f t="shared" si="168"/>
        <v>0.44552983843297772</v>
      </c>
      <c r="DA74" s="171"/>
      <c r="DB74" s="170"/>
      <c r="DC74" s="170"/>
    </row>
    <row r="75" spans="1:107" ht="13.5" customHeight="1">
      <c r="A75" s="155"/>
      <c r="B75" s="184"/>
      <c r="C75" s="157"/>
      <c r="D75" s="158"/>
      <c r="E75" s="158"/>
      <c r="F75" s="159"/>
      <c r="G75" s="160"/>
      <c r="H75" s="282"/>
      <c r="I75" s="282"/>
      <c r="J75" s="282"/>
      <c r="K75" s="282"/>
      <c r="L75" s="161"/>
      <c r="M75" s="282"/>
      <c r="N75" s="282"/>
      <c r="O75" s="282"/>
      <c r="P75" s="282"/>
      <c r="Q75" s="163"/>
      <c r="R75" s="282"/>
      <c r="S75" s="282"/>
      <c r="T75" s="282"/>
      <c r="U75" s="282"/>
      <c r="V75" s="163"/>
      <c r="W75" s="283"/>
      <c r="X75" s="283"/>
      <c r="Y75" s="283"/>
      <c r="Z75" s="283"/>
      <c r="AA75" s="237"/>
      <c r="AB75" s="283"/>
      <c r="AC75" s="283"/>
      <c r="AD75" s="283"/>
      <c r="AE75" s="283"/>
      <c r="AF75" s="237"/>
      <c r="AG75" s="283"/>
      <c r="AH75" s="283"/>
      <c r="AI75" s="283"/>
      <c r="AJ75" s="283"/>
      <c r="AK75" s="1074"/>
      <c r="AL75" s="1075"/>
      <c r="AM75" s="1075"/>
      <c r="AN75" s="1075"/>
      <c r="AO75" s="1075"/>
      <c r="AP75" s="1074"/>
      <c r="AQ75" s="1075"/>
      <c r="AR75" s="1236"/>
      <c r="AS75" s="1075"/>
      <c r="AT75" s="1075"/>
      <c r="AU75" s="1074"/>
      <c r="AV75" s="1075"/>
      <c r="AW75" s="1236"/>
      <c r="AX75" s="1236"/>
      <c r="AY75" s="1075"/>
      <c r="AZ75" s="1074"/>
      <c r="BA75" s="1075"/>
      <c r="BB75" s="1236"/>
      <c r="BC75" s="1075"/>
      <c r="BD75" s="1075"/>
      <c r="BE75" s="1074"/>
      <c r="BF75" s="1075"/>
      <c r="BG75" s="1236"/>
      <c r="BH75" s="1236"/>
      <c r="BI75" s="1236"/>
      <c r="BJ75" s="1074"/>
      <c r="BK75" s="1075"/>
      <c r="BL75" s="1236"/>
      <c r="BM75" s="1236"/>
      <c r="BN75" s="1075"/>
      <c r="BO75" s="1447"/>
      <c r="BP75" s="1075"/>
      <c r="BQ75" s="1236"/>
      <c r="BR75" s="1236"/>
      <c r="BS75" s="1075"/>
      <c r="BT75" s="1447"/>
      <c r="BU75" s="1075"/>
      <c r="BV75" s="1236"/>
      <c r="BW75" s="1236"/>
      <c r="BX75" s="1075"/>
      <c r="BY75" s="1447"/>
      <c r="BZ75" s="1076"/>
      <c r="CA75" s="1076"/>
      <c r="CB75" s="1076"/>
      <c r="CC75" s="1075"/>
      <c r="CD75" s="1447"/>
      <c r="CE75" s="1075"/>
      <c r="CF75" s="1075"/>
      <c r="CG75" s="1075"/>
      <c r="CH75" s="1075"/>
      <c r="CI75" s="1447"/>
      <c r="CJ75" s="1075"/>
      <c r="CK75" s="1076"/>
      <c r="CL75" s="1076"/>
      <c r="CM75" s="1076"/>
      <c r="CN75" s="1131"/>
      <c r="CO75" s="1076"/>
      <c r="CP75" s="1076"/>
      <c r="CQ75" s="1076"/>
      <c r="CR75" s="1076"/>
      <c r="CS75" s="1131"/>
      <c r="CT75" s="1076"/>
      <c r="CU75" s="1076"/>
      <c r="CV75" s="1076"/>
      <c r="CW75" s="1076"/>
      <c r="CX75" s="1131"/>
      <c r="DA75" s="171"/>
      <c r="DB75" s="170"/>
      <c r="DC75" s="170"/>
    </row>
    <row r="76" spans="1:107">
      <c r="A76" s="946" t="s">
        <v>534</v>
      </c>
      <c r="B76" s="947"/>
      <c r="C76" s="452">
        <f>SUM(C78:C79)</f>
        <v>5.6970000000000001</v>
      </c>
      <c r="D76" s="452">
        <f>SUM(D78:D79)</f>
        <v>4.6319999999999997</v>
      </c>
      <c r="E76" s="452">
        <f>SUM(E78:E79)</f>
        <v>6.7439999999999998</v>
      </c>
      <c r="F76" s="948">
        <f>SUM(F78:F79)</f>
        <v>4.8150000000000013</v>
      </c>
      <c r="G76" s="849">
        <f t="shared" ref="G76:G81" si="169">SUM(C76:F76)</f>
        <v>21.888000000000002</v>
      </c>
      <c r="H76" s="452">
        <f>SUM(H78:H79)</f>
        <v>4.9290000000000003</v>
      </c>
      <c r="I76" s="452">
        <f>SUM(I78:I79)</f>
        <v>2.7349999999999999</v>
      </c>
      <c r="J76" s="452">
        <f>SUM(J78:J79)</f>
        <v>4.141</v>
      </c>
      <c r="K76" s="948">
        <f>SUM(K78:K79)</f>
        <v>3.0419999999999998</v>
      </c>
      <c r="L76" s="948">
        <f t="shared" ref="L76:L81" si="170">SUM(H76:K76)</f>
        <v>14.847</v>
      </c>
      <c r="M76" s="452">
        <f>SUM(M78:M79)</f>
        <v>3.649</v>
      </c>
      <c r="N76" s="452">
        <f>SUM(N78:N79)</f>
        <v>3.8849999999999998</v>
      </c>
      <c r="O76" s="452">
        <f>SUM(O78:O79)</f>
        <v>2.9580000000000002</v>
      </c>
      <c r="P76" s="948">
        <f>SUM(P78:P79)</f>
        <v>3.427999999999999</v>
      </c>
      <c r="Q76" s="849">
        <f t="shared" ref="Q76:Q81" si="171">SUM(M76:P76)</f>
        <v>13.92</v>
      </c>
      <c r="R76" s="452">
        <f>SUM(R78:R79)</f>
        <v>4.032</v>
      </c>
      <c r="S76" s="452">
        <f>SUM(S78:S79)</f>
        <v>5.1269999999999998</v>
      </c>
      <c r="T76" s="452">
        <f>SUM(T78:T79)</f>
        <v>2.343</v>
      </c>
      <c r="U76" s="948">
        <f>SUM(U78:U79)</f>
        <v>2.8430000000000017</v>
      </c>
      <c r="V76" s="849">
        <f t="shared" ref="V76:V81" si="172">SUM(R76:U76)</f>
        <v>14.345000000000001</v>
      </c>
      <c r="W76" s="452">
        <f>SUM(W78:W79)</f>
        <v>7.6269999999999998</v>
      </c>
      <c r="X76" s="452">
        <f>SUM(X78:X79)</f>
        <v>8.3049999999999997</v>
      </c>
      <c r="Y76" s="452">
        <f>SUM(Y78:Y79)</f>
        <v>12.42</v>
      </c>
      <c r="Z76" s="948">
        <f>SUM(Z78:Z79)</f>
        <v>10.291</v>
      </c>
      <c r="AA76" s="849">
        <f t="shared" ref="AA76:AA81" si="173">SUM(W76:Z76)</f>
        <v>38.643000000000001</v>
      </c>
      <c r="AB76" s="452">
        <f>SUM(AB78:AB79)</f>
        <v>15.542</v>
      </c>
      <c r="AC76" s="452">
        <f>SUM(AC78:AC79)</f>
        <v>13.929</v>
      </c>
      <c r="AD76" s="452">
        <f>SUM(AD78:AD79)</f>
        <v>18.091999999999999</v>
      </c>
      <c r="AE76" s="452">
        <f>SUM(AE78:AE79)</f>
        <v>19.622</v>
      </c>
      <c r="AF76" s="849">
        <f t="shared" ref="AF76:AF81" si="174">SUM(AB76:AE76)</f>
        <v>67.185000000000002</v>
      </c>
      <c r="AG76" s="452">
        <f>SUM(AG78:AG79)</f>
        <v>22.463999999999999</v>
      </c>
      <c r="AH76" s="452">
        <f>SUM(AH78:AH79)</f>
        <v>20.562999999999999</v>
      </c>
      <c r="AI76" s="452">
        <f>SUM(AI78:AI79)</f>
        <v>22.664000000000001</v>
      </c>
      <c r="AJ76" s="452">
        <f>SUM(AJ78:AJ79)</f>
        <v>16.78</v>
      </c>
      <c r="AK76" s="149">
        <f t="shared" ref="AK76:AK81" si="175">SUM(AG76:AJ76)</f>
        <v>82.471000000000004</v>
      </c>
      <c r="AL76" s="147">
        <f>SUM(AL78:AL79)</f>
        <v>11.399999999999999</v>
      </c>
      <c r="AM76" s="147">
        <f>SUM(AM78:AM79)</f>
        <v>8.322000000000001</v>
      </c>
      <c r="AN76" s="147">
        <f>SUM(AN78:AN79)</f>
        <v>6.9479999999999986</v>
      </c>
      <c r="AO76" s="147">
        <f>SUM(AO78:AO79)</f>
        <v>7.0770000000000008</v>
      </c>
      <c r="AP76" s="149">
        <f t="shared" ref="AP76:AP81" si="176">SUM(AL76:AO76)</f>
        <v>33.747</v>
      </c>
      <c r="AQ76" s="147">
        <f t="shared" ref="AQ76:AX76" si="177">SUM(AQ78:AQ79)</f>
        <v>12.492000000000001</v>
      </c>
      <c r="AR76" s="147">
        <f t="shared" si="177"/>
        <v>4.1819999999999995</v>
      </c>
      <c r="AS76" s="147">
        <f t="shared" si="177"/>
        <v>6.2069999999999999</v>
      </c>
      <c r="AT76" s="147">
        <f t="shared" si="177"/>
        <v>5.0919999999999996</v>
      </c>
      <c r="AU76" s="149">
        <f t="shared" si="177"/>
        <v>27.972999999999999</v>
      </c>
      <c r="AV76" s="147">
        <f>SUM(AV78:AV79)</f>
        <v>-7.0840000000000005</v>
      </c>
      <c r="AW76" s="147">
        <f>SUM(AW78:AW79)</f>
        <v>-22.388999999999999</v>
      </c>
      <c r="AX76" s="147">
        <f t="shared" si="177"/>
        <v>-8.7880000000000003</v>
      </c>
      <c r="AY76" s="147">
        <f>SUM(AY78:AY79)</f>
        <v>-5.5520000000000014</v>
      </c>
      <c r="AZ76" s="149">
        <f t="shared" ref="AZ76:AZ81" si="178">SUM(AV76:AY76)</f>
        <v>-43.812999999999995</v>
      </c>
      <c r="BA76" s="147">
        <f>SUM(BA78:BA79)</f>
        <v>-17.837</v>
      </c>
      <c r="BB76" s="147">
        <f>SUM(BB78:BB79)</f>
        <v>-17.565999999999999</v>
      </c>
      <c r="BC76" s="147">
        <f>SUM(BC78:BC79)</f>
        <v>-16.398</v>
      </c>
      <c r="BD76" s="147">
        <f>SUM(BD78:BD79)</f>
        <v>-18.100000000000001</v>
      </c>
      <c r="BE76" s="149">
        <f t="shared" ref="BE76:BE81" si="179">SUM(BA76:BD76)</f>
        <v>-69.90100000000001</v>
      </c>
      <c r="BF76" s="452">
        <f>SUM(BF78:BF79)</f>
        <v>-19.600000000000001</v>
      </c>
      <c r="BG76" s="147">
        <f>SUM(BG78:BG79)</f>
        <v>-17.757000000000001</v>
      </c>
      <c r="BH76" s="147">
        <f>SUM(BH78:BH79)</f>
        <v>-16.036000000000001</v>
      </c>
      <c r="BI76" s="147">
        <f>SUM(BI78:BI79)</f>
        <v>-17.484999999999999</v>
      </c>
      <c r="BJ76" s="149">
        <f t="shared" ref="BJ76:BJ81" si="180">SUM(BF76:BI76)</f>
        <v>-70.878</v>
      </c>
      <c r="BK76" s="452">
        <f>SUM(BK78:BK79)</f>
        <v>-15.587999999999999</v>
      </c>
      <c r="BL76" s="147">
        <f>SUM(BL78:BL79)</f>
        <v>-15.015000000000001</v>
      </c>
      <c r="BM76" s="147">
        <f>SUM(BM78:BM79)</f>
        <v>-15.015000000000001</v>
      </c>
      <c r="BN76" s="147">
        <f>SUM(BN78:BN79)</f>
        <v>-16.027000000000001</v>
      </c>
      <c r="BO76" s="1436">
        <f t="shared" ref="BO76:BO81" si="181">SUM(BK76:BN76)</f>
        <v>-61.645000000000003</v>
      </c>
      <c r="BP76" s="452">
        <f>SUM(BP78:BP79)</f>
        <v>-13.445</v>
      </c>
      <c r="BQ76" s="147">
        <f>SUM(BQ78:BQ79)</f>
        <v>-14.540000000000001</v>
      </c>
      <c r="BR76" s="147">
        <f>SUM(BR78:BR79)</f>
        <v>-11.907</v>
      </c>
      <c r="BS76" s="147">
        <f>SUM(BS78:BS79)</f>
        <v>-12.573</v>
      </c>
      <c r="BT76" s="1436">
        <f t="shared" ref="BT76:BT81" si="182">SUM(BP76:BS76)</f>
        <v>-52.464999999999996</v>
      </c>
      <c r="BU76" s="452">
        <f>SUM(BU78:BU79)</f>
        <v>-11.207000000000001</v>
      </c>
      <c r="BV76" s="147">
        <f>SUM(BV78:BV79)</f>
        <v>-12.866</v>
      </c>
      <c r="BW76" s="147">
        <f>SUM(BW78:BW79)</f>
        <v>-12.085999999999999</v>
      </c>
      <c r="BX76" s="147">
        <f>SUM(BX78:BX79)</f>
        <v>-15.530999999999999</v>
      </c>
      <c r="BY76" s="1436">
        <f t="shared" ref="BY76:BY81" si="183">SUM(BU76:BX76)</f>
        <v>-51.69</v>
      </c>
      <c r="BZ76" s="452">
        <f>SUM(BZ78:BZ79)</f>
        <v>-14.282</v>
      </c>
      <c r="CA76" s="452">
        <f>SUM(CA78:CA79)</f>
        <v>-11.090999999999999</v>
      </c>
      <c r="CB76" s="452">
        <f>SUM(CB78:CB79)</f>
        <v>-14.555999999999999</v>
      </c>
      <c r="CC76" s="452">
        <f>SUM(CC78:CC79)</f>
        <v>-16.984999999999999</v>
      </c>
      <c r="CD76" s="1436">
        <f t="shared" ref="CD76:CD81" si="184">SUM(BZ76:CC76)</f>
        <v>-56.913999999999994</v>
      </c>
      <c r="CE76" s="452">
        <f>SUM(CE78:CE79)</f>
        <v>-10.923999999999999</v>
      </c>
      <c r="CF76" s="452">
        <f>SUM(CF78:CF79)</f>
        <v>-13.193000000000001</v>
      </c>
      <c r="CG76" s="452">
        <f>SUM(CG78:CG79)</f>
        <v>-5.2700000000000014</v>
      </c>
      <c r="CH76" s="452">
        <f>SUM(CH78:CH79)</f>
        <v>-8.6199999999999992</v>
      </c>
      <c r="CI76" s="1436">
        <f t="shared" ref="CI76:CI81" si="185">SUM(CE76:CH76)</f>
        <v>-38.006999999999998</v>
      </c>
      <c r="CJ76" s="452">
        <f>SUM(CJ78:CJ79)</f>
        <v>-3.2270000000000003</v>
      </c>
      <c r="CK76" s="150">
        <f>SUM(CK78:CK79)</f>
        <v>-2.5359999999999978</v>
      </c>
      <c r="CL76" s="150">
        <f>SUM(CL78:CL79)</f>
        <v>-1.7634793547357859</v>
      </c>
      <c r="CM76" s="150">
        <f>SUM(CM78:CM79)</f>
        <v>-5.7582391441494938</v>
      </c>
      <c r="CN76" s="1230">
        <f t="shared" ref="CN76:CN81" si="186">SUM(CJ76:CM76)</f>
        <v>-13.284718498885278</v>
      </c>
      <c r="CO76" s="150">
        <f>SUM(CO78:CO79)</f>
        <v>-11.439153227213632</v>
      </c>
      <c r="CP76" s="150">
        <f>SUM(CP78:CP79)</f>
        <v>-10.837754632270711</v>
      </c>
      <c r="CQ76" s="150">
        <f>SUM(CQ78:CQ79)</f>
        <v>-10.265684910196642</v>
      </c>
      <c r="CR76" s="150">
        <f>SUM(CR78:CR79)</f>
        <v>-9.6536958761477489</v>
      </c>
      <c r="CS76" s="1230">
        <f t="shared" ref="CS76:CS81" si="187">SUM(CO76:CR76)</f>
        <v>-42.196288645828737</v>
      </c>
      <c r="CT76" s="150">
        <f>SUM(CT78:CT79)</f>
        <v>-8.731112472436191</v>
      </c>
      <c r="CU76" s="150">
        <f>SUM(CU78:CU79)</f>
        <v>-7.9680641814865467</v>
      </c>
      <c r="CV76" s="150">
        <f>SUM(CV78:CV79)</f>
        <v>-7.2845046650701839</v>
      </c>
      <c r="CW76" s="150">
        <f>SUM(CW78:CW79)</f>
        <v>-6.5631111014807697</v>
      </c>
      <c r="CX76" s="1230">
        <f t="shared" ref="CX76:CX81" si="188">SUM(CT76:CW76)</f>
        <v>-30.546792420473693</v>
      </c>
      <c r="DA76" s="850"/>
      <c r="DB76" s="677"/>
      <c r="DC76" s="677"/>
    </row>
    <row r="77" spans="1:107" hidden="1" outlineLevel="1">
      <c r="A77" s="992" t="s">
        <v>700</v>
      </c>
      <c r="B77" s="993"/>
      <c r="C77" s="994">
        <v>-17.038</v>
      </c>
      <c r="D77" s="995">
        <v>-31.030999999999999</v>
      </c>
      <c r="E77" s="995">
        <v>-39.447000000000003</v>
      </c>
      <c r="F77" s="996">
        <f>-93.414-SUM(C77:E77)</f>
        <v>-5.8979999999999961</v>
      </c>
      <c r="G77" s="997">
        <f t="shared" si="169"/>
        <v>-93.414000000000001</v>
      </c>
      <c r="H77" s="995">
        <v>4.5330000000000004</v>
      </c>
      <c r="I77" s="995">
        <v>-13.728</v>
      </c>
      <c r="J77" s="995">
        <v>-4.1980000000000004</v>
      </c>
      <c r="K77" s="996">
        <f>-17.185-SUM(H77:J77)</f>
        <v>-3.791999999999998</v>
      </c>
      <c r="L77" s="998">
        <f t="shared" si="170"/>
        <v>-17.184999999999999</v>
      </c>
      <c r="M77" s="995">
        <v>-6.6920000000000002</v>
      </c>
      <c r="N77" s="995">
        <v>-3.5659999999999998</v>
      </c>
      <c r="O77" s="995">
        <v>-2.996</v>
      </c>
      <c r="P77" s="996">
        <f>-12.875-SUM(M77:O77)</f>
        <v>0.37899999999999956</v>
      </c>
      <c r="Q77" s="997">
        <f t="shared" si="171"/>
        <v>-12.875</v>
      </c>
      <c r="R77" s="995">
        <f>-1.031</f>
        <v>-1.0309999999999999</v>
      </c>
      <c r="S77" s="995">
        <f>0.873</f>
        <v>0.873</v>
      </c>
      <c r="T77" s="995">
        <f>-1.494</f>
        <v>-1.494</v>
      </c>
      <c r="U77" s="996">
        <f>4.158</f>
        <v>4.1580000000000004</v>
      </c>
      <c r="V77" s="997">
        <f t="shared" si="172"/>
        <v>2.5060000000000002</v>
      </c>
      <c r="W77" s="995">
        <f>-1.554</f>
        <v>-1.554</v>
      </c>
      <c r="X77" s="995">
        <f>-2.701</f>
        <v>-2.7010000000000001</v>
      </c>
      <c r="Y77" s="995">
        <f>-2.044</f>
        <v>-2.044</v>
      </c>
      <c r="Z77" s="996">
        <f>4.998</f>
        <v>4.9980000000000002</v>
      </c>
      <c r="AA77" s="997">
        <f t="shared" si="173"/>
        <v>-1.3009999999999993</v>
      </c>
      <c r="AB77" s="999">
        <f>-1.265</f>
        <v>-1.2649999999999999</v>
      </c>
      <c r="AC77" s="999">
        <f>2.66</f>
        <v>2.66</v>
      </c>
      <c r="AD77" s="999">
        <f>-5.113</f>
        <v>-5.1130000000000004</v>
      </c>
      <c r="AE77" s="998">
        <v>64.966999999999999</v>
      </c>
      <c r="AF77" s="997">
        <f t="shared" si="174"/>
        <v>61.248999999999995</v>
      </c>
      <c r="AG77" s="999">
        <v>5.601</v>
      </c>
      <c r="AH77" s="999">
        <v>4.1619999999999999</v>
      </c>
      <c r="AI77" s="999">
        <v>-0.69399999999999995</v>
      </c>
      <c r="AJ77" s="998">
        <v>-1.9350000000000001</v>
      </c>
      <c r="AK77" s="997">
        <f t="shared" si="175"/>
        <v>7.1339999999999986</v>
      </c>
      <c r="AL77" s="999">
        <v>8.7319999999999993</v>
      </c>
      <c r="AM77" s="999">
        <v>9.5060000000000002</v>
      </c>
      <c r="AN77" s="999">
        <v>2.097</v>
      </c>
      <c r="AO77" s="998">
        <v>-3.9260000000000002</v>
      </c>
      <c r="AP77" s="997">
        <f t="shared" si="176"/>
        <v>16.408999999999999</v>
      </c>
      <c r="AQ77" s="999">
        <v>-17.245999999999999</v>
      </c>
      <c r="AR77" s="999">
        <v>-1.8049999999999999</v>
      </c>
      <c r="AS77" s="999">
        <v>0.60699999999999998</v>
      </c>
      <c r="AT77" s="999">
        <v>1.478</v>
      </c>
      <c r="AU77" s="997">
        <f>SUM(AQ77:AT77)</f>
        <v>-16.965999999999998</v>
      </c>
      <c r="AV77" s="999">
        <v>-3.5339999999999998</v>
      </c>
      <c r="AW77" s="999">
        <v>-10.723000000000001</v>
      </c>
      <c r="AX77" s="999">
        <v>3.5270000000000001</v>
      </c>
      <c r="AY77" s="999">
        <v>4.62</v>
      </c>
      <c r="AZ77" s="997">
        <f t="shared" si="178"/>
        <v>-6.11</v>
      </c>
      <c r="BA77" s="999">
        <v>1.59</v>
      </c>
      <c r="BB77" s="999">
        <v>8.5999999999999993E-2</v>
      </c>
      <c r="BC77" s="999">
        <v>-0.99299999999999999</v>
      </c>
      <c r="BD77" s="999">
        <f>-12.951-BD79</f>
        <v>5.1490000000000009</v>
      </c>
      <c r="BE77" s="997">
        <f t="shared" si="179"/>
        <v>5.8320000000000007</v>
      </c>
      <c r="BF77" s="999">
        <f>-18.602-BF79</f>
        <v>0.99800000000000111</v>
      </c>
      <c r="BG77" s="999">
        <v>7.1879999999999997</v>
      </c>
      <c r="BH77" s="999">
        <v>0.94399999999999995</v>
      </c>
      <c r="BI77" s="999">
        <v>0.35099999999999998</v>
      </c>
      <c r="BJ77" s="997">
        <f t="shared" si="180"/>
        <v>9.4809999999999981</v>
      </c>
      <c r="BK77" s="999">
        <v>0.84799999999999998</v>
      </c>
      <c r="BL77" s="999">
        <v>-2.0790000000000002</v>
      </c>
      <c r="BM77" s="999">
        <v>-2.0790000000000002</v>
      </c>
      <c r="BN77" s="998">
        <v>1.4610000000000001</v>
      </c>
      <c r="BO77" s="1448">
        <f t="shared" si="181"/>
        <v>-1.8490000000000004</v>
      </c>
      <c r="BP77" s="999">
        <v>-0.40899999999999997</v>
      </c>
      <c r="BQ77" s="999">
        <v>0.53300000000000003</v>
      </c>
      <c r="BR77" s="999">
        <v>0.66900000000000004</v>
      </c>
      <c r="BS77" s="998">
        <v>0.34300000000000003</v>
      </c>
      <c r="BT77" s="1448">
        <f t="shared" si="182"/>
        <v>1.1360000000000001</v>
      </c>
      <c r="BU77" s="999">
        <v>1.43</v>
      </c>
      <c r="BV77" s="999">
        <v>0.223</v>
      </c>
      <c r="BW77" s="999">
        <v>-1.3140000000000001</v>
      </c>
      <c r="BX77" s="998">
        <f>0.622+21.415</f>
        <v>22.036999999999999</v>
      </c>
      <c r="BY77" s="1448">
        <f t="shared" si="183"/>
        <v>22.375999999999998</v>
      </c>
      <c r="BZ77" s="999">
        <v>-1.169</v>
      </c>
      <c r="CA77" s="999">
        <v>-3.3180000000000001</v>
      </c>
      <c r="CB77" s="999">
        <v>1.532</v>
      </c>
      <c r="CC77" s="999">
        <v>1.385</v>
      </c>
      <c r="CD77" s="1448">
        <f t="shared" si="184"/>
        <v>-1.57</v>
      </c>
      <c r="CE77" s="999">
        <v>2.5569999999999999</v>
      </c>
      <c r="CF77" s="999">
        <v>1.7290000000000001</v>
      </c>
      <c r="CG77" s="999">
        <v>0.97499999999999998</v>
      </c>
      <c r="CH77" s="999">
        <v>2.2919999999999998</v>
      </c>
      <c r="CI77" s="1448">
        <f t="shared" si="185"/>
        <v>7.552999999999999</v>
      </c>
      <c r="CJ77" s="999">
        <v>2.996</v>
      </c>
      <c r="CK77" s="1000">
        <v>0</v>
      </c>
      <c r="CL77" s="1000">
        <v>0</v>
      </c>
      <c r="CM77" s="1001">
        <v>0</v>
      </c>
      <c r="CN77" s="1026">
        <f t="shared" si="186"/>
        <v>2.996</v>
      </c>
      <c r="CO77" s="1000">
        <v>0</v>
      </c>
      <c r="CP77" s="1000">
        <v>0</v>
      </c>
      <c r="CQ77" s="1000">
        <v>0</v>
      </c>
      <c r="CR77" s="1001">
        <v>0</v>
      </c>
      <c r="CS77" s="1026">
        <f t="shared" si="187"/>
        <v>0</v>
      </c>
      <c r="CT77" s="1000">
        <v>0</v>
      </c>
      <c r="CU77" s="1000">
        <v>0</v>
      </c>
      <c r="CV77" s="1000">
        <v>0</v>
      </c>
      <c r="CW77" s="1001">
        <v>0</v>
      </c>
      <c r="CX77" s="1026">
        <f t="shared" si="188"/>
        <v>0</v>
      </c>
      <c r="DA77" s="850"/>
      <c r="DB77" s="677"/>
      <c r="DC77" s="677"/>
    </row>
    <row r="78" spans="1:107" hidden="1" outlineLevel="1">
      <c r="A78" s="992" t="s">
        <v>61</v>
      </c>
      <c r="B78" s="993"/>
      <c r="C78" s="994">
        <v>5.6970000000000001</v>
      </c>
      <c r="D78" s="995">
        <v>4.6319999999999997</v>
      </c>
      <c r="E78" s="995">
        <v>6.7439999999999998</v>
      </c>
      <c r="F78" s="996">
        <f>21.888-SUM(C78:E78)</f>
        <v>4.8150000000000013</v>
      </c>
      <c r="G78" s="997">
        <f t="shared" si="169"/>
        <v>21.888000000000002</v>
      </c>
      <c r="H78" s="995">
        <v>4.9290000000000003</v>
      </c>
      <c r="I78" s="995">
        <v>2.7349999999999999</v>
      </c>
      <c r="J78" s="995">
        <v>4.141</v>
      </c>
      <c r="K78" s="996">
        <f>14.847-SUM(H78:J78)</f>
        <v>3.0419999999999998</v>
      </c>
      <c r="L78" s="998">
        <f t="shared" si="170"/>
        <v>14.847</v>
      </c>
      <c r="M78" s="995">
        <v>3.649</v>
      </c>
      <c r="N78" s="995">
        <v>3.8849999999999998</v>
      </c>
      <c r="O78" s="995">
        <v>2.9580000000000002</v>
      </c>
      <c r="P78" s="996">
        <f>13.92-SUM(M78:O78)</f>
        <v>3.427999999999999</v>
      </c>
      <c r="Q78" s="997">
        <f t="shared" si="171"/>
        <v>13.92</v>
      </c>
      <c r="R78" s="995">
        <v>4.032</v>
      </c>
      <c r="S78" s="995">
        <v>5.1269999999999998</v>
      </c>
      <c r="T78" s="995">
        <v>2.343</v>
      </c>
      <c r="U78" s="996">
        <f>14.345-SUM(R78:T78)</f>
        <v>2.8430000000000017</v>
      </c>
      <c r="V78" s="997">
        <f t="shared" si="172"/>
        <v>14.345000000000001</v>
      </c>
      <c r="W78" s="995">
        <v>7.6269999999999998</v>
      </c>
      <c r="X78" s="995">
        <v>8.3049999999999997</v>
      </c>
      <c r="Y78" s="995">
        <v>12.42</v>
      </c>
      <c r="Z78" s="996">
        <v>10.291</v>
      </c>
      <c r="AA78" s="997">
        <f t="shared" si="173"/>
        <v>38.643000000000001</v>
      </c>
      <c r="AB78" s="999">
        <v>15.542</v>
      </c>
      <c r="AC78" s="999">
        <v>13.929</v>
      </c>
      <c r="AD78" s="999">
        <v>18.091999999999999</v>
      </c>
      <c r="AE78" s="998">
        <v>19.622</v>
      </c>
      <c r="AF78" s="997">
        <f t="shared" si="174"/>
        <v>67.185000000000002</v>
      </c>
      <c r="AG78" s="999">
        <v>22.463999999999999</v>
      </c>
      <c r="AH78" s="999">
        <v>20.562999999999999</v>
      </c>
      <c r="AI78" s="999">
        <v>22.664000000000001</v>
      </c>
      <c r="AJ78" s="998">
        <f>16.78</f>
        <v>16.78</v>
      </c>
      <c r="AK78" s="997">
        <f t="shared" si="175"/>
        <v>82.471000000000004</v>
      </c>
      <c r="AL78" s="999">
        <f>13.29</f>
        <v>13.29</v>
      </c>
      <c r="AM78" s="999">
        <v>12.15</v>
      </c>
      <c r="AN78" s="999">
        <v>9.3379999999999992</v>
      </c>
      <c r="AO78" s="998">
        <v>9.0690000000000008</v>
      </c>
      <c r="AP78" s="997">
        <f t="shared" si="176"/>
        <v>43.847000000000001</v>
      </c>
      <c r="AQ78" s="999">
        <v>13.284000000000001</v>
      </c>
      <c r="AR78" s="999">
        <v>4.8019999999999996</v>
      </c>
      <c r="AS78" s="999">
        <v>6.6669999999999998</v>
      </c>
      <c r="AT78" s="999">
        <v>6.6269999999999998</v>
      </c>
      <c r="AU78" s="997">
        <f>SUM(AQ78:AT78)</f>
        <v>31.38</v>
      </c>
      <c r="AV78" s="999">
        <v>0.61099999999999999</v>
      </c>
      <c r="AW78" s="999">
        <v>-6.3129999999999997</v>
      </c>
      <c r="AX78" s="999">
        <v>7.6070000000000002</v>
      </c>
      <c r="AY78" s="999">
        <v>11.234</v>
      </c>
      <c r="AZ78" s="997">
        <f t="shared" si="178"/>
        <v>13.138999999999999</v>
      </c>
      <c r="BA78" s="999">
        <v>-0.81699999999999995</v>
      </c>
      <c r="BB78" s="999">
        <v>-0.83899999999999997</v>
      </c>
      <c r="BC78" s="999">
        <v>3.3000000000000002E-2</v>
      </c>
      <c r="BD78" s="999">
        <v>0</v>
      </c>
      <c r="BE78" s="997">
        <f t="shared" si="179"/>
        <v>-1.623</v>
      </c>
      <c r="BF78" s="999">
        <v>0</v>
      </c>
      <c r="BG78" s="999">
        <v>-1.1279999999999999</v>
      </c>
      <c r="BH78" s="999">
        <v>1.2170000000000001</v>
      </c>
      <c r="BI78" s="999">
        <v>-0.71799999999999997</v>
      </c>
      <c r="BJ78" s="997">
        <f t="shared" si="180"/>
        <v>-0.62899999999999978</v>
      </c>
      <c r="BK78" s="999">
        <v>1.246</v>
      </c>
      <c r="BL78" s="999">
        <v>1.732</v>
      </c>
      <c r="BM78" s="999">
        <v>1.732</v>
      </c>
      <c r="BN78" s="999">
        <v>0.69499999999999995</v>
      </c>
      <c r="BO78" s="1448">
        <f t="shared" si="181"/>
        <v>5.4050000000000002</v>
      </c>
      <c r="BP78" s="999">
        <v>3.145</v>
      </c>
      <c r="BQ78" s="999">
        <v>2.5630000000000002</v>
      </c>
      <c r="BR78" s="999">
        <v>1.454</v>
      </c>
      <c r="BS78" s="999">
        <v>0.105</v>
      </c>
      <c r="BT78" s="1448">
        <f t="shared" si="182"/>
        <v>7.2670000000000003</v>
      </c>
      <c r="BU78" s="999">
        <v>3.3380000000000001</v>
      </c>
      <c r="BV78" s="999">
        <v>3.7389999999999999</v>
      </c>
      <c r="BW78" s="999">
        <v>4.4329999999999998</v>
      </c>
      <c r="BX78" s="999">
        <f>22.399-21.415</f>
        <v>0.98400000000000176</v>
      </c>
      <c r="BY78" s="1448">
        <f t="shared" si="183"/>
        <v>12.494000000000002</v>
      </c>
      <c r="BZ78" s="999">
        <v>4.1870000000000003</v>
      </c>
      <c r="CA78" s="999">
        <v>6.0830000000000002</v>
      </c>
      <c r="CB78" s="999">
        <v>2.7250000000000001</v>
      </c>
      <c r="CC78" s="999">
        <v>0.53300000000000003</v>
      </c>
      <c r="CD78" s="1448">
        <f t="shared" si="184"/>
        <v>13.527999999999999</v>
      </c>
      <c r="CE78" s="999">
        <v>7.2060000000000004</v>
      </c>
      <c r="CF78" s="999">
        <v>5.1539999999999999</v>
      </c>
      <c r="CG78" s="999">
        <v>13.539</v>
      </c>
      <c r="CH78" s="999">
        <v>10.496</v>
      </c>
      <c r="CI78" s="1448">
        <f t="shared" si="185"/>
        <v>36.395000000000003</v>
      </c>
      <c r="CJ78" s="999">
        <v>16.672000000000001</v>
      </c>
      <c r="CK78" s="1000">
        <f>(BS!CJ8+BS!CJ9)*BS!CK121/4</f>
        <v>16.672000000000001</v>
      </c>
      <c r="CL78" s="1000">
        <f>(BS!CK8+BS!CK9)*BS!CL121/4</f>
        <v>17.444520645264213</v>
      </c>
      <c r="CM78" s="1000">
        <f>(BS!CL8+BS!CL9)*BS!CM121/4</f>
        <v>13.449760855850505</v>
      </c>
      <c r="CN78" s="1026">
        <f t="shared" si="186"/>
        <v>64.238281501114713</v>
      </c>
      <c r="CO78" s="1000">
        <f>(BS!CN8+BS!CN9)*BS!CO121/4</f>
        <v>8.2688467727863664</v>
      </c>
      <c r="CP78" s="1000">
        <f>(BS!CO8+BS!CO9)*BS!CP121/4</f>
        <v>8.8702453677292876</v>
      </c>
      <c r="CQ78" s="1000">
        <f>(BS!CP8+BS!CP9)*BS!CQ121/4</f>
        <v>9.4423150898033565</v>
      </c>
      <c r="CR78" s="1000">
        <f>(BS!CQ8+BS!CQ9)*BS!CR121/4</f>
        <v>10.054304123852249</v>
      </c>
      <c r="CS78" s="1026">
        <f t="shared" si="187"/>
        <v>36.635711354171256</v>
      </c>
      <c r="CT78" s="1000">
        <f>(BS!CS8+BS!CS9)*BS!CT121/4</f>
        <v>10.976887527563807</v>
      </c>
      <c r="CU78" s="1000">
        <f>(BS!CT8+BS!CT9)*BS!CU121/4</f>
        <v>11.739935818513452</v>
      </c>
      <c r="CV78" s="1000">
        <f>(BS!CU8+BS!CU9)*BS!CV121/4</f>
        <v>12.423495334929815</v>
      </c>
      <c r="CW78" s="1000">
        <f>(BS!CV8+BS!CV9)*BS!CW121/4</f>
        <v>13.144888898519229</v>
      </c>
      <c r="CX78" s="1026">
        <f t="shared" si="188"/>
        <v>48.2852075795263</v>
      </c>
      <c r="DA78" s="850"/>
      <c r="DB78" s="677"/>
      <c r="DC78" s="677"/>
    </row>
    <row r="79" spans="1:107" hidden="1" outlineLevel="1">
      <c r="A79" s="1002" t="s">
        <v>62</v>
      </c>
      <c r="B79" s="993"/>
      <c r="C79" s="994">
        <v>0</v>
      </c>
      <c r="D79" s="995">
        <v>0</v>
      </c>
      <c r="E79" s="995">
        <v>0</v>
      </c>
      <c r="F79" s="996">
        <v>0</v>
      </c>
      <c r="G79" s="997">
        <f t="shared" si="169"/>
        <v>0</v>
      </c>
      <c r="H79" s="995">
        <v>0</v>
      </c>
      <c r="I79" s="995">
        <v>0</v>
      </c>
      <c r="J79" s="995">
        <v>0</v>
      </c>
      <c r="K79" s="996">
        <v>0</v>
      </c>
      <c r="L79" s="998">
        <f t="shared" si="170"/>
        <v>0</v>
      </c>
      <c r="M79" s="995">
        <v>0</v>
      </c>
      <c r="N79" s="995">
        <v>0</v>
      </c>
      <c r="O79" s="995">
        <v>0</v>
      </c>
      <c r="P79" s="996">
        <v>0</v>
      </c>
      <c r="Q79" s="997">
        <f t="shared" si="171"/>
        <v>0</v>
      </c>
      <c r="R79" s="995">
        <v>0</v>
      </c>
      <c r="S79" s="995">
        <v>0</v>
      </c>
      <c r="T79" s="995">
        <v>0</v>
      </c>
      <c r="U79" s="996">
        <v>0</v>
      </c>
      <c r="V79" s="997">
        <f t="shared" si="172"/>
        <v>0</v>
      </c>
      <c r="W79" s="995"/>
      <c r="X79" s="995"/>
      <c r="Y79" s="995"/>
      <c r="Z79" s="996"/>
      <c r="AA79" s="997">
        <f t="shared" si="173"/>
        <v>0</v>
      </c>
      <c r="AB79" s="999"/>
      <c r="AC79" s="999"/>
      <c r="AD79" s="999"/>
      <c r="AE79" s="998"/>
      <c r="AF79" s="997">
        <f t="shared" si="174"/>
        <v>0</v>
      </c>
      <c r="AG79" s="999"/>
      <c r="AH79" s="999"/>
      <c r="AI79" s="999"/>
      <c r="AJ79" s="998"/>
      <c r="AK79" s="997">
        <f t="shared" si="175"/>
        <v>0</v>
      </c>
      <c r="AL79" s="999">
        <v>-1.89</v>
      </c>
      <c r="AM79" s="999">
        <v>-3.8279999999999998</v>
      </c>
      <c r="AN79" s="999">
        <v>-2.39</v>
      </c>
      <c r="AO79" s="998">
        <v>-1.992</v>
      </c>
      <c r="AP79" s="997">
        <f t="shared" si="176"/>
        <v>-10.100000000000001</v>
      </c>
      <c r="AQ79" s="999">
        <v>-0.79200000000000004</v>
      </c>
      <c r="AR79" s="999">
        <v>-0.62</v>
      </c>
      <c r="AS79" s="999">
        <v>-0.46</v>
      </c>
      <c r="AT79" s="999">
        <v>-1.5349999999999999</v>
      </c>
      <c r="AU79" s="997">
        <f>SUM(AQ79:AT79)</f>
        <v>-3.407</v>
      </c>
      <c r="AV79" s="999">
        <v>-7.6950000000000003</v>
      </c>
      <c r="AW79" s="999">
        <v>-16.076000000000001</v>
      </c>
      <c r="AX79" s="999">
        <v>-16.395</v>
      </c>
      <c r="AY79" s="999">
        <v>-16.786000000000001</v>
      </c>
      <c r="AZ79" s="997">
        <f t="shared" si="178"/>
        <v>-56.951999999999998</v>
      </c>
      <c r="BA79" s="999">
        <v>-17.02</v>
      </c>
      <c r="BB79" s="999">
        <v>-16.727</v>
      </c>
      <c r="BC79" s="999">
        <v>-16.431000000000001</v>
      </c>
      <c r="BD79" s="999">
        <v>-18.100000000000001</v>
      </c>
      <c r="BE79" s="997">
        <f t="shared" si="179"/>
        <v>-68.277999999999992</v>
      </c>
      <c r="BF79" s="999">
        <v>-19.600000000000001</v>
      </c>
      <c r="BG79" s="999">
        <v>-16.629000000000001</v>
      </c>
      <c r="BH79" s="999">
        <v>-17.253</v>
      </c>
      <c r="BI79" s="999">
        <v>-16.766999999999999</v>
      </c>
      <c r="BJ79" s="997">
        <f t="shared" si="180"/>
        <v>-70.248999999999995</v>
      </c>
      <c r="BK79" s="999">
        <v>-16.834</v>
      </c>
      <c r="BL79" s="999">
        <v>-16.747</v>
      </c>
      <c r="BM79" s="999">
        <v>-16.747</v>
      </c>
      <c r="BN79" s="999">
        <v>-16.722000000000001</v>
      </c>
      <c r="BO79" s="1448">
        <f t="shared" si="181"/>
        <v>-67.050000000000011</v>
      </c>
      <c r="BP79" s="999">
        <v>-16.59</v>
      </c>
      <c r="BQ79" s="999">
        <v>-17.103000000000002</v>
      </c>
      <c r="BR79" s="999">
        <v>-13.361000000000001</v>
      </c>
      <c r="BS79" s="999">
        <v>-12.678000000000001</v>
      </c>
      <c r="BT79" s="1448">
        <f t="shared" si="182"/>
        <v>-59.731999999999999</v>
      </c>
      <c r="BU79" s="999">
        <v>-14.545</v>
      </c>
      <c r="BV79" s="999">
        <v>-16.605</v>
      </c>
      <c r="BW79" s="999">
        <v>-16.518999999999998</v>
      </c>
      <c r="BX79" s="999">
        <v>-16.515000000000001</v>
      </c>
      <c r="BY79" s="1448">
        <f t="shared" si="183"/>
        <v>-64.183999999999997</v>
      </c>
      <c r="BZ79" s="999">
        <v>-18.469000000000001</v>
      </c>
      <c r="CA79" s="999">
        <v>-17.173999999999999</v>
      </c>
      <c r="CB79" s="999">
        <f>+-17.281</f>
        <v>-17.280999999999999</v>
      </c>
      <c r="CC79" s="999">
        <f>+-17.518</f>
        <v>-17.518000000000001</v>
      </c>
      <c r="CD79" s="1448">
        <f t="shared" si="184"/>
        <v>-70.442000000000007</v>
      </c>
      <c r="CE79" s="999">
        <f>+-18.13</f>
        <v>-18.13</v>
      </c>
      <c r="CF79" s="999">
        <f>+-18.347</f>
        <v>-18.347000000000001</v>
      </c>
      <c r="CG79" s="999">
        <f>+-18.809</f>
        <v>-18.809000000000001</v>
      </c>
      <c r="CH79" s="999">
        <f>+-19.116</f>
        <v>-19.116</v>
      </c>
      <c r="CI79" s="1448">
        <f t="shared" si="185"/>
        <v>-74.402000000000001</v>
      </c>
      <c r="CJ79" s="999">
        <v>-19.899000000000001</v>
      </c>
      <c r="CK79" s="1000">
        <f>-BS!CK119</f>
        <v>-19.207999999999998</v>
      </c>
      <c r="CL79" s="1000">
        <f>-BS!CL119</f>
        <v>-19.207999999999998</v>
      </c>
      <c r="CM79" s="1000">
        <f>-BS!CM119</f>
        <v>-19.207999999999998</v>
      </c>
      <c r="CN79" s="1026">
        <f t="shared" si="186"/>
        <v>-77.522999999999996</v>
      </c>
      <c r="CO79" s="1000">
        <f>-BS!CO119-0.5</f>
        <v>-19.707999999999998</v>
      </c>
      <c r="CP79" s="1000">
        <f>-BS!CP119-0.5</f>
        <v>-19.707999999999998</v>
      </c>
      <c r="CQ79" s="1000">
        <f>-BS!CQ119-0.5</f>
        <v>-19.707999999999998</v>
      </c>
      <c r="CR79" s="1000">
        <f>-BS!CR119-0.5</f>
        <v>-19.707999999999998</v>
      </c>
      <c r="CS79" s="1026">
        <f t="shared" si="187"/>
        <v>-78.831999999999994</v>
      </c>
      <c r="CT79" s="1000">
        <f>-BS!CT119-0.5</f>
        <v>-19.707999999999998</v>
      </c>
      <c r="CU79" s="1000">
        <f>-BS!CU119-0.5</f>
        <v>-19.707999999999998</v>
      </c>
      <c r="CV79" s="1000">
        <f>-BS!CV119-0.5</f>
        <v>-19.707999999999998</v>
      </c>
      <c r="CW79" s="1000">
        <f>-BS!CW119-0.5</f>
        <v>-19.707999999999998</v>
      </c>
      <c r="CX79" s="1026">
        <f t="shared" si="188"/>
        <v>-78.831999999999994</v>
      </c>
      <c r="DA79" s="850"/>
      <c r="DB79" s="677"/>
      <c r="DC79" s="677"/>
    </row>
    <row r="80" spans="1:107" collapsed="1">
      <c r="A80" s="144" t="s">
        <v>535</v>
      </c>
      <c r="B80" s="214"/>
      <c r="C80" s="146">
        <f>C67+C76</f>
        <v>124.73299999999998</v>
      </c>
      <c r="D80" s="147">
        <f>D67+D76</f>
        <v>126.11200000000005</v>
      </c>
      <c r="E80" s="147">
        <f>E67+E76</f>
        <v>103.155</v>
      </c>
      <c r="F80" s="148">
        <f>F67+F76</f>
        <v>72.688999999999908</v>
      </c>
      <c r="G80" s="149">
        <f t="shared" si="169"/>
        <v>426.68899999999991</v>
      </c>
      <c r="H80" s="147">
        <f>H67+H76</f>
        <v>77.614000000000004</v>
      </c>
      <c r="I80" s="147">
        <f>I67+I76</f>
        <v>99.139000000000053</v>
      </c>
      <c r="J80" s="147">
        <f>J67+J76</f>
        <v>77.152000000000029</v>
      </c>
      <c r="K80" s="148">
        <f>K67+K76</f>
        <v>86.859000000000009</v>
      </c>
      <c r="L80" s="148">
        <f t="shared" si="170"/>
        <v>340.76400000000012</v>
      </c>
      <c r="M80" s="147">
        <f>M67+M76</f>
        <v>84.156999999999954</v>
      </c>
      <c r="N80" s="147">
        <f>N67+N76</f>
        <v>95.345999999999961</v>
      </c>
      <c r="O80" s="147">
        <f>O67+O76</f>
        <v>94.73399999999998</v>
      </c>
      <c r="P80" s="148">
        <f>P67+P76</f>
        <v>118.58599999999996</v>
      </c>
      <c r="Q80" s="149">
        <f t="shared" si="171"/>
        <v>392.82299999999987</v>
      </c>
      <c r="R80" s="147">
        <f>R67+R76</f>
        <v>167.29399999999998</v>
      </c>
      <c r="S80" s="147">
        <f>S67+S76</f>
        <v>146.96599999999998</v>
      </c>
      <c r="T80" s="147">
        <f>T67+T76</f>
        <v>142.65699999999995</v>
      </c>
      <c r="U80" s="148">
        <f>U67+U76</f>
        <v>149.22199999999995</v>
      </c>
      <c r="V80" s="149">
        <f t="shared" si="172"/>
        <v>606.1389999999999</v>
      </c>
      <c r="W80" s="147">
        <f>W67+W76</f>
        <v>178.339</v>
      </c>
      <c r="X80" s="147">
        <f>X67+X76</f>
        <v>190.50899999999996</v>
      </c>
      <c r="Y80" s="147">
        <f>Y67+Y76</f>
        <v>196.00799999999995</v>
      </c>
      <c r="Z80" s="148">
        <f>Z67+Z76</f>
        <v>202.22100000000017</v>
      </c>
      <c r="AA80" s="149">
        <f t="shared" si="173"/>
        <v>767.077</v>
      </c>
      <c r="AB80" s="147">
        <f>AB67+AB76</f>
        <v>267.94300000000004</v>
      </c>
      <c r="AC80" s="147">
        <f>AC67+AC76</f>
        <v>256.99399999999997</v>
      </c>
      <c r="AD80" s="147">
        <f>AD67+AD76</f>
        <v>225.34099999999995</v>
      </c>
      <c r="AE80" s="148">
        <f>AE67+AE76</f>
        <v>273.59100000000001</v>
      </c>
      <c r="AF80" s="149">
        <f t="shared" si="174"/>
        <v>1023.869</v>
      </c>
      <c r="AG80" s="147">
        <f>AG67+AG76</f>
        <v>244.98900000000009</v>
      </c>
      <c r="AH80" s="147">
        <f>AH67+AH76</f>
        <v>302.61700000000002</v>
      </c>
      <c r="AI80" s="147">
        <f>AI67+AI76</f>
        <v>363.5209999999999</v>
      </c>
      <c r="AJ80" s="148">
        <f>AJ67+AJ76</f>
        <v>378.97299999999996</v>
      </c>
      <c r="AK80" s="149">
        <f t="shared" si="175"/>
        <v>1290.0999999999999</v>
      </c>
      <c r="AL80" s="147">
        <f>AL67+AL76</f>
        <v>370.34099999999989</v>
      </c>
      <c r="AM80" s="147">
        <f>AM67+AM76</f>
        <v>357.959</v>
      </c>
      <c r="AN80" s="147">
        <f>AN67+AN76</f>
        <v>358.86699999999996</v>
      </c>
      <c r="AO80" s="148">
        <f>AO67+AO76</f>
        <v>381.94000000000005</v>
      </c>
      <c r="AP80" s="149">
        <f t="shared" si="176"/>
        <v>1469.107</v>
      </c>
      <c r="AQ80" s="147">
        <f t="shared" ref="AQ80:AY80" si="189">AQ67+AQ76</f>
        <v>307.46699999999993</v>
      </c>
      <c r="AR80" s="147">
        <f t="shared" si="189"/>
        <v>241.87800000000001</v>
      </c>
      <c r="AS80" s="147">
        <f t="shared" si="189"/>
        <v>243.29600000000011</v>
      </c>
      <c r="AT80" s="147">
        <f t="shared" si="189"/>
        <v>270.27799999999996</v>
      </c>
      <c r="AU80" s="149">
        <f t="shared" si="189"/>
        <v>1062.9189999999999</v>
      </c>
      <c r="AV80" s="147">
        <f>AV67+AV76</f>
        <v>282.202</v>
      </c>
      <c r="AW80" s="147">
        <f t="shared" si="189"/>
        <v>312.07699999999988</v>
      </c>
      <c r="AX80" s="147">
        <f t="shared" si="189"/>
        <v>376.15200000000004</v>
      </c>
      <c r="AY80" s="147">
        <f t="shared" si="189"/>
        <v>378.36599999999987</v>
      </c>
      <c r="AZ80" s="149">
        <f t="shared" si="178"/>
        <v>1348.7969999999998</v>
      </c>
      <c r="BA80" s="147">
        <f>BA67+BA76</f>
        <v>382.27300000000014</v>
      </c>
      <c r="BB80" s="147">
        <f>BB67+BB76</f>
        <v>358.86399999999998</v>
      </c>
      <c r="BC80" s="147">
        <f>BC67+BC76</f>
        <v>349.70399999999995</v>
      </c>
      <c r="BD80" s="147">
        <f>BD67+BD76</f>
        <v>426.46299999999985</v>
      </c>
      <c r="BE80" s="149">
        <f t="shared" si="179"/>
        <v>1517.3040000000001</v>
      </c>
      <c r="BF80" s="147">
        <f>BF67+BF76</f>
        <v>366.98299999999995</v>
      </c>
      <c r="BG80" s="147">
        <f>BG67+BG76</f>
        <v>386.60000000000008</v>
      </c>
      <c r="BH80" s="147">
        <f>BH67+BH76</f>
        <v>375.9729999999999</v>
      </c>
      <c r="BI80" s="147">
        <f>BI67+BI76</f>
        <v>397.08799999999985</v>
      </c>
      <c r="BJ80" s="149">
        <f t="shared" si="180"/>
        <v>1526.6439999999998</v>
      </c>
      <c r="BK80" s="147">
        <f>BK67+BK76</f>
        <v>225.07699999999997</v>
      </c>
      <c r="BL80" s="147">
        <f>BL67+BL76</f>
        <v>232.27799999999991</v>
      </c>
      <c r="BM80" s="147">
        <f>BM67+BM76</f>
        <v>208.01199999999994</v>
      </c>
      <c r="BN80" s="148">
        <f>BN67+BN76</f>
        <v>208.36199999999991</v>
      </c>
      <c r="BO80" s="1436">
        <f t="shared" si="181"/>
        <v>873.72899999999981</v>
      </c>
      <c r="BP80" s="147">
        <f>BP67+BP76</f>
        <v>191.51599999999991</v>
      </c>
      <c r="BQ80" s="147">
        <f>BQ67+BQ76</f>
        <v>235.80400000000017</v>
      </c>
      <c r="BR80" s="147">
        <f>BR67+BR76</f>
        <v>177.97800000000009</v>
      </c>
      <c r="BS80" s="148">
        <f>BS67+BS76</f>
        <v>228.12899999999999</v>
      </c>
      <c r="BT80" s="1436">
        <f t="shared" si="182"/>
        <v>833.42700000000013</v>
      </c>
      <c r="BU80" s="147">
        <f>BU67+BU76</f>
        <v>283.94500000000005</v>
      </c>
      <c r="BV80" s="147">
        <f>BV67+BV76</f>
        <v>306.26599999999996</v>
      </c>
      <c r="BW80" s="147">
        <f>BW67+BW76</f>
        <v>348.62799999999993</v>
      </c>
      <c r="BX80" s="148">
        <f>BX67+BX76</f>
        <v>394.67399999999969</v>
      </c>
      <c r="BY80" s="1436">
        <f t="shared" si="183"/>
        <v>1333.5129999999997</v>
      </c>
      <c r="BZ80" s="147">
        <f>BZ67+BZ76</f>
        <v>421.0510000000001</v>
      </c>
      <c r="CA80" s="147">
        <f>CA67+CA76</f>
        <v>452.47300000000018</v>
      </c>
      <c r="CB80" s="147">
        <f>CB67+CB76</f>
        <v>476.58300000000014</v>
      </c>
      <c r="CC80" s="147">
        <f>CC67+CC76</f>
        <v>572.70999999999992</v>
      </c>
      <c r="CD80" s="1436">
        <f t="shared" si="184"/>
        <v>1922.8170000000005</v>
      </c>
      <c r="CE80" s="147">
        <f>CE67+CE76</f>
        <v>597.10299999999995</v>
      </c>
      <c r="CF80" s="147">
        <f>CF67+CF76</f>
        <v>646.00900000000001</v>
      </c>
      <c r="CG80" s="147">
        <f>CG67+CG76</f>
        <v>695.03200000000004</v>
      </c>
      <c r="CH80" s="147">
        <f>CH67+CH76</f>
        <v>797.70599999999979</v>
      </c>
      <c r="CI80" s="1436">
        <f t="shared" si="185"/>
        <v>2735.85</v>
      </c>
      <c r="CJ80" s="147">
        <f>CJ67+CJ76</f>
        <v>866.73200000000008</v>
      </c>
      <c r="CK80" s="150">
        <f>CK67+CK76</f>
        <v>896.58456218791491</v>
      </c>
      <c r="CL80" s="150">
        <f>CL67+CL76</f>
        <v>925.43782434355182</v>
      </c>
      <c r="CM80" s="151">
        <f>CM67+CM76</f>
        <v>974.441194088364</v>
      </c>
      <c r="CN80" s="1230">
        <f t="shared" si="186"/>
        <v>3663.1955806198312</v>
      </c>
      <c r="CO80" s="150">
        <f>CO67+CO76</f>
        <v>1049.7041684172216</v>
      </c>
      <c r="CP80" s="150">
        <f>CP67+CP76</f>
        <v>1086.6218277792436</v>
      </c>
      <c r="CQ80" s="150">
        <f>CQ67+CQ76</f>
        <v>1125.6404560510211</v>
      </c>
      <c r="CR80" s="151">
        <f>CR67+CR76</f>
        <v>1190.271881519845</v>
      </c>
      <c r="CS80" s="1230">
        <f t="shared" si="187"/>
        <v>4452.2383337673309</v>
      </c>
      <c r="CT80" s="150">
        <f>CT67+CT76</f>
        <v>1262.165514123448</v>
      </c>
      <c r="CU80" s="150">
        <f>CU67+CU76</f>
        <v>1312.1558573362684</v>
      </c>
      <c r="CV80" s="150">
        <f>CV67+CV76</f>
        <v>1349.4241493923869</v>
      </c>
      <c r="CW80" s="151">
        <f>CW67+CW76</f>
        <v>1415.8409749438035</v>
      </c>
      <c r="CX80" s="1230">
        <f t="shared" si="188"/>
        <v>5339.5864957959066</v>
      </c>
      <c r="DA80" s="174"/>
      <c r="DB80" s="173"/>
      <c r="DC80" s="173"/>
    </row>
    <row r="81" spans="1:107">
      <c r="A81" s="144" t="s">
        <v>536</v>
      </c>
      <c r="B81" s="214"/>
      <c r="C81" s="289">
        <v>41.161999999999999</v>
      </c>
      <c r="D81" s="289">
        <v>41.616999999999997</v>
      </c>
      <c r="E81" s="289">
        <v>34.040999999999997</v>
      </c>
      <c r="F81" s="290">
        <v>23.986999999999998</v>
      </c>
      <c r="G81" s="149">
        <f t="shared" si="169"/>
        <v>140.80699999999999</v>
      </c>
      <c r="H81" s="289">
        <v>24.835999999999999</v>
      </c>
      <c r="I81" s="289">
        <v>31.724</v>
      </c>
      <c r="J81" s="289">
        <v>24.689</v>
      </c>
      <c r="K81" s="290">
        <v>27.795000000000002</v>
      </c>
      <c r="L81" s="148">
        <f t="shared" si="170"/>
        <v>109.044</v>
      </c>
      <c r="M81" s="289">
        <v>29.931999999999952</v>
      </c>
      <c r="N81" s="289">
        <v>31.1</v>
      </c>
      <c r="O81" s="289">
        <v>30.648999999999987</v>
      </c>
      <c r="P81" s="290">
        <v>35.341999999999999</v>
      </c>
      <c r="Q81" s="149">
        <f t="shared" si="171"/>
        <v>127.02299999999994</v>
      </c>
      <c r="R81" s="289">
        <v>43.496000000000009</v>
      </c>
      <c r="S81" s="289">
        <v>38.210999999999984</v>
      </c>
      <c r="T81" s="289">
        <v>37.090000000000003</v>
      </c>
      <c r="U81" s="290">
        <v>38.798000000000002</v>
      </c>
      <c r="V81" s="149">
        <f t="shared" si="172"/>
        <v>157.595</v>
      </c>
      <c r="W81" s="289">
        <v>44.585000000000001</v>
      </c>
      <c r="X81" s="289">
        <v>47.62700000000001</v>
      </c>
      <c r="Y81" s="289">
        <v>49.564999999999998</v>
      </c>
      <c r="Z81" s="290">
        <v>50.747000000000014</v>
      </c>
      <c r="AA81" s="149">
        <f t="shared" si="173"/>
        <v>192.52400000000003</v>
      </c>
      <c r="AB81" s="147">
        <v>69.536999999999978</v>
      </c>
      <c r="AC81" s="147">
        <v>67.58899999999997</v>
      </c>
      <c r="AD81" s="147">
        <v>53.851999999999997</v>
      </c>
      <c r="AE81" s="148">
        <v>76.605000000000004</v>
      </c>
      <c r="AF81" s="149">
        <f t="shared" si="174"/>
        <v>267.58299999999997</v>
      </c>
      <c r="AG81" s="147">
        <v>62.671999999999997</v>
      </c>
      <c r="AH81" s="147">
        <v>79.402000000000015</v>
      </c>
      <c r="AI81" s="147">
        <v>94.152000000000001</v>
      </c>
      <c r="AJ81" s="148">
        <v>89.361999999999995</v>
      </c>
      <c r="AK81" s="149">
        <f t="shared" si="175"/>
        <v>325.58799999999997</v>
      </c>
      <c r="AL81" s="147">
        <v>97.4</v>
      </c>
      <c r="AM81" s="147">
        <f>AM82*AM80</f>
        <v>85.221000000000004</v>
      </c>
      <c r="AN81" s="147">
        <v>89.760999999999996</v>
      </c>
      <c r="AO81" s="148">
        <v>61.033999999999999</v>
      </c>
      <c r="AP81" s="149">
        <f t="shared" si="176"/>
        <v>333.416</v>
      </c>
      <c r="AQ81" s="147">
        <v>70.716999999999999</v>
      </c>
      <c r="AR81" s="1229">
        <f>19.182+37.659</f>
        <v>56.840999999999994</v>
      </c>
      <c r="AS81" s="147">
        <f>38.371+18.804</f>
        <v>57.174999999999997</v>
      </c>
      <c r="AT81" s="147">
        <f>AT106-128.74</f>
        <v>63.514999999999986</v>
      </c>
      <c r="AU81" s="149">
        <f>SUM(AQ81:AT81)</f>
        <v>248.24799999999999</v>
      </c>
      <c r="AV81" s="147">
        <f>AV80*AV82</f>
        <v>70.5505</v>
      </c>
      <c r="AW81" s="147">
        <f>AW80*AW82</f>
        <v>78.019249999999971</v>
      </c>
      <c r="AX81" s="1229">
        <f>92.2</f>
        <v>92.2</v>
      </c>
      <c r="AY81" s="147">
        <f>17.161+75.5</f>
        <v>92.661000000000001</v>
      </c>
      <c r="AZ81" s="149">
        <f t="shared" si="178"/>
        <v>333.43074999999999</v>
      </c>
      <c r="BA81" s="147">
        <f>84.1</f>
        <v>84.1</v>
      </c>
      <c r="BB81" s="1229">
        <v>78.900000000000006</v>
      </c>
      <c r="BC81" s="147">
        <f>61.618+15.326</f>
        <v>76.944000000000003</v>
      </c>
      <c r="BD81" s="147">
        <f>59.461+34.3</f>
        <v>93.760999999999996</v>
      </c>
      <c r="BE81" s="149">
        <f t="shared" si="179"/>
        <v>333.70500000000004</v>
      </c>
      <c r="BF81" s="147">
        <v>82.5</v>
      </c>
      <c r="BG81" s="1229">
        <v>87</v>
      </c>
      <c r="BH81" s="1229">
        <v>84.6</v>
      </c>
      <c r="BI81" s="1229">
        <v>89.3</v>
      </c>
      <c r="BJ81" s="149">
        <f t="shared" si="180"/>
        <v>343.4</v>
      </c>
      <c r="BK81" s="147">
        <v>47.2</v>
      </c>
      <c r="BL81" s="1229">
        <f>14.581+33.915</f>
        <v>48.495999999999995</v>
      </c>
      <c r="BM81" s="1229">
        <v>43.6</v>
      </c>
      <c r="BN81" s="148">
        <v>43.8</v>
      </c>
      <c r="BO81" s="1436">
        <f t="shared" si="181"/>
        <v>183.096</v>
      </c>
      <c r="BP81" s="147">
        <v>40.200000000000003</v>
      </c>
      <c r="BQ81" s="1229">
        <f>32.744+16.771</f>
        <v>49.515000000000001</v>
      </c>
      <c r="BR81" s="1229">
        <f>18.252+19.114</f>
        <v>37.366</v>
      </c>
      <c r="BS81" s="148">
        <v>47.9</v>
      </c>
      <c r="BT81" s="1436">
        <f t="shared" si="182"/>
        <v>174.98099999999999</v>
      </c>
      <c r="BU81" s="147">
        <v>59.6</v>
      </c>
      <c r="BV81" s="1229">
        <f>33.481+30.829</f>
        <v>64.31</v>
      </c>
      <c r="BW81" s="1229">
        <f>15.051+58.154</f>
        <v>73.204999999999998</v>
      </c>
      <c r="BX81" s="148">
        <f>74.2+8.674</f>
        <v>82.873999999999995</v>
      </c>
      <c r="BY81" s="1436">
        <f t="shared" si="183"/>
        <v>279.98900000000003</v>
      </c>
      <c r="BZ81" s="147">
        <v>88.4</v>
      </c>
      <c r="CA81" s="147">
        <v>95</v>
      </c>
      <c r="CB81" s="147">
        <f>85.513+14.569</f>
        <v>100.08200000000001</v>
      </c>
      <c r="CC81" s="147">
        <f>57.087+63.118</f>
        <v>120.20500000000001</v>
      </c>
      <c r="CD81" s="1436">
        <f t="shared" si="184"/>
        <v>403.68700000000001</v>
      </c>
      <c r="CE81" s="147">
        <f>62.186+63.209</f>
        <v>125.39500000000001</v>
      </c>
      <c r="CF81" s="147">
        <f>118.228+17.419</f>
        <v>135.64699999999999</v>
      </c>
      <c r="CG81" s="147">
        <f>121.81+24.146</f>
        <v>145.95600000000002</v>
      </c>
      <c r="CH81" s="147">
        <f>141.463+25.982</f>
        <v>167.44499999999999</v>
      </c>
      <c r="CI81" s="1436">
        <f t="shared" si="185"/>
        <v>574.44299999999998</v>
      </c>
      <c r="CJ81" s="147">
        <f>119.426-25</f>
        <v>94.426000000000002</v>
      </c>
      <c r="CK81" s="150">
        <f>CK82*CK80</f>
        <v>97.678283332282703</v>
      </c>
      <c r="CL81" s="150">
        <f>CL82*CL80</f>
        <v>100.8216980582974</v>
      </c>
      <c r="CM81" s="151">
        <f>CM82*CM80</f>
        <v>106.16036351835153</v>
      </c>
      <c r="CN81" s="1230">
        <f t="shared" si="186"/>
        <v>399.08634490893161</v>
      </c>
      <c r="CO81" s="150">
        <f>CO82*CO80</f>
        <v>188.94675031509988</v>
      </c>
      <c r="CP81" s="150">
        <f>CP82*CP80</f>
        <v>195.59192900026386</v>
      </c>
      <c r="CQ81" s="150">
        <f>CQ82*CQ80</f>
        <v>202.61528208918381</v>
      </c>
      <c r="CR81" s="151">
        <f>CR82*CR80</f>
        <v>214.2489386735721</v>
      </c>
      <c r="CS81" s="1230">
        <f t="shared" si="187"/>
        <v>801.40290007811961</v>
      </c>
      <c r="CT81" s="150">
        <f>CT82*CT80</f>
        <v>227.18979254222063</v>
      </c>
      <c r="CU81" s="150">
        <f>CU82*CU80</f>
        <v>236.18805432052829</v>
      </c>
      <c r="CV81" s="150">
        <f>CV82*CV80</f>
        <v>242.89634689062962</v>
      </c>
      <c r="CW81" s="151">
        <f>CW82*CW80</f>
        <v>254.85137548988462</v>
      </c>
      <c r="CX81" s="1230">
        <f t="shared" si="188"/>
        <v>961.12556924326316</v>
      </c>
      <c r="DA81" s="174"/>
      <c r="DB81" s="173"/>
      <c r="DC81" s="173"/>
    </row>
    <row r="82" spans="1:107">
      <c r="A82" s="665" t="s">
        <v>537</v>
      </c>
      <c r="B82" s="272"/>
      <c r="C82" s="216">
        <f t="shared" ref="C82:AL82" si="190">C81/C80</f>
        <v>0.33000088188370363</v>
      </c>
      <c r="D82" s="162">
        <f t="shared" si="190"/>
        <v>0.33000031717838096</v>
      </c>
      <c r="E82" s="162">
        <f t="shared" si="190"/>
        <v>0.32999854587756283</v>
      </c>
      <c r="F82" s="161">
        <f t="shared" si="190"/>
        <v>0.32999490982129387</v>
      </c>
      <c r="G82" s="163">
        <f t="shared" si="190"/>
        <v>0.32999913285788951</v>
      </c>
      <c r="H82" s="162">
        <f t="shared" si="190"/>
        <v>0.31999381554874118</v>
      </c>
      <c r="I82" s="162">
        <f t="shared" si="190"/>
        <v>0.3199951583130754</v>
      </c>
      <c r="J82" s="162">
        <f t="shared" si="190"/>
        <v>0.32000466611364564</v>
      </c>
      <c r="K82" s="161">
        <f t="shared" si="190"/>
        <v>0.32000138154940766</v>
      </c>
      <c r="L82" s="161">
        <f t="shared" si="190"/>
        <v>0.31999859140049991</v>
      </c>
      <c r="M82" s="162">
        <f t="shared" si="190"/>
        <v>0.35566857183597289</v>
      </c>
      <c r="N82" s="162">
        <f t="shared" si="190"/>
        <v>0.32618043756423987</v>
      </c>
      <c r="O82" s="162">
        <f t="shared" si="190"/>
        <v>0.32352692803006305</v>
      </c>
      <c r="P82" s="161">
        <f t="shared" si="190"/>
        <v>0.29802843505978793</v>
      </c>
      <c r="Q82" s="163">
        <f t="shared" si="190"/>
        <v>0.32335937559664274</v>
      </c>
      <c r="R82" s="162">
        <f t="shared" si="190"/>
        <v>0.25999736989969763</v>
      </c>
      <c r="S82" s="162">
        <f t="shared" si="190"/>
        <v>0.2599989113128206</v>
      </c>
      <c r="T82" s="162">
        <f t="shared" si="190"/>
        <v>0.25999425194697784</v>
      </c>
      <c r="U82" s="186">
        <f t="shared" si="190"/>
        <v>0.26000187639892253</v>
      </c>
      <c r="V82" s="291">
        <f t="shared" si="190"/>
        <v>0.25999811924327593</v>
      </c>
      <c r="W82" s="162">
        <f t="shared" si="190"/>
        <v>0.25000140182461494</v>
      </c>
      <c r="X82" s="162">
        <f t="shared" si="190"/>
        <v>0.24999868772603931</v>
      </c>
      <c r="Y82" s="162">
        <f t="shared" si="190"/>
        <v>0.2528723317415616</v>
      </c>
      <c r="Z82" s="161">
        <f t="shared" si="190"/>
        <v>0.25094822001671424</v>
      </c>
      <c r="AA82" s="291">
        <f t="shared" si="190"/>
        <v>0.25098392990534202</v>
      </c>
      <c r="AB82" s="162">
        <f t="shared" si="190"/>
        <v>0.25952161467177709</v>
      </c>
      <c r="AC82" s="162">
        <f t="shared" si="190"/>
        <v>0.26299835793831755</v>
      </c>
      <c r="AD82" s="162">
        <f t="shared" si="190"/>
        <v>0.23898003470296134</v>
      </c>
      <c r="AE82" s="161">
        <f t="shared" si="190"/>
        <v>0.27999824555632313</v>
      </c>
      <c r="AF82" s="291">
        <f t="shared" si="190"/>
        <v>0.26134495721620632</v>
      </c>
      <c r="AG82" s="162">
        <f t="shared" si="190"/>
        <v>0.25581556722954896</v>
      </c>
      <c r="AH82" s="185">
        <f t="shared" si="190"/>
        <v>0.26238446617341393</v>
      </c>
      <c r="AI82" s="185">
        <f t="shared" si="190"/>
        <v>0.25900016780323565</v>
      </c>
      <c r="AJ82" s="186">
        <f t="shared" si="190"/>
        <v>0.23580043960915423</v>
      </c>
      <c r="AK82" s="291">
        <f t="shared" si="190"/>
        <v>0.25237423455546082</v>
      </c>
      <c r="AL82" s="185">
        <f t="shared" si="190"/>
        <v>0.26300085596787837</v>
      </c>
      <c r="AM82" s="164">
        <v>0.23807475157769467</v>
      </c>
      <c r="AN82" s="164">
        <f t="shared" ref="AN82:BW82" si="191">AN81/AN80</f>
        <v>0.25012330473406585</v>
      </c>
      <c r="AO82" s="186">
        <f t="shared" si="191"/>
        <v>0.15979996858145257</v>
      </c>
      <c r="AP82" s="291">
        <f t="shared" si="191"/>
        <v>0.22695147460327941</v>
      </c>
      <c r="AQ82" s="185">
        <f t="shared" si="191"/>
        <v>0.22999866652356193</v>
      </c>
      <c r="AR82" s="185">
        <f t="shared" si="191"/>
        <v>0.23499863567583654</v>
      </c>
      <c r="AS82" s="185">
        <f t="shared" si="191"/>
        <v>0.23500180849664595</v>
      </c>
      <c r="AT82" s="185">
        <f t="shared" si="191"/>
        <v>0.23499877903491959</v>
      </c>
      <c r="AU82" s="291">
        <f t="shared" si="191"/>
        <v>0.23355307412888474</v>
      </c>
      <c r="AV82" s="185">
        <v>0.25</v>
      </c>
      <c r="AW82" s="185">
        <v>0.25</v>
      </c>
      <c r="AX82" s="185">
        <f>AX81/AX80</f>
        <v>0.24511367744954166</v>
      </c>
      <c r="AY82" s="185">
        <f>AY81/AY80</f>
        <v>0.24489779737079978</v>
      </c>
      <c r="AZ82" s="291">
        <f t="shared" si="191"/>
        <v>0.24720602877972003</v>
      </c>
      <c r="BA82" s="185">
        <f t="shared" si="191"/>
        <v>0.21999984304410714</v>
      </c>
      <c r="BB82" s="185">
        <f t="shared" si="191"/>
        <v>0.21986044852646131</v>
      </c>
      <c r="BC82" s="185">
        <f t="shared" si="191"/>
        <v>0.22002607919840783</v>
      </c>
      <c r="BD82" s="185">
        <f t="shared" si="191"/>
        <v>0.21985729125387204</v>
      </c>
      <c r="BE82" s="291">
        <f>BE81/BE80</f>
        <v>0.21993285458945605</v>
      </c>
      <c r="BF82" s="164">
        <f t="shared" si="191"/>
        <v>0.22480605368641057</v>
      </c>
      <c r="BG82" s="164">
        <f t="shared" si="191"/>
        <v>0.22503879979306773</v>
      </c>
      <c r="BH82" s="164">
        <f t="shared" si="191"/>
        <v>0.22501615807518097</v>
      </c>
      <c r="BI82" s="164">
        <f t="shared" si="191"/>
        <v>0.22488717866064961</v>
      </c>
      <c r="BJ82" s="291">
        <f>BJ81/BJ80</f>
        <v>0.22493783750501101</v>
      </c>
      <c r="BK82" s="164">
        <f t="shared" si="191"/>
        <v>0.20970601172043349</v>
      </c>
      <c r="BL82" s="164">
        <f t="shared" si="191"/>
        <v>0.2087843015696709</v>
      </c>
      <c r="BM82" s="164">
        <f t="shared" si="191"/>
        <v>0.20960329211776249</v>
      </c>
      <c r="BN82" s="164">
        <f t="shared" si="191"/>
        <v>0.21021107495608612</v>
      </c>
      <c r="BO82" s="1449">
        <f>BO81/BO80</f>
        <v>0.2095569678927906</v>
      </c>
      <c r="BP82" s="185">
        <f t="shared" si="191"/>
        <v>0.20990413333611824</v>
      </c>
      <c r="BQ82" s="185">
        <f t="shared" si="191"/>
        <v>0.20998371528896864</v>
      </c>
      <c r="BR82" s="185">
        <f t="shared" si="191"/>
        <v>0.20994729685691479</v>
      </c>
      <c r="BS82" s="185">
        <f t="shared" si="191"/>
        <v>0.20996892109289042</v>
      </c>
      <c r="BT82" s="1449">
        <f>BT81/BT80</f>
        <v>0.20995360121522336</v>
      </c>
      <c r="BU82" s="185">
        <f t="shared" si="191"/>
        <v>0.20989980453961152</v>
      </c>
      <c r="BV82" s="185">
        <f t="shared" si="191"/>
        <v>0.20998086630576038</v>
      </c>
      <c r="BW82" s="185">
        <f t="shared" si="191"/>
        <v>0.20998026549789464</v>
      </c>
      <c r="BX82" s="185">
        <f t="shared" ref="BX82:CJ82" si="192">BX81/BX80</f>
        <v>0.20998089562525035</v>
      </c>
      <c r="BY82" s="1449">
        <f t="shared" si="192"/>
        <v>0.20996345742411218</v>
      </c>
      <c r="BZ82" s="164">
        <f t="shared" si="192"/>
        <v>0.20995081355940251</v>
      </c>
      <c r="CA82" s="164">
        <f t="shared" si="192"/>
        <v>0.20995727921887045</v>
      </c>
      <c r="CB82" s="164">
        <f t="shared" si="192"/>
        <v>0.2099990977437298</v>
      </c>
      <c r="CC82" s="164">
        <f t="shared" si="192"/>
        <v>0.20988807598959339</v>
      </c>
      <c r="CD82" s="1449">
        <f t="shared" si="192"/>
        <v>0.20994561624949223</v>
      </c>
      <c r="CE82" s="164">
        <f t="shared" si="192"/>
        <v>0.21000564391738114</v>
      </c>
      <c r="CF82" s="164">
        <f t="shared" si="192"/>
        <v>0.20997695078551534</v>
      </c>
      <c r="CG82" s="164">
        <f t="shared" si="192"/>
        <v>0.2099989640764742</v>
      </c>
      <c r="CH82" s="164">
        <f t="shared" si="192"/>
        <v>0.20990816165354156</v>
      </c>
      <c r="CI82" s="1449">
        <f>CI81/CI80</f>
        <v>0.20996874828663853</v>
      </c>
      <c r="CJ82" s="164">
        <f t="shared" si="192"/>
        <v>0.10894486415639436</v>
      </c>
      <c r="CK82" s="292">
        <f>CJ82</f>
        <v>0.10894486415639436</v>
      </c>
      <c r="CL82" s="292">
        <f>CK82</f>
        <v>0.10894486415639436</v>
      </c>
      <c r="CM82" s="292">
        <f>CL82</f>
        <v>0.10894486415639436</v>
      </c>
      <c r="CN82" s="1132">
        <f>CN81/CN80</f>
        <v>0.10894486415639434</v>
      </c>
      <c r="CO82" s="292">
        <v>0.18</v>
      </c>
      <c r="CP82" s="292">
        <f>CO82</f>
        <v>0.18</v>
      </c>
      <c r="CQ82" s="292">
        <f>CP82</f>
        <v>0.18</v>
      </c>
      <c r="CR82" s="292">
        <f>CQ82</f>
        <v>0.18</v>
      </c>
      <c r="CS82" s="1132">
        <f>CS81/CS80</f>
        <v>0.18000000000000002</v>
      </c>
      <c r="CT82" s="292">
        <f>CR82</f>
        <v>0.18</v>
      </c>
      <c r="CU82" s="292">
        <f>CT82</f>
        <v>0.18</v>
      </c>
      <c r="CV82" s="292">
        <f>CU82</f>
        <v>0.18</v>
      </c>
      <c r="CW82" s="292">
        <f>CV82</f>
        <v>0.18</v>
      </c>
      <c r="CX82" s="1132">
        <f>CX81/CX80</f>
        <v>0.18</v>
      </c>
      <c r="DA82" s="171"/>
      <c r="DB82" s="170"/>
      <c r="DC82" s="170"/>
    </row>
    <row r="83" spans="1:107" ht="6" customHeight="1">
      <c r="A83" s="144"/>
      <c r="B83" s="214"/>
      <c r="C83" s="146"/>
      <c r="D83" s="147"/>
      <c r="E83" s="147"/>
      <c r="F83" s="148"/>
      <c r="G83" s="149"/>
      <c r="H83" s="147"/>
      <c r="I83" s="147"/>
      <c r="J83" s="147"/>
      <c r="K83" s="148"/>
      <c r="L83" s="148"/>
      <c r="M83" s="147"/>
      <c r="N83" s="147"/>
      <c r="O83" s="147"/>
      <c r="P83" s="148"/>
      <c r="Q83" s="149"/>
      <c r="R83" s="147"/>
      <c r="S83" s="147"/>
      <c r="T83" s="147"/>
      <c r="U83" s="148"/>
      <c r="V83" s="149"/>
      <c r="W83" s="147"/>
      <c r="X83" s="147"/>
      <c r="Y83" s="147"/>
      <c r="Z83" s="148"/>
      <c r="AA83" s="149"/>
      <c r="AB83" s="147"/>
      <c r="AC83" s="147"/>
      <c r="AD83" s="147"/>
      <c r="AE83" s="148"/>
      <c r="AF83" s="149"/>
      <c r="AG83" s="147"/>
      <c r="AH83" s="452"/>
      <c r="AI83" s="147"/>
      <c r="AJ83" s="148"/>
      <c r="AK83" s="149"/>
      <c r="AL83" s="147"/>
      <c r="AM83" s="452"/>
      <c r="AN83" s="147"/>
      <c r="AO83" s="148"/>
      <c r="AP83" s="149"/>
      <c r="AQ83" s="147"/>
      <c r="AR83" s="1117"/>
      <c r="AS83" s="324"/>
      <c r="AT83" s="324"/>
      <c r="AU83" s="318"/>
      <c r="AV83" s="147"/>
      <c r="AW83" s="1117"/>
      <c r="AX83" s="1117"/>
      <c r="AY83" s="324"/>
      <c r="AZ83" s="318"/>
      <c r="BA83" s="147"/>
      <c r="BB83" s="1117"/>
      <c r="BC83" s="324"/>
      <c r="BD83" s="324"/>
      <c r="BE83" s="318"/>
      <c r="BF83" s="147"/>
      <c r="BG83" s="1117"/>
      <c r="BH83" s="1117"/>
      <c r="BI83" s="1117"/>
      <c r="BJ83" s="318"/>
      <c r="BK83" s="147"/>
      <c r="BL83" s="1117"/>
      <c r="BM83" s="1117"/>
      <c r="BN83" s="319"/>
      <c r="BO83" s="1450"/>
      <c r="BP83" s="147"/>
      <c r="BQ83" s="1117"/>
      <c r="BR83" s="1117"/>
      <c r="BS83" s="319"/>
      <c r="BT83" s="1450"/>
      <c r="BU83" s="147"/>
      <c r="BV83" s="1117"/>
      <c r="BW83" s="1117"/>
      <c r="BX83" s="319"/>
      <c r="BY83" s="1450"/>
      <c r="BZ83" s="325"/>
      <c r="CA83" s="325"/>
      <c r="CB83" s="325"/>
      <c r="CC83" s="319"/>
      <c r="CD83" s="1450"/>
      <c r="CE83" s="324"/>
      <c r="CF83" s="324"/>
      <c r="CG83" s="324"/>
      <c r="CH83" s="319"/>
      <c r="CI83" s="1450"/>
      <c r="CJ83" s="324"/>
      <c r="CK83" s="325"/>
      <c r="CL83" s="325"/>
      <c r="CM83" s="326"/>
      <c r="CN83" s="1133"/>
      <c r="CO83" s="325"/>
      <c r="CP83" s="325"/>
      <c r="CQ83" s="325"/>
      <c r="CR83" s="326"/>
      <c r="CS83" s="1133"/>
      <c r="CT83" s="325"/>
      <c r="CU83" s="325"/>
      <c r="CV83" s="325"/>
      <c r="CW83" s="326"/>
      <c r="CX83" s="1133"/>
      <c r="DA83" s="174"/>
      <c r="DB83" s="173"/>
      <c r="DC83" s="173"/>
    </row>
    <row r="84" spans="1:107">
      <c r="A84" s="144" t="s">
        <v>538</v>
      </c>
      <c r="B84" s="214"/>
      <c r="C84" s="146">
        <f>C80-C81</f>
        <v>83.57099999999997</v>
      </c>
      <c r="D84" s="147">
        <f>D80-D81</f>
        <v>84.495000000000061</v>
      </c>
      <c r="E84" s="147">
        <f>E80-E81</f>
        <v>69.114000000000004</v>
      </c>
      <c r="F84" s="148">
        <f>F80-F81</f>
        <v>48.701999999999913</v>
      </c>
      <c r="G84" s="149">
        <f>SUM(C84:F84)</f>
        <v>285.88199999999995</v>
      </c>
      <c r="H84" s="452">
        <f>H80-H81</f>
        <v>52.778000000000006</v>
      </c>
      <c r="I84" s="452">
        <f>I80-I81</f>
        <v>67.415000000000049</v>
      </c>
      <c r="J84" s="147">
        <f>J80-J81</f>
        <v>52.463000000000029</v>
      </c>
      <c r="K84" s="148">
        <f>K80-K81</f>
        <v>59.064000000000007</v>
      </c>
      <c r="L84" s="148">
        <f>SUM(H84:K84)</f>
        <v>231.72000000000008</v>
      </c>
      <c r="M84" s="147">
        <f>M80-M81</f>
        <v>54.225000000000001</v>
      </c>
      <c r="N84" s="147">
        <f>N80-N81</f>
        <v>64.245999999999952</v>
      </c>
      <c r="O84" s="147">
        <f>O80-O81</f>
        <v>64.084999999999994</v>
      </c>
      <c r="P84" s="148">
        <f>P80-P81</f>
        <v>83.243999999999957</v>
      </c>
      <c r="Q84" s="149">
        <f>SUM(M84:P84)</f>
        <v>265.7999999999999</v>
      </c>
      <c r="R84" s="452">
        <f>R80-R81</f>
        <v>123.79799999999997</v>
      </c>
      <c r="S84" s="147">
        <f>S80-S81</f>
        <v>108.755</v>
      </c>
      <c r="T84" s="147">
        <f>T80-T81</f>
        <v>105.56699999999995</v>
      </c>
      <c r="U84" s="148">
        <f>U80-U81</f>
        <v>110.42399999999995</v>
      </c>
      <c r="V84" s="149">
        <f>SUM(R84:U84)</f>
        <v>448.54399999999987</v>
      </c>
      <c r="W84" s="147">
        <f>W80-W81</f>
        <v>133.75399999999999</v>
      </c>
      <c r="X84" s="147">
        <f>X80-X81</f>
        <v>142.88199999999995</v>
      </c>
      <c r="Y84" s="147">
        <f>Y80-Y81</f>
        <v>146.44299999999996</v>
      </c>
      <c r="Z84" s="148">
        <f>Z80-Z81</f>
        <v>151.47400000000016</v>
      </c>
      <c r="AA84" s="149">
        <f>SUM(W84:Z84)</f>
        <v>574.55300000000011</v>
      </c>
      <c r="AB84" s="147">
        <f>AB80-AB81</f>
        <v>198.40600000000006</v>
      </c>
      <c r="AC84" s="147">
        <f>AC80-AC81</f>
        <v>189.405</v>
      </c>
      <c r="AD84" s="147">
        <f>AD80-AD81</f>
        <v>171.48899999999995</v>
      </c>
      <c r="AE84" s="148">
        <f>AE80-AE81</f>
        <v>196.98599999999999</v>
      </c>
      <c r="AF84" s="149">
        <f>SUM(AB84:AE84)</f>
        <v>756.28599999999994</v>
      </c>
      <c r="AG84" s="147">
        <f>AG80-AG81</f>
        <v>182.31700000000009</v>
      </c>
      <c r="AH84" s="452">
        <f>AH80-AH81</f>
        <v>223.215</v>
      </c>
      <c r="AI84" s="147">
        <f>AI80-AI81</f>
        <v>269.36899999999991</v>
      </c>
      <c r="AJ84" s="148">
        <f>AJ80-AJ81</f>
        <v>289.61099999999999</v>
      </c>
      <c r="AK84" s="149">
        <f>SUM(AG84:AJ84)</f>
        <v>964.51200000000006</v>
      </c>
      <c r="AL84" s="147">
        <f>AL80-AL81</f>
        <v>272.94099999999992</v>
      </c>
      <c r="AM84" s="147">
        <f>AM80-AM81</f>
        <v>272.738</v>
      </c>
      <c r="AN84" s="147">
        <f>AN80-AN81</f>
        <v>269.10599999999999</v>
      </c>
      <c r="AO84" s="948">
        <f>AO80-AO81</f>
        <v>320.90600000000006</v>
      </c>
      <c r="AP84" s="149">
        <f>SUM(AL84:AO84)</f>
        <v>1135.6909999999998</v>
      </c>
      <c r="AQ84" s="147">
        <f t="shared" ref="AQ84:AY84" si="193">AQ80-AQ81</f>
        <v>236.74999999999994</v>
      </c>
      <c r="AR84" s="147">
        <f t="shared" si="193"/>
        <v>185.03700000000003</v>
      </c>
      <c r="AS84" s="147">
        <f t="shared" si="193"/>
        <v>186.12100000000009</v>
      </c>
      <c r="AT84" s="147">
        <f t="shared" si="193"/>
        <v>206.76299999999998</v>
      </c>
      <c r="AU84" s="149">
        <f t="shared" si="193"/>
        <v>814.67099999999982</v>
      </c>
      <c r="AV84" s="147">
        <f>AV80-AV81</f>
        <v>211.6515</v>
      </c>
      <c r="AW84" s="147">
        <f t="shared" si="193"/>
        <v>234.05774999999991</v>
      </c>
      <c r="AX84" s="147">
        <f t="shared" si="193"/>
        <v>283.95200000000006</v>
      </c>
      <c r="AY84" s="147">
        <f t="shared" si="193"/>
        <v>285.70499999999987</v>
      </c>
      <c r="AZ84" s="149">
        <f>SUM(AV84:AY84)</f>
        <v>1015.3662499999998</v>
      </c>
      <c r="BA84" s="147">
        <f>BA80-BA81</f>
        <v>298.17300000000012</v>
      </c>
      <c r="BB84" s="147">
        <f>BB80-BB81</f>
        <v>279.96399999999994</v>
      </c>
      <c r="BC84" s="147">
        <f>BC80-BC81</f>
        <v>272.75999999999993</v>
      </c>
      <c r="BD84" s="147">
        <f>BD80-BD81</f>
        <v>332.70199999999988</v>
      </c>
      <c r="BE84" s="149">
        <f>SUM(BA84:BD84)</f>
        <v>1183.5989999999997</v>
      </c>
      <c r="BF84" s="147">
        <f>BF80-BF81</f>
        <v>284.48299999999995</v>
      </c>
      <c r="BG84" s="147">
        <f>BG80-BG81</f>
        <v>299.60000000000008</v>
      </c>
      <c r="BH84" s="147">
        <f>BH80-BH81</f>
        <v>291.37299999999993</v>
      </c>
      <c r="BI84" s="147">
        <f>BI80-BI81</f>
        <v>307.78799999999984</v>
      </c>
      <c r="BJ84" s="149">
        <f>SUM(BF84:BI84)</f>
        <v>1183.2439999999999</v>
      </c>
      <c r="BK84" s="147">
        <f>BK80-BK81</f>
        <v>177.87699999999995</v>
      </c>
      <c r="BL84" s="147">
        <f>BL80-BL81</f>
        <v>183.78199999999993</v>
      </c>
      <c r="BM84" s="147">
        <f>BM80-BM81</f>
        <v>164.41199999999995</v>
      </c>
      <c r="BN84" s="381">
        <f>BN80-BN81</f>
        <v>164.5619999999999</v>
      </c>
      <c r="BO84" s="1436">
        <f>SUM(BK84:BN84)</f>
        <v>690.6329999999997</v>
      </c>
      <c r="BP84" s="147">
        <f>BP80-BP81</f>
        <v>151.31599999999992</v>
      </c>
      <c r="BQ84" s="147">
        <f>BQ80-BQ81</f>
        <v>186.28900000000016</v>
      </c>
      <c r="BR84" s="452">
        <f>BR80-BR81</f>
        <v>140.61200000000008</v>
      </c>
      <c r="BS84" s="381">
        <f>BS80-BS81</f>
        <v>180.22899999999998</v>
      </c>
      <c r="BT84" s="1436">
        <f>SUM(BP84:BS84)</f>
        <v>658.44600000000014</v>
      </c>
      <c r="BU84" s="147">
        <f>BU80-BU81</f>
        <v>224.34500000000006</v>
      </c>
      <c r="BV84" s="147">
        <f>BV80-BV81</f>
        <v>241.95599999999996</v>
      </c>
      <c r="BW84" s="452">
        <f>BW80-BW81</f>
        <v>275.42299999999994</v>
      </c>
      <c r="BX84" s="381">
        <f>BX80-BX81</f>
        <v>311.79999999999973</v>
      </c>
      <c r="BY84" s="1436">
        <f>SUM(BU84:BX84)</f>
        <v>1053.5239999999997</v>
      </c>
      <c r="BZ84" s="150">
        <f>BZ80-BZ81</f>
        <v>332.65100000000007</v>
      </c>
      <c r="CA84" s="150">
        <f>CA80-CA81</f>
        <v>357.47300000000018</v>
      </c>
      <c r="CB84" s="150">
        <f>CB80-CB81</f>
        <v>376.50100000000015</v>
      </c>
      <c r="CC84" s="147">
        <f>CC80-CC81</f>
        <v>452.50499999999988</v>
      </c>
      <c r="CD84" s="1436">
        <f>SUM(BZ84:CC84)</f>
        <v>1519.1300000000003</v>
      </c>
      <c r="CE84" s="147">
        <f>CE80-CE81</f>
        <v>471.70799999999997</v>
      </c>
      <c r="CF84" s="147">
        <f>CF80-CF81</f>
        <v>510.36200000000002</v>
      </c>
      <c r="CG84" s="147">
        <f>CG80-CG81</f>
        <v>549.07600000000002</v>
      </c>
      <c r="CH84" s="147">
        <f>CH80-CH81</f>
        <v>630.26099999999974</v>
      </c>
      <c r="CI84" s="1436">
        <f>SUM(CE84:CH84)</f>
        <v>2161.4069999999997</v>
      </c>
      <c r="CJ84" s="147">
        <f>CJ80-CJ81</f>
        <v>772.30600000000004</v>
      </c>
      <c r="CK84" s="150">
        <f>CK80-CK81</f>
        <v>798.90627885563219</v>
      </c>
      <c r="CL84" s="150">
        <f>CL80-CL81</f>
        <v>824.61612628525438</v>
      </c>
      <c r="CM84" s="151">
        <f>CM80-CM81</f>
        <v>868.28083057001243</v>
      </c>
      <c r="CN84" s="1230">
        <f>SUM(CJ84:CM84)</f>
        <v>3264.1092357108987</v>
      </c>
      <c r="CO84" s="150">
        <f>CO80-CO81</f>
        <v>860.75741810212173</v>
      </c>
      <c r="CP84" s="150">
        <f>CP80-CP81</f>
        <v>891.02989877897971</v>
      </c>
      <c r="CQ84" s="150">
        <f>CQ80-CQ81</f>
        <v>923.02517396183737</v>
      </c>
      <c r="CR84" s="151">
        <f>CR80-CR81</f>
        <v>976.02294284627294</v>
      </c>
      <c r="CS84" s="1230">
        <f>SUM(CO84:CR84)</f>
        <v>3650.8354336892121</v>
      </c>
      <c r="CT84" s="150">
        <f>CT80-CT81</f>
        <v>1034.9757215812274</v>
      </c>
      <c r="CU84" s="150">
        <f>CU80-CU81</f>
        <v>1075.9678030157402</v>
      </c>
      <c r="CV84" s="150">
        <f>CV80-CV81</f>
        <v>1106.5278025017574</v>
      </c>
      <c r="CW84" s="151">
        <f>CW80-CW81</f>
        <v>1160.9895994539188</v>
      </c>
      <c r="CX84" s="1230">
        <f>SUM(CT84:CW84)</f>
        <v>4378.4609265526433</v>
      </c>
      <c r="DA84" s="174"/>
      <c r="DB84" s="173"/>
      <c r="DC84" s="173"/>
    </row>
    <row r="85" spans="1:107" ht="13.5" hidden="1" customHeight="1" outlineLevel="1">
      <c r="A85" s="114" t="s">
        <v>319</v>
      </c>
      <c r="B85" s="293"/>
      <c r="C85" s="294">
        <v>0</v>
      </c>
      <c r="D85" s="202">
        <v>0</v>
      </c>
      <c r="E85" s="202">
        <v>0</v>
      </c>
      <c r="F85" s="203">
        <v>0</v>
      </c>
      <c r="G85" s="204">
        <v>0</v>
      </c>
      <c r="H85" s="202">
        <v>0</v>
      </c>
      <c r="I85" s="202">
        <v>0</v>
      </c>
      <c r="J85" s="202">
        <v>0</v>
      </c>
      <c r="K85" s="203">
        <v>0</v>
      </c>
      <c r="L85" s="203">
        <v>11.827999999999999</v>
      </c>
      <c r="M85" s="202">
        <v>0</v>
      </c>
      <c r="N85" s="202">
        <v>0</v>
      </c>
      <c r="O85" s="202">
        <v>0</v>
      </c>
      <c r="P85" s="203">
        <v>0</v>
      </c>
      <c r="Q85" s="204">
        <v>11.722</v>
      </c>
      <c r="R85" s="202">
        <v>0</v>
      </c>
      <c r="S85" s="202">
        <v>0</v>
      </c>
      <c r="T85" s="202">
        <v>0</v>
      </c>
      <c r="U85" s="203">
        <v>0</v>
      </c>
      <c r="V85" s="204">
        <v>11.989000000000001</v>
      </c>
      <c r="W85" s="202">
        <v>0</v>
      </c>
      <c r="X85" s="202">
        <v>0</v>
      </c>
      <c r="Y85" s="202">
        <v>0</v>
      </c>
      <c r="Z85" s="203">
        <v>0</v>
      </c>
      <c r="AA85" s="204">
        <f>3.056+0.024</f>
        <v>3.08</v>
      </c>
      <c r="AB85" s="202">
        <v>0</v>
      </c>
      <c r="AC85" s="202">
        <v>0</v>
      </c>
      <c r="AD85" s="202">
        <v>0</v>
      </c>
      <c r="AE85" s="203">
        <v>0</v>
      </c>
      <c r="AF85" s="204">
        <v>0</v>
      </c>
      <c r="AG85" s="202">
        <v>0</v>
      </c>
      <c r="AH85" s="202">
        <v>0</v>
      </c>
      <c r="AI85" s="202">
        <v>0</v>
      </c>
      <c r="AJ85" s="203">
        <v>0</v>
      </c>
      <c r="AK85" s="204">
        <v>0</v>
      </c>
      <c r="AL85" s="202">
        <v>0</v>
      </c>
      <c r="AM85" s="202">
        <v>0</v>
      </c>
      <c r="AN85" s="202">
        <v>0</v>
      </c>
      <c r="AO85" s="203">
        <v>0</v>
      </c>
      <c r="AP85" s="204">
        <v>0</v>
      </c>
      <c r="AQ85" s="202">
        <v>0</v>
      </c>
      <c r="AR85" s="295">
        <v>0</v>
      </c>
      <c r="AS85" s="202">
        <v>0</v>
      </c>
      <c r="AT85" s="202">
        <v>0</v>
      </c>
      <c r="AU85" s="204">
        <v>0</v>
      </c>
      <c r="AV85" s="202">
        <v>0</v>
      </c>
      <c r="AW85" s="295">
        <v>0</v>
      </c>
      <c r="AX85" s="295">
        <v>0</v>
      </c>
      <c r="AY85" s="202">
        <v>0</v>
      </c>
      <c r="AZ85" s="204">
        <v>0</v>
      </c>
      <c r="BA85" s="202">
        <v>0</v>
      </c>
      <c r="BB85" s="295">
        <v>0</v>
      </c>
      <c r="BC85" s="202">
        <v>0</v>
      </c>
      <c r="BD85" s="202">
        <v>0</v>
      </c>
      <c r="BE85" s="204">
        <v>0</v>
      </c>
      <c r="BF85" s="202">
        <v>0</v>
      </c>
      <c r="BG85" s="295">
        <v>0</v>
      </c>
      <c r="BH85" s="295">
        <v>0</v>
      </c>
      <c r="BI85" s="295">
        <v>0</v>
      </c>
      <c r="BJ85" s="204">
        <v>0</v>
      </c>
      <c r="BK85" s="202">
        <v>0</v>
      </c>
      <c r="BL85" s="295">
        <v>0</v>
      </c>
      <c r="BM85" s="295">
        <v>0</v>
      </c>
      <c r="BN85" s="203">
        <v>0</v>
      </c>
      <c r="BO85" s="1451">
        <v>0</v>
      </c>
      <c r="BP85" s="202">
        <v>0</v>
      </c>
      <c r="BQ85" s="295">
        <v>0</v>
      </c>
      <c r="BR85" s="295">
        <v>0</v>
      </c>
      <c r="BS85" s="203">
        <v>0</v>
      </c>
      <c r="BT85" s="1451">
        <v>0</v>
      </c>
      <c r="BU85" s="202">
        <v>0</v>
      </c>
      <c r="BV85" s="295">
        <v>0</v>
      </c>
      <c r="BW85" s="295">
        <v>0</v>
      </c>
      <c r="BX85" s="203">
        <v>0</v>
      </c>
      <c r="BY85" s="1451">
        <v>0</v>
      </c>
      <c r="BZ85" s="295">
        <v>0</v>
      </c>
      <c r="CA85" s="295">
        <v>0</v>
      </c>
      <c r="CB85" s="295">
        <v>0</v>
      </c>
      <c r="CC85" s="202">
        <v>0</v>
      </c>
      <c r="CD85" s="1451">
        <v>0</v>
      </c>
      <c r="CE85" s="202">
        <v>0</v>
      </c>
      <c r="CF85" s="202">
        <v>0</v>
      </c>
      <c r="CG85" s="202">
        <v>0</v>
      </c>
      <c r="CH85" s="202">
        <v>0</v>
      </c>
      <c r="CI85" s="1451">
        <v>0</v>
      </c>
      <c r="CJ85" s="202">
        <v>0</v>
      </c>
      <c r="CK85" s="295">
        <v>0</v>
      </c>
      <c r="CL85" s="295">
        <v>0</v>
      </c>
      <c r="CM85" s="296">
        <v>0</v>
      </c>
      <c r="CN85" s="1027">
        <v>0</v>
      </c>
      <c r="CO85" s="295">
        <v>0</v>
      </c>
      <c r="CP85" s="295">
        <v>0</v>
      </c>
      <c r="CQ85" s="295">
        <v>0</v>
      </c>
      <c r="CR85" s="296">
        <v>0</v>
      </c>
      <c r="CS85" s="1027">
        <v>0</v>
      </c>
      <c r="CT85" s="295">
        <v>0</v>
      </c>
      <c r="CU85" s="295">
        <v>0</v>
      </c>
      <c r="CV85" s="295">
        <v>0</v>
      </c>
      <c r="CW85" s="296">
        <v>0</v>
      </c>
      <c r="CX85" s="1027">
        <v>0</v>
      </c>
      <c r="DA85" s="126"/>
      <c r="DB85" s="117"/>
      <c r="DC85" s="117"/>
    </row>
    <row r="86" spans="1:107" ht="14.25" hidden="1" customHeight="1" outlineLevel="1">
      <c r="A86" s="114"/>
      <c r="B86" s="293"/>
      <c r="C86" s="116"/>
      <c r="D86" s="117"/>
      <c r="E86" s="117"/>
      <c r="F86" s="118"/>
      <c r="G86" s="119"/>
      <c r="H86" s="117"/>
      <c r="I86" s="117"/>
      <c r="J86" s="117"/>
      <c r="K86" s="118"/>
      <c r="L86" s="118"/>
      <c r="M86" s="117"/>
      <c r="N86" s="117"/>
      <c r="O86" s="117"/>
      <c r="P86" s="118"/>
      <c r="Q86" s="119"/>
      <c r="R86" s="117"/>
      <c r="S86" s="117"/>
      <c r="T86" s="117"/>
      <c r="U86" s="118"/>
      <c r="V86" s="119"/>
      <c r="W86" s="117"/>
      <c r="X86" s="117"/>
      <c r="Y86" s="117"/>
      <c r="Z86" s="118"/>
      <c r="AA86" s="120"/>
      <c r="AB86" s="121"/>
      <c r="AC86" s="121"/>
      <c r="AD86" s="121"/>
      <c r="AE86" s="122"/>
      <c r="AF86" s="120"/>
      <c r="AG86" s="121"/>
      <c r="AH86" s="121"/>
      <c r="AI86" s="121"/>
      <c r="AJ86" s="122"/>
      <c r="AK86" s="120"/>
      <c r="AL86" s="121"/>
      <c r="AM86" s="121"/>
      <c r="AN86" s="121"/>
      <c r="AO86" s="122"/>
      <c r="AP86" s="120"/>
      <c r="AQ86" s="1067"/>
      <c r="AR86" s="1062"/>
      <c r="AS86" s="1066"/>
      <c r="AT86" s="1066"/>
      <c r="AU86" s="1140"/>
      <c r="AV86" s="1067"/>
      <c r="AW86" s="1062"/>
      <c r="AX86" s="1062"/>
      <c r="AY86" s="1066"/>
      <c r="AZ86" s="1140"/>
      <c r="BA86" s="1067"/>
      <c r="BB86" s="1062"/>
      <c r="BC86" s="1066"/>
      <c r="BD86" s="1066"/>
      <c r="BE86" s="1140"/>
      <c r="BF86" s="1067"/>
      <c r="BG86" s="1062"/>
      <c r="BH86" s="1062"/>
      <c r="BI86" s="1062"/>
      <c r="BJ86" s="1140"/>
      <c r="BK86" s="1067"/>
      <c r="BL86" s="1062"/>
      <c r="BM86" s="1062"/>
      <c r="BN86" s="1452"/>
      <c r="BO86" s="1453"/>
      <c r="BP86" s="1067"/>
      <c r="BQ86" s="1062"/>
      <c r="BR86" s="1062"/>
      <c r="BS86" s="1452"/>
      <c r="BT86" s="1453"/>
      <c r="BU86" s="1067"/>
      <c r="BV86" s="1062"/>
      <c r="BW86" s="1062"/>
      <c r="BX86" s="1452"/>
      <c r="BY86" s="1453"/>
      <c r="BZ86" s="1062"/>
      <c r="CA86" s="1062"/>
      <c r="CB86" s="1062"/>
      <c r="CC86" s="1066"/>
      <c r="CD86" s="1453"/>
      <c r="CE86" s="1066"/>
      <c r="CF86" s="1066"/>
      <c r="CG86" s="1066"/>
      <c r="CH86" s="1066"/>
      <c r="CI86" s="1453"/>
      <c r="CJ86" s="1066"/>
      <c r="CK86" s="1062"/>
      <c r="CL86" s="1062"/>
      <c r="CM86" s="1063"/>
      <c r="CN86" s="1064"/>
      <c r="CO86" s="1062"/>
      <c r="CP86" s="1062"/>
      <c r="CQ86" s="1062"/>
      <c r="CR86" s="1063"/>
      <c r="CS86" s="1064"/>
      <c r="CT86" s="1062"/>
      <c r="CU86" s="1062"/>
      <c r="CV86" s="1062"/>
      <c r="CW86" s="1063"/>
      <c r="CX86" s="1064"/>
      <c r="DA86" s="126"/>
      <c r="DB86" s="117"/>
      <c r="DC86" s="117"/>
    </row>
    <row r="87" spans="1:107" collapsed="1">
      <c r="A87" s="297" t="s">
        <v>440</v>
      </c>
      <c r="B87" s="298" t="s">
        <v>56</v>
      </c>
      <c r="C87" s="299">
        <f t="shared" ref="C87:Y87" si="194">ROUND(C84/C114,2)</f>
        <v>0.16</v>
      </c>
      <c r="D87" s="300">
        <f t="shared" si="194"/>
        <v>0.17</v>
      </c>
      <c r="E87" s="300">
        <f t="shared" si="194"/>
        <v>0.14000000000000001</v>
      </c>
      <c r="F87" s="301">
        <f t="shared" si="194"/>
        <v>0.1</v>
      </c>
      <c r="G87" s="302">
        <f t="shared" si="194"/>
        <v>0.56999999999999995</v>
      </c>
      <c r="H87" s="300">
        <f t="shared" si="194"/>
        <v>0.11</v>
      </c>
      <c r="I87" s="300">
        <f t="shared" si="194"/>
        <v>0.14000000000000001</v>
      </c>
      <c r="J87" s="300">
        <f t="shared" si="194"/>
        <v>0.11</v>
      </c>
      <c r="K87" s="301">
        <f t="shared" si="194"/>
        <v>0.13</v>
      </c>
      <c r="L87" s="301">
        <f t="shared" si="194"/>
        <v>0.48</v>
      </c>
      <c r="M87" s="300">
        <f t="shared" si="194"/>
        <v>0.12</v>
      </c>
      <c r="N87" s="300">
        <f t="shared" si="194"/>
        <v>0.13</v>
      </c>
      <c r="O87" s="300">
        <f t="shared" si="194"/>
        <v>0.13</v>
      </c>
      <c r="P87" s="301">
        <f t="shared" si="194"/>
        <v>0.17</v>
      </c>
      <c r="Q87" s="302">
        <f t="shared" si="194"/>
        <v>0.55000000000000004</v>
      </c>
      <c r="R87" s="300">
        <f t="shared" si="194"/>
        <v>0.25</v>
      </c>
      <c r="S87" s="300">
        <f t="shared" si="194"/>
        <v>0.22</v>
      </c>
      <c r="T87" s="300">
        <f t="shared" si="194"/>
        <v>0.21</v>
      </c>
      <c r="U87" s="301">
        <f t="shared" si="194"/>
        <v>0.22</v>
      </c>
      <c r="V87" s="302">
        <f t="shared" si="194"/>
        <v>0.5</v>
      </c>
      <c r="W87" s="300">
        <f t="shared" si="194"/>
        <v>0.26</v>
      </c>
      <c r="X87" s="300">
        <f t="shared" si="194"/>
        <v>0.28000000000000003</v>
      </c>
      <c r="Y87" s="300">
        <f t="shared" si="194"/>
        <v>0.28999999999999998</v>
      </c>
      <c r="Z87" s="301">
        <f>(Z84/Z114)</f>
        <v>0.2981360836105264</v>
      </c>
      <c r="AA87" s="302">
        <f t="shared" ref="AA87:AL87" si="195">ROUND(AA84/AA114,2)</f>
        <v>1.1299999999999999</v>
      </c>
      <c r="AB87" s="300">
        <f t="shared" si="195"/>
        <v>0.32</v>
      </c>
      <c r="AC87" s="300">
        <f t="shared" si="195"/>
        <v>0.31</v>
      </c>
      <c r="AD87" s="300">
        <f t="shared" si="195"/>
        <v>0.28999999999999998</v>
      </c>
      <c r="AE87" s="301">
        <f t="shared" si="195"/>
        <v>0.33</v>
      </c>
      <c r="AF87" s="302">
        <f t="shared" si="195"/>
        <v>1.24</v>
      </c>
      <c r="AG87" s="300">
        <f t="shared" si="195"/>
        <v>0.3</v>
      </c>
      <c r="AH87" s="300">
        <f t="shared" si="195"/>
        <v>0.37</v>
      </c>
      <c r="AI87" s="300">
        <f t="shared" si="195"/>
        <v>0.45</v>
      </c>
      <c r="AJ87" s="301">
        <f t="shared" si="195"/>
        <v>0.49</v>
      </c>
      <c r="AK87" s="302">
        <f t="shared" si="195"/>
        <v>1.61</v>
      </c>
      <c r="AL87" s="300">
        <f t="shared" si="195"/>
        <v>0.48</v>
      </c>
      <c r="AM87" s="300">
        <f>AM84/AM114</f>
        <v>0.50285779606767267</v>
      </c>
      <c r="AN87" s="300">
        <f>AN84/AN114</f>
        <v>0.49713750505716675</v>
      </c>
      <c r="AO87" s="301">
        <f>AO84/AO114</f>
        <v>0.59994092309533087</v>
      </c>
      <c r="AP87" s="302">
        <f t="shared" ref="AP87:AW87" si="196">ROUND(AP84/AP114,2)</f>
        <v>2.0699999999999998</v>
      </c>
      <c r="AQ87" s="300">
        <f t="shared" si="196"/>
        <v>0.45</v>
      </c>
      <c r="AR87" s="300">
        <f t="shared" si="196"/>
        <v>0.35</v>
      </c>
      <c r="AS87" s="300">
        <f t="shared" si="196"/>
        <v>0.35</v>
      </c>
      <c r="AT87" s="300">
        <f t="shared" si="196"/>
        <v>0.39</v>
      </c>
      <c r="AU87" s="302">
        <f t="shared" si="196"/>
        <v>1.54</v>
      </c>
      <c r="AV87" s="300">
        <f t="shared" si="196"/>
        <v>0.4</v>
      </c>
      <c r="AW87" s="300">
        <f t="shared" si="196"/>
        <v>0.44</v>
      </c>
      <c r="AX87" s="300">
        <f>AX84/AX114</f>
        <v>0.54274349696757718</v>
      </c>
      <c r="AY87" s="300">
        <f>AY84/AY114</f>
        <v>0.55810151136010666</v>
      </c>
      <c r="AZ87" s="302">
        <f>AZ84/AZ114</f>
        <v>1.933104903079762</v>
      </c>
      <c r="BA87" s="300">
        <f t="shared" ref="BA87:BF87" si="197">ROUND(BA84/BA114,2)</f>
        <v>0.57999999999999996</v>
      </c>
      <c r="BB87" s="300">
        <f t="shared" si="197"/>
        <v>0.55000000000000004</v>
      </c>
      <c r="BC87" s="300">
        <f t="shared" si="197"/>
        <v>0.55000000000000004</v>
      </c>
      <c r="BD87" s="300">
        <f t="shared" si="197"/>
        <v>0.67</v>
      </c>
      <c r="BE87" s="302">
        <f t="shared" si="197"/>
        <v>2.35</v>
      </c>
      <c r="BF87" s="300">
        <f t="shared" si="197"/>
        <v>0.56999999999999995</v>
      </c>
      <c r="BG87" s="300">
        <f>BG84/BG114</f>
        <v>0.59755433536041758</v>
      </c>
      <c r="BH87" s="300">
        <f>BH84/BH114</f>
        <v>0.5830293522652007</v>
      </c>
      <c r="BI87" s="300">
        <f>BI84/BI114</f>
        <v>0.612935473978102</v>
      </c>
      <c r="BJ87" s="302">
        <f>ROUND(BJ84/BJ114,2)</f>
        <v>2.36</v>
      </c>
      <c r="BK87" s="300">
        <f>ROUND(BK84/BK114,2)</f>
        <v>0.35</v>
      </c>
      <c r="BL87" s="300">
        <f t="shared" ref="BL87:CN87" si="198">BL84/BL114</f>
        <v>0.35863681246414242</v>
      </c>
      <c r="BM87" s="300">
        <f t="shared" si="198"/>
        <v>0.3198054853141411</v>
      </c>
      <c r="BN87" s="301">
        <f t="shared" si="198"/>
        <v>0.32198746972110132</v>
      </c>
      <c r="BO87" s="1454">
        <f t="shared" si="198"/>
        <v>1.3505623163012079</v>
      </c>
      <c r="BP87" s="300">
        <f t="shared" si="198"/>
        <v>0.29766691584372651</v>
      </c>
      <c r="BQ87" s="300">
        <f t="shared" si="198"/>
        <v>0.36766090308217925</v>
      </c>
      <c r="BR87" s="300">
        <f t="shared" si="198"/>
        <v>0.27689829483804029</v>
      </c>
      <c r="BS87" s="301">
        <f t="shared" si="198"/>
        <v>0.35516532630736758</v>
      </c>
      <c r="BT87" s="1454">
        <f t="shared" si="198"/>
        <v>1.2972458600721377</v>
      </c>
      <c r="BU87" s="300">
        <f t="shared" si="198"/>
        <v>0.44203646709725225</v>
      </c>
      <c r="BV87" s="300">
        <f t="shared" si="198"/>
        <v>0.47856925286105906</v>
      </c>
      <c r="BW87" s="300">
        <f>BW84/BW114</f>
        <v>0.54451976932003965</v>
      </c>
      <c r="BX87" s="301">
        <f t="shared" si="198"/>
        <v>0.61619092037342937</v>
      </c>
      <c r="BY87" s="1454">
        <f t="shared" si="198"/>
        <v>2.0811080289728672</v>
      </c>
      <c r="BZ87" s="300">
        <f>BZ84/BZ114</f>
        <v>0.65783426541896406</v>
      </c>
      <c r="CA87" s="300">
        <f t="shared" si="198"/>
        <v>0.7082530090643423</v>
      </c>
      <c r="CB87" s="300">
        <f t="shared" si="198"/>
        <v>0.74751672229182298</v>
      </c>
      <c r="CC87" s="300">
        <f>CC84/CC114</f>
        <v>0.90288641116094925</v>
      </c>
      <c r="CD87" s="1454">
        <f>CD84/CD114</f>
        <v>3.0152745620137695</v>
      </c>
      <c r="CE87" s="300">
        <f t="shared" si="198"/>
        <v>0.94179423033536247</v>
      </c>
      <c r="CF87" s="300">
        <f t="shared" ref="CF87" si="199">CF84/CF114</f>
        <v>1.0200079544160001</v>
      </c>
      <c r="CG87" s="300">
        <f>CG84/CG114</f>
        <v>1.0972785662612561</v>
      </c>
      <c r="CH87" s="300">
        <f>CH84/CH114</f>
        <v>1.2603707555093384</v>
      </c>
      <c r="CI87" s="1454">
        <f>CI84/CI114</f>
        <v>4.3192074617694214</v>
      </c>
      <c r="CJ87" s="300">
        <f>CJ84/CJ114</f>
        <v>1.5463655785660941</v>
      </c>
      <c r="CK87" s="303">
        <f t="shared" si="198"/>
        <v>1.6046343534003065</v>
      </c>
      <c r="CL87" s="303">
        <f t="shared" si="198"/>
        <v>1.6579315140681958</v>
      </c>
      <c r="CM87" s="304">
        <f t="shared" si="198"/>
        <v>1.7474690310726042</v>
      </c>
      <c r="CN87" s="1237">
        <f t="shared" si="198"/>
        <v>6.5558747171596554</v>
      </c>
      <c r="CO87" s="303">
        <f t="shared" ref="CO87:CX87" si="200">CO84/CO114</f>
        <v>1.7340617585614757</v>
      </c>
      <c r="CP87" s="303">
        <f t="shared" si="200"/>
        <v>1.796844834794979</v>
      </c>
      <c r="CQ87" s="303">
        <f t="shared" si="200"/>
        <v>1.8632295186766841</v>
      </c>
      <c r="CR87" s="304">
        <f t="shared" si="200"/>
        <v>1.9721836245663174</v>
      </c>
      <c r="CS87" s="1237">
        <f t="shared" si="200"/>
        <v>7.3659291893581491</v>
      </c>
      <c r="CT87" s="303">
        <f t="shared" si="200"/>
        <v>2.0933989208728243</v>
      </c>
      <c r="CU87" s="303">
        <f t="shared" si="200"/>
        <v>2.1784902536695401</v>
      </c>
      <c r="CV87" s="303">
        <f t="shared" si="200"/>
        <v>2.2426070737502584</v>
      </c>
      <c r="CW87" s="304">
        <f t="shared" si="200"/>
        <v>2.3553404913381937</v>
      </c>
      <c r="CX87" s="1237">
        <f t="shared" si="200"/>
        <v>8.8694115701899054</v>
      </c>
      <c r="DA87" s="1313"/>
      <c r="DB87" s="300"/>
      <c r="DC87" s="300"/>
    </row>
    <row r="88" spans="1:107">
      <c r="A88" s="155" t="s">
        <v>630</v>
      </c>
      <c r="B88" s="305"/>
      <c r="C88" s="306"/>
      <c r="D88" s="307"/>
      <c r="E88" s="307"/>
      <c r="F88" s="308"/>
      <c r="G88" s="309"/>
      <c r="H88" s="307">
        <f t="shared" ref="H88:M88" si="201">H87/C87-1</f>
        <v>-0.3125</v>
      </c>
      <c r="I88" s="307">
        <f t="shared" si="201"/>
        <v>-0.17647058823529405</v>
      </c>
      <c r="J88" s="307">
        <f t="shared" si="201"/>
        <v>-0.2142857142857143</v>
      </c>
      <c r="K88" s="308">
        <f t="shared" si="201"/>
        <v>0.30000000000000004</v>
      </c>
      <c r="L88" s="308">
        <f t="shared" si="201"/>
        <v>-0.1578947368421052</v>
      </c>
      <c r="M88" s="189">
        <f t="shared" si="201"/>
        <v>9.0909090909090828E-2</v>
      </c>
      <c r="N88" s="310" t="s">
        <v>719</v>
      </c>
      <c r="O88" s="189">
        <f t="shared" ref="O88:AZ88" si="202">O87/J87-1</f>
        <v>0.18181818181818188</v>
      </c>
      <c r="P88" s="190">
        <f t="shared" si="202"/>
        <v>0.30769230769230771</v>
      </c>
      <c r="Q88" s="311">
        <f t="shared" si="202"/>
        <v>0.14583333333333348</v>
      </c>
      <c r="R88" s="189">
        <f t="shared" si="202"/>
        <v>1.0833333333333335</v>
      </c>
      <c r="S88" s="189">
        <f t="shared" si="202"/>
        <v>0.69230769230769229</v>
      </c>
      <c r="T88" s="189">
        <f t="shared" si="202"/>
        <v>0.6153846153846152</v>
      </c>
      <c r="U88" s="190">
        <f t="shared" si="202"/>
        <v>0.29411764705882337</v>
      </c>
      <c r="V88" s="311">
        <f t="shared" si="202"/>
        <v>-9.0909090909090939E-2</v>
      </c>
      <c r="W88" s="194">
        <f t="shared" si="202"/>
        <v>4.0000000000000036E-2</v>
      </c>
      <c r="X88" s="194">
        <f t="shared" si="202"/>
        <v>0.27272727272727293</v>
      </c>
      <c r="Y88" s="194">
        <f t="shared" si="202"/>
        <v>0.38095238095238093</v>
      </c>
      <c r="Z88" s="190">
        <f t="shared" si="202"/>
        <v>0.35516401641148354</v>
      </c>
      <c r="AA88" s="311">
        <f t="shared" si="202"/>
        <v>1.2599999999999998</v>
      </c>
      <c r="AB88" s="189">
        <f t="shared" si="202"/>
        <v>0.23076923076923084</v>
      </c>
      <c r="AC88" s="189">
        <f t="shared" si="202"/>
        <v>0.10714285714285698</v>
      </c>
      <c r="AD88" s="189">
        <f t="shared" si="202"/>
        <v>0</v>
      </c>
      <c r="AE88" s="190">
        <f t="shared" si="202"/>
        <v>0.10687708781704996</v>
      </c>
      <c r="AF88" s="311">
        <f t="shared" si="202"/>
        <v>9.7345132743362983E-2</v>
      </c>
      <c r="AG88" s="189">
        <f t="shared" si="202"/>
        <v>-6.25E-2</v>
      </c>
      <c r="AH88" s="189">
        <f t="shared" si="202"/>
        <v>0.19354838709677424</v>
      </c>
      <c r="AI88" s="189">
        <f t="shared" si="202"/>
        <v>0.5517241379310347</v>
      </c>
      <c r="AJ88" s="190">
        <f t="shared" si="202"/>
        <v>0.48484848484848486</v>
      </c>
      <c r="AK88" s="311">
        <f t="shared" si="202"/>
        <v>0.29838709677419373</v>
      </c>
      <c r="AL88" s="189">
        <f t="shared" si="202"/>
        <v>0.60000000000000009</v>
      </c>
      <c r="AM88" s="189">
        <f t="shared" si="202"/>
        <v>0.35907512450722345</v>
      </c>
      <c r="AN88" s="189">
        <f t="shared" si="202"/>
        <v>0.10475001123814831</v>
      </c>
      <c r="AO88" s="190">
        <f t="shared" si="202"/>
        <v>0.22436923080679771</v>
      </c>
      <c r="AP88" s="311">
        <f t="shared" si="202"/>
        <v>0.28571428571428559</v>
      </c>
      <c r="AQ88" s="189">
        <f t="shared" si="202"/>
        <v>-6.2499999999999889E-2</v>
      </c>
      <c r="AR88" s="189">
        <f t="shared" si="202"/>
        <v>-0.30397817685837702</v>
      </c>
      <c r="AS88" s="189">
        <f t="shared" si="202"/>
        <v>-0.29596943211968518</v>
      </c>
      <c r="AT88" s="189">
        <f t="shared" si="202"/>
        <v>-0.34993599371778672</v>
      </c>
      <c r="AU88" s="311">
        <f t="shared" si="202"/>
        <v>-0.25603864734299508</v>
      </c>
      <c r="AV88" s="189">
        <f t="shared" si="202"/>
        <v>-0.11111111111111105</v>
      </c>
      <c r="AW88" s="189">
        <f t="shared" si="202"/>
        <v>0.25714285714285734</v>
      </c>
      <c r="AX88" s="189">
        <f t="shared" si="202"/>
        <v>0.55069570562164927</v>
      </c>
      <c r="AY88" s="189">
        <f t="shared" si="202"/>
        <v>0.43102951630796582</v>
      </c>
      <c r="AZ88" s="311">
        <f t="shared" si="202"/>
        <v>0.25526292407776752</v>
      </c>
      <c r="BA88" s="189">
        <f t="shared" ref="BA88:BJ88" si="203">BA87/AV87-1</f>
        <v>0.44999999999999973</v>
      </c>
      <c r="BB88" s="189">
        <f t="shared" si="203"/>
        <v>0.25</v>
      </c>
      <c r="BC88" s="189">
        <f t="shared" si="203"/>
        <v>1.3370041415450284E-2</v>
      </c>
      <c r="BD88" s="189">
        <f t="shared" si="203"/>
        <v>0.20049845119966458</v>
      </c>
      <c r="BE88" s="311">
        <f t="shared" si="203"/>
        <v>0.2156608760631944</v>
      </c>
      <c r="BF88" s="189">
        <f t="shared" si="203"/>
        <v>-1.7241379310344862E-2</v>
      </c>
      <c r="BG88" s="189">
        <f t="shared" si="203"/>
        <v>8.6462427928031937E-2</v>
      </c>
      <c r="BH88" s="189">
        <f t="shared" si="203"/>
        <v>6.0053367754910214E-2</v>
      </c>
      <c r="BI88" s="189">
        <f t="shared" si="203"/>
        <v>-8.5170934361041839E-2</v>
      </c>
      <c r="BJ88" s="311">
        <f t="shared" si="203"/>
        <v>4.2553191489360653E-3</v>
      </c>
      <c r="BK88" s="189">
        <f t="shared" ref="BK88:BT88" si="204">BK87/BF87-1</f>
        <v>-0.38596491228070173</v>
      </c>
      <c r="BL88" s="189">
        <f t="shared" si="204"/>
        <v>-0.39982560372885756</v>
      </c>
      <c r="BM88" s="189">
        <f t="shared" si="204"/>
        <v>-0.45147618370906273</v>
      </c>
      <c r="BN88" s="190">
        <f t="shared" si="204"/>
        <v>-0.47467966304622011</v>
      </c>
      <c r="BO88" s="1455">
        <f t="shared" si="204"/>
        <v>-0.42772783207575937</v>
      </c>
      <c r="BP88" s="189">
        <f t="shared" si="204"/>
        <v>-0.14952309758935278</v>
      </c>
      <c r="BQ88" s="189">
        <f t="shared" si="204"/>
        <v>2.5162198370082489E-2</v>
      </c>
      <c r="BR88" s="189">
        <f t="shared" si="204"/>
        <v>-0.13416652448582489</v>
      </c>
      <c r="BS88" s="190">
        <f t="shared" si="204"/>
        <v>0.1030408314180804</v>
      </c>
      <c r="BT88" s="1455">
        <f t="shared" si="204"/>
        <v>-3.9477227807664828E-2</v>
      </c>
      <c r="BU88" s="189">
        <f t="shared" ref="BU88:CF88" si="205">BU87/BP87-1</f>
        <v>0.48500368556013451</v>
      </c>
      <c r="BV88" s="189">
        <f t="shared" si="205"/>
        <v>0.30165935199829952</v>
      </c>
      <c r="BW88" s="189">
        <f t="shared" si="205"/>
        <v>0.96649737275750636</v>
      </c>
      <c r="BX88" s="190">
        <f t="shared" si="205"/>
        <v>0.73494109568613886</v>
      </c>
      <c r="BY88" s="1455">
        <f t="shared" si="205"/>
        <v>0.60425104679627983</v>
      </c>
      <c r="BZ88" s="189">
        <f t="shared" si="205"/>
        <v>0.48819003495074598</v>
      </c>
      <c r="CA88" s="189">
        <f t="shared" si="205"/>
        <v>0.47993838891686247</v>
      </c>
      <c r="CB88" s="189">
        <f t="shared" si="205"/>
        <v>0.37279996872339916</v>
      </c>
      <c r="CC88" s="189">
        <f t="shared" si="205"/>
        <v>0.46527055383057925</v>
      </c>
      <c r="CD88" s="1455">
        <f t="shared" si="205"/>
        <v>0.44887940464194021</v>
      </c>
      <c r="CE88" s="189">
        <f t="shared" ref="CE88:CN88" si="206">CE87/BZ87-1</f>
        <v>0.43165882326842442</v>
      </c>
      <c r="CF88" s="189">
        <f t="shared" si="205"/>
        <v>0.44017454407078405</v>
      </c>
      <c r="CG88" s="189">
        <f t="shared" si="206"/>
        <v>0.46789835402891433</v>
      </c>
      <c r="CH88" s="189">
        <f t="shared" si="206"/>
        <v>0.39593501455928304</v>
      </c>
      <c r="CI88" s="1455">
        <f t="shared" si="206"/>
        <v>0.43244250994006084</v>
      </c>
      <c r="CJ88" s="189">
        <f t="shared" si="206"/>
        <v>0.64193571032543972</v>
      </c>
      <c r="CK88" s="198">
        <f t="shared" si="206"/>
        <v>0.57315866651160663</v>
      </c>
      <c r="CL88" s="198">
        <f t="shared" si="206"/>
        <v>0.5109486005155881</v>
      </c>
      <c r="CM88" s="199">
        <f t="shared" si="206"/>
        <v>0.38647221338170512</v>
      </c>
      <c r="CN88" s="1239">
        <f t="shared" si="206"/>
        <v>0.51784205208655409</v>
      </c>
      <c r="CO88" s="198">
        <f t="shared" ref="CO88:CX88" si="207">CO87/CJ87-1</f>
        <v>0.12137891750631669</v>
      </c>
      <c r="CP88" s="198">
        <f t="shared" si="207"/>
        <v>0.11978459827148047</v>
      </c>
      <c r="CQ88" s="198">
        <f t="shared" si="207"/>
        <v>0.12382779557928325</v>
      </c>
      <c r="CR88" s="199">
        <f t="shared" si="207"/>
        <v>0.12859432098535239</v>
      </c>
      <c r="CS88" s="1239">
        <f t="shared" si="207"/>
        <v>0.12356161567246238</v>
      </c>
      <c r="CT88" s="198">
        <f t="shared" si="207"/>
        <v>0.20722281691365119</v>
      </c>
      <c r="CU88" s="198">
        <f t="shared" si="207"/>
        <v>0.21239753788651816</v>
      </c>
      <c r="CV88" s="198">
        <f t="shared" si="207"/>
        <v>0.20361289431643326</v>
      </c>
      <c r="CW88" s="199">
        <f t="shared" si="207"/>
        <v>0.19428052337476043</v>
      </c>
      <c r="CX88" s="1239">
        <f t="shared" si="207"/>
        <v>0.20411306464958923</v>
      </c>
      <c r="DA88" s="201"/>
      <c r="DB88" s="200"/>
      <c r="DC88" s="200"/>
    </row>
    <row r="89" spans="1:107" hidden="1" outlineLevel="1">
      <c r="A89" s="313" t="s">
        <v>616</v>
      </c>
      <c r="B89" s="314"/>
      <c r="C89" s="315">
        <f>ROUND(C84/C116,2)</f>
        <v>0.17</v>
      </c>
      <c r="D89" s="316">
        <f>ROUND(D84/D116,2)</f>
        <v>0.18</v>
      </c>
      <c r="E89" s="316">
        <f>ROUND(E84/E116,2)</f>
        <v>0.15</v>
      </c>
      <c r="F89" s="317">
        <f>ROUND(F84/F116,2)</f>
        <v>0.1</v>
      </c>
      <c r="G89" s="318">
        <f>SUM(C89:F89)</f>
        <v>0.6</v>
      </c>
      <c r="H89" s="316">
        <f>ROUND(H84/H116,2)</f>
        <v>0.11</v>
      </c>
      <c r="I89" s="316">
        <f>ROUND(I84/I116,2)</f>
        <v>0.14000000000000001</v>
      </c>
      <c r="J89" s="316">
        <f>ROUND(J84/J116,2)</f>
        <v>0.11</v>
      </c>
      <c r="K89" s="317">
        <f>ROUND(K84/K116,2)</f>
        <v>0.13</v>
      </c>
      <c r="L89" s="319">
        <f>SUM(H89:K89)</f>
        <v>0.49</v>
      </c>
      <c r="M89" s="316">
        <f>ROUND(M84/M116,2)</f>
        <v>0.12</v>
      </c>
      <c r="N89" s="316">
        <f>ROUND(N84/N116,2)</f>
        <v>0.14000000000000001</v>
      </c>
      <c r="O89" s="316">
        <f>ROUND(O84/O116,2)</f>
        <v>0.14000000000000001</v>
      </c>
      <c r="P89" s="317">
        <f>ROUND(P84/P116,2)</f>
        <v>0.17</v>
      </c>
      <c r="Q89" s="318">
        <f>SUM(M89:P89)</f>
        <v>0.57000000000000006</v>
      </c>
      <c r="R89" s="316">
        <f>ROUND(R84/R116,2)</f>
        <v>0.26</v>
      </c>
      <c r="S89" s="316">
        <f>ROUND(S84/S116,2)</f>
        <v>0.23</v>
      </c>
      <c r="T89" s="316">
        <f>ROUND(T84/T116,2)</f>
        <v>0.22</v>
      </c>
      <c r="U89" s="317">
        <f>ROUND(U84/U116,2)</f>
        <v>0.23</v>
      </c>
      <c r="V89" s="318">
        <f>SUM(R89:U89)</f>
        <v>0.94</v>
      </c>
      <c r="W89" s="316">
        <f>ROUND(W84/W116,2)</f>
        <v>0.28000000000000003</v>
      </c>
      <c r="X89" s="316">
        <f>ROUND(X84/X116,2)</f>
        <v>0.28999999999999998</v>
      </c>
      <c r="Y89" s="316">
        <f>ROUND(Y84/Y116,2)</f>
        <v>0.3</v>
      </c>
      <c r="Z89" s="317">
        <f>ROUND(Z84/Z116,2)</f>
        <v>0.31</v>
      </c>
      <c r="AA89" s="318">
        <f>SUM(W89:Z89)</f>
        <v>1.1800000000000002</v>
      </c>
      <c r="AB89" s="316">
        <f>ROUND(AB84/AB116,2)</f>
        <v>0.33</v>
      </c>
      <c r="AC89" s="316">
        <f>ROUND(AC84/AC116,2)</f>
        <v>0.32</v>
      </c>
      <c r="AD89" s="316">
        <f>ROUND(AD84/AD116,2)</f>
        <v>0.28999999999999998</v>
      </c>
      <c r="AE89" s="317">
        <f>ROUND(AE84/AE116,2)</f>
        <v>0.34</v>
      </c>
      <c r="AF89" s="318">
        <f>SUM(AB89:AE89)</f>
        <v>1.28</v>
      </c>
      <c r="AG89" s="316">
        <f>ROUND(AG84/AG116,2)</f>
        <v>0.31</v>
      </c>
      <c r="AH89" s="316">
        <f>ROUND(AH84/AH116,2)</f>
        <v>0.38</v>
      </c>
      <c r="AI89" s="316">
        <f>ROUND(AI84/AI116,2)</f>
        <v>0.46</v>
      </c>
      <c r="AJ89" s="317">
        <f>ROUND(AJ84/AJ116,2)</f>
        <v>0.5</v>
      </c>
      <c r="AK89" s="318">
        <f>SUM(AG89:AJ89)</f>
        <v>1.65</v>
      </c>
      <c r="AL89" s="316">
        <f>ROUND(AL84/AL116,2)</f>
        <v>0.49</v>
      </c>
      <c r="AM89" s="316">
        <f>ROUND(AM84/AM116,2)</f>
        <v>0.51</v>
      </c>
      <c r="AN89" s="316">
        <f>ROUND(AN84/AN116,2)</f>
        <v>0.51</v>
      </c>
      <c r="AO89" s="317">
        <f>ROUND(AO84/AO116,2)</f>
        <v>0.61</v>
      </c>
      <c r="AP89" s="318">
        <f>SUM(AL89:AO89)</f>
        <v>2.12</v>
      </c>
      <c r="AQ89" s="316">
        <f>ROUND(AQ84/AQ116,2)</f>
        <v>0.45</v>
      </c>
      <c r="AR89" s="316">
        <f>ROUND(AR84/AR116,2)</f>
        <v>0.35</v>
      </c>
      <c r="AS89" s="316">
        <f>ROUND(AS84/AS116,2)</f>
        <v>0.35</v>
      </c>
      <c r="AT89" s="316">
        <f>ROUND(AT84/AT116,2)</f>
        <v>0.39</v>
      </c>
      <c r="AU89" s="318">
        <f>SUM(AQ89:AT89)</f>
        <v>1.54</v>
      </c>
      <c r="AV89" s="316">
        <f>ROUND(AV84/AV116,2)</f>
        <v>0.4</v>
      </c>
      <c r="AW89" s="316">
        <f>ROUND(AW84/AW116,2)</f>
        <v>0.44</v>
      </c>
      <c r="AX89" s="316">
        <f>ROUND(AX84/AX116,2)</f>
        <v>0.55000000000000004</v>
      </c>
      <c r="AY89" s="316">
        <f>ROUND(AY84/AY116,2)</f>
        <v>0.56000000000000005</v>
      </c>
      <c r="AZ89" s="318">
        <f>SUM(AV89:AY89)</f>
        <v>1.9500000000000002</v>
      </c>
      <c r="BA89" s="316">
        <f>ROUND(BA84/BA116,2)</f>
        <v>0.59</v>
      </c>
      <c r="BB89" s="316">
        <f>ROUND(BB84/BB116,2)</f>
        <v>0.56000000000000005</v>
      </c>
      <c r="BC89" s="316">
        <f>ROUND(BC84/BC116,2)</f>
        <v>0.55000000000000004</v>
      </c>
      <c r="BD89" s="316">
        <f>ROUND(BD84/BD116,2)</f>
        <v>0.68</v>
      </c>
      <c r="BE89" s="318">
        <f>SUM(BA89:BD89)</f>
        <v>2.38</v>
      </c>
      <c r="BF89" s="316">
        <f>ROUND(BF84/BF116,2)</f>
        <v>0.57999999999999996</v>
      </c>
      <c r="BG89" s="316">
        <f>ROUND(BG84/BG116,2)</f>
        <v>0.6</v>
      </c>
      <c r="BH89" s="316">
        <f>ROUND(BH84/BH116,2)</f>
        <v>0.59</v>
      </c>
      <c r="BI89" s="316">
        <f>ROUND(BI84/BI116,2)</f>
        <v>0.62</v>
      </c>
      <c r="BJ89" s="318">
        <f>SUM(BF89:BI89)</f>
        <v>2.39</v>
      </c>
      <c r="BK89" s="316">
        <f>ROUND(BK84/BK116,2)</f>
        <v>0.36</v>
      </c>
      <c r="BL89" s="316">
        <f>ROUND(BL84/BL116,2)</f>
        <v>0.37</v>
      </c>
      <c r="BM89" s="316">
        <f>ROUND(BM84/BM116,2)</f>
        <v>0.33</v>
      </c>
      <c r="BN89" s="317">
        <f>ROUND(BN84/BN116,2)</f>
        <v>0.33</v>
      </c>
      <c r="BO89" s="1450">
        <f>SUM(BK89:BN89)</f>
        <v>1.3900000000000001</v>
      </c>
      <c r="BP89" s="316">
        <f>ROUND(BP84/BP116,2)</f>
        <v>0.3</v>
      </c>
      <c r="BQ89" s="316">
        <f>ROUND(BQ84/BQ116,2)</f>
        <v>0.37</v>
      </c>
      <c r="BR89" s="316">
        <f>ROUND(BR84/BR116,2)</f>
        <v>0.28000000000000003</v>
      </c>
      <c r="BS89" s="317">
        <f>ROUND(BS84/BS116,2)</f>
        <v>0.36</v>
      </c>
      <c r="BT89" s="1450">
        <f>SUM(BP89:BS89)</f>
        <v>1.31</v>
      </c>
      <c r="BU89" s="316">
        <f>ROUND(BU84/BU116,2)</f>
        <v>0.45</v>
      </c>
      <c r="BV89" s="316">
        <f>ROUND(BV84/BV116,2)</f>
        <v>0.48</v>
      </c>
      <c r="BW89" s="316">
        <f>ROUND(BW84/BW116,2)</f>
        <v>0.55000000000000004</v>
      </c>
      <c r="BX89" s="317">
        <f>ROUND(BX84/BX116,2)</f>
        <v>0.63</v>
      </c>
      <c r="BY89" s="1450">
        <f>SUM(BU89:BX89)</f>
        <v>2.11</v>
      </c>
      <c r="BZ89" s="316">
        <f>ROUND(BZ84/BZ116,2)</f>
        <v>0.67</v>
      </c>
      <c r="CA89" s="316">
        <f>ROUND(CA84/CA116,2)</f>
        <v>0.71</v>
      </c>
      <c r="CB89" s="316">
        <f>ROUND(CB84/CB116,2)</f>
        <v>0.76</v>
      </c>
      <c r="CC89" s="316">
        <f>ROUND(CC84/CC116,2)</f>
        <v>0.91</v>
      </c>
      <c r="CD89" s="1450">
        <f>SUM(BZ89:CC89)</f>
        <v>3.05</v>
      </c>
      <c r="CE89" s="316">
        <f>ROUND(CE84/CE116,2)</f>
        <v>0.95</v>
      </c>
      <c r="CF89" s="316">
        <f>ROUND(CF84/CF116,2)</f>
        <v>1.03</v>
      </c>
      <c r="CG89" s="316">
        <f>ROUND(CG84/CG116,2)</f>
        <v>1.1100000000000001</v>
      </c>
      <c r="CH89" s="316">
        <f>ROUND(CH84/CH116,2)</f>
        <v>1.28</v>
      </c>
      <c r="CI89" s="1450">
        <f>SUM(CE89:CH89)</f>
        <v>4.37</v>
      </c>
      <c r="CJ89" s="316">
        <f>ROUND(CJ84/CJ116,2)</f>
        <v>1.57</v>
      </c>
      <c r="CK89" s="320">
        <f>ROUND(CK84/CK116,2)</f>
        <v>1.63</v>
      </c>
      <c r="CL89" s="320">
        <f>ROUND(CL84/CL116,2)</f>
        <v>1.68</v>
      </c>
      <c r="CM89" s="321">
        <f>ROUND(CM84/CM116,2)</f>
        <v>1.77</v>
      </c>
      <c r="CN89" s="1029">
        <f>SUM(CJ89:CM89)</f>
        <v>6.65</v>
      </c>
      <c r="CO89" s="320">
        <f>ROUND(CO84/CO116,2)</f>
        <v>1.76</v>
      </c>
      <c r="CP89" s="320">
        <f>ROUND(CP84/CP116,2)</f>
        <v>1.82</v>
      </c>
      <c r="CQ89" s="320">
        <f>ROUND(CQ84/CQ116,2)</f>
        <v>1.89</v>
      </c>
      <c r="CR89" s="321">
        <f>ROUND(CR84/CR116,2)</f>
        <v>2</v>
      </c>
      <c r="CS89" s="1029">
        <f>SUM(CO89:CR89)</f>
        <v>7.47</v>
      </c>
      <c r="CT89" s="320">
        <f>ROUND(CT84/CT116,2)</f>
        <v>2.12</v>
      </c>
      <c r="CU89" s="320">
        <f>ROUND(CU84/CU116,2)</f>
        <v>2.21</v>
      </c>
      <c r="CV89" s="320">
        <f>ROUND(CV84/CV116,2)</f>
        <v>2.2799999999999998</v>
      </c>
      <c r="CW89" s="321">
        <f>ROUND(CW84/CW116,2)</f>
        <v>2.39</v>
      </c>
      <c r="CX89" s="1029">
        <f>SUM(CT89:CW89)</f>
        <v>9</v>
      </c>
      <c r="DA89" s="323"/>
      <c r="DB89" s="322"/>
      <c r="DC89" s="322"/>
    </row>
    <row r="90" spans="1:107" hidden="1" outlineLevel="1">
      <c r="A90" s="313"/>
      <c r="B90" s="314"/>
      <c r="C90" s="315"/>
      <c r="D90" s="316"/>
      <c r="E90" s="316"/>
      <c r="F90" s="317"/>
      <c r="G90" s="318"/>
      <c r="H90" s="316"/>
      <c r="I90" s="316"/>
      <c r="J90" s="316"/>
      <c r="K90" s="317"/>
      <c r="L90" s="319"/>
      <c r="M90" s="316"/>
      <c r="N90" s="316"/>
      <c r="O90" s="316"/>
      <c r="P90" s="317"/>
      <c r="Q90" s="318"/>
      <c r="R90" s="316"/>
      <c r="S90" s="316"/>
      <c r="T90" s="316"/>
      <c r="U90" s="317"/>
      <c r="V90" s="318"/>
      <c r="W90" s="316"/>
      <c r="X90" s="316"/>
      <c r="Y90" s="316"/>
      <c r="Z90" s="317"/>
      <c r="AA90" s="318"/>
      <c r="AB90" s="316"/>
      <c r="AC90" s="316"/>
      <c r="AD90" s="316"/>
      <c r="AE90" s="317"/>
      <c r="AF90" s="318"/>
      <c r="AG90" s="316"/>
      <c r="AH90" s="316"/>
      <c r="AI90" s="316"/>
      <c r="AJ90" s="317"/>
      <c r="AK90" s="318"/>
      <c r="AL90" s="316"/>
      <c r="AM90" s="316"/>
      <c r="AN90" s="316"/>
      <c r="AO90" s="317"/>
      <c r="AP90" s="318"/>
      <c r="AQ90" s="316"/>
      <c r="AR90" s="320"/>
      <c r="AS90" s="316"/>
      <c r="AT90" s="316"/>
      <c r="AU90" s="318"/>
      <c r="AV90" s="316"/>
      <c r="AW90" s="320"/>
      <c r="AX90" s="320"/>
      <c r="AY90" s="316"/>
      <c r="AZ90" s="318"/>
      <c r="BA90" s="316"/>
      <c r="BB90" s="320"/>
      <c r="BC90" s="316"/>
      <c r="BD90" s="316"/>
      <c r="BE90" s="318"/>
      <c r="BF90" s="316"/>
      <c r="BG90" s="320"/>
      <c r="BH90" s="320"/>
      <c r="BI90" s="320"/>
      <c r="BJ90" s="318"/>
      <c r="BK90" s="316"/>
      <c r="BL90" s="320"/>
      <c r="BM90" s="320"/>
      <c r="BN90" s="317"/>
      <c r="BO90" s="1450"/>
      <c r="BP90" s="316"/>
      <c r="BQ90" s="320"/>
      <c r="BR90" s="320"/>
      <c r="BS90" s="317"/>
      <c r="BT90" s="1450"/>
      <c r="BU90" s="316"/>
      <c r="BV90" s="320"/>
      <c r="BW90" s="320"/>
      <c r="BX90" s="317"/>
      <c r="BY90" s="1450"/>
      <c r="BZ90" s="316"/>
      <c r="CA90" s="320"/>
      <c r="CB90" s="320"/>
      <c r="CC90" s="317"/>
      <c r="CD90" s="1450"/>
      <c r="CE90" s="316"/>
      <c r="CF90" s="316"/>
      <c r="CG90" s="316"/>
      <c r="CH90" s="317"/>
      <c r="CI90" s="1450"/>
      <c r="CJ90" s="316"/>
      <c r="CK90" s="320"/>
      <c r="CL90" s="320"/>
      <c r="CM90" s="321"/>
      <c r="CN90" s="1029"/>
      <c r="CO90" s="320"/>
      <c r="CP90" s="320"/>
      <c r="CQ90" s="320"/>
      <c r="CR90" s="321"/>
      <c r="CS90" s="1029"/>
      <c r="CT90" s="320"/>
      <c r="CU90" s="320"/>
      <c r="CV90" s="320"/>
      <c r="CW90" s="321"/>
      <c r="CX90" s="1029"/>
      <c r="DA90" s="323"/>
      <c r="DB90" s="322"/>
      <c r="DC90" s="322"/>
    </row>
    <row r="91" spans="1:107" collapsed="1">
      <c r="A91" s="144" t="s">
        <v>171</v>
      </c>
      <c r="B91" s="214"/>
      <c r="C91" s="288"/>
      <c r="D91" s="289"/>
      <c r="E91" s="289"/>
      <c r="F91" s="290"/>
      <c r="G91" s="149"/>
      <c r="H91" s="289"/>
      <c r="I91" s="289"/>
      <c r="J91" s="289"/>
      <c r="K91" s="290"/>
      <c r="L91" s="148"/>
      <c r="M91" s="289"/>
      <c r="N91" s="289"/>
      <c r="O91" s="289"/>
      <c r="P91" s="290"/>
      <c r="Q91" s="149"/>
      <c r="R91" s="289"/>
      <c r="S91" s="289"/>
      <c r="T91" s="289"/>
      <c r="U91" s="290"/>
      <c r="V91" s="149"/>
      <c r="W91" s="289"/>
      <c r="X91" s="289"/>
      <c r="Y91" s="289"/>
      <c r="Z91" s="290"/>
      <c r="AA91" s="149"/>
      <c r="AB91" s="147">
        <f>AB59*(1-AB82)</f>
        <v>17.053957692494301</v>
      </c>
      <c r="AC91" s="147">
        <f>AC59*(1-AC82)</f>
        <v>19.620457714966111</v>
      </c>
      <c r="AD91" s="147">
        <f>AD59*(1-AD82)</f>
        <v>20.689088776565292</v>
      </c>
      <c r="AE91" s="148">
        <f>AE59*(1-AE82)</f>
        <v>21.604372643836967</v>
      </c>
      <c r="AF91" s="149">
        <f>SUM(AB91:AE91)</f>
        <v>78.967876827862682</v>
      </c>
      <c r="AG91" s="147">
        <f>AG59*(1-AG82)</f>
        <v>18.537634220311933</v>
      </c>
      <c r="AH91" s="147">
        <f>AH59*(1-AH82)</f>
        <v>24.449004484216022</v>
      </c>
      <c r="AI91" s="147">
        <f>AI59*(1-AI82)</f>
        <v>24.308499495214853</v>
      </c>
      <c r="AJ91" s="148">
        <f>AJ59*(1-AJ82)</f>
        <v>26.806592179390091</v>
      </c>
      <c r="AK91" s="149">
        <f>SUM(AG91:AJ91)</f>
        <v>94.101730379132903</v>
      </c>
      <c r="AL91" s="147">
        <f>AL59*(1-AL82)</f>
        <v>31.71602116427832</v>
      </c>
      <c r="AM91" s="147">
        <f>AM59*(1-AM82)</f>
        <v>36.868038920658513</v>
      </c>
      <c r="AN91" s="147">
        <f>AN59*(1-AN82)</f>
        <v>36.189049313533978</v>
      </c>
      <c r="AO91" s="148">
        <f>AO59*(1-AO82)</f>
        <v>27.933290244541027</v>
      </c>
      <c r="AP91" s="149">
        <f>SUM(AL91:AO91)</f>
        <v>132.70639964301182</v>
      </c>
      <c r="AQ91" s="147">
        <f>AQ59*(1-AQ82)</f>
        <v>34.655450015774043</v>
      </c>
      <c r="AR91" s="147">
        <f>AR59*(1-AR82)</f>
        <v>33.112319053407091</v>
      </c>
      <c r="AS91" s="147">
        <v>39.654000000000003</v>
      </c>
      <c r="AT91" s="147">
        <f>AT59*(1-AT82)</f>
        <v>31.892135900813237</v>
      </c>
      <c r="AU91" s="149">
        <f>SUM(AQ91:AT91)</f>
        <v>139.31390496999435</v>
      </c>
      <c r="AV91" s="147">
        <f>AV59*(1-AV82)</f>
        <v>48.628500000000003</v>
      </c>
      <c r="AW91" s="147">
        <f>AW59*(1-AW82)</f>
        <v>44.72325</v>
      </c>
      <c r="AX91" s="147">
        <f>AX59*(1-AX82)</f>
        <v>37.788099534230838</v>
      </c>
      <c r="AY91" s="147">
        <f>AY59*(1-AY82)</f>
        <v>45.079601496963257</v>
      </c>
      <c r="AZ91" s="149">
        <f>SUM(AV91:AY91)</f>
        <v>176.2194510311941</v>
      </c>
      <c r="BA91" s="147">
        <f>BA59*(1-BA82)</f>
        <v>55.848011238041934</v>
      </c>
      <c r="BB91" s="147">
        <f>BB59*(1-BB82)</f>
        <v>58.432452405368053</v>
      </c>
      <c r="BC91" s="147">
        <f>BC59*(1-BC82)</f>
        <v>49.996328323382052</v>
      </c>
      <c r="BD91" s="147">
        <f>BD59*(1-BD82)</f>
        <v>55.702189404473536</v>
      </c>
      <c r="BE91" s="149">
        <f>SUM(BA91:BD91)</f>
        <v>219.97898137126558</v>
      </c>
      <c r="BF91" s="147">
        <f>BF59*(1-BF82)</f>
        <v>56.279080502366583</v>
      </c>
      <c r="BG91" s="147">
        <f>BG59*(1-BG82)</f>
        <v>54.789756854630113</v>
      </c>
      <c r="BH91" s="147">
        <f>BH59*(1-BH82)</f>
        <v>62.541196043332903</v>
      </c>
      <c r="BI91" s="147">
        <f>BI59*(1-BI82)</f>
        <v>59.141108268192426</v>
      </c>
      <c r="BJ91" s="149">
        <f>SUM(BF91:BI91)</f>
        <v>232.75114166852202</v>
      </c>
      <c r="BK91" s="147">
        <f>BK59*(1-BK82)</f>
        <v>67.254018402591115</v>
      </c>
      <c r="BL91" s="147">
        <f>BL59*(1-BL82)</f>
        <v>62.999758771816524</v>
      </c>
      <c r="BM91" s="147">
        <f>BM59*(1-BM82)</f>
        <v>64.10117300924945</v>
      </c>
      <c r="BN91" s="148">
        <f>BN59*(1-BN82)</f>
        <v>68.316742016298548</v>
      </c>
      <c r="BO91" s="1436">
        <f>SUM(BK91:BN91)</f>
        <v>262.6716921999556</v>
      </c>
      <c r="BP91" s="147">
        <f>BP59*(1-BP82)</f>
        <v>66.052014453100512</v>
      </c>
      <c r="BQ91" s="147">
        <f>BQ59*(1-BQ82)</f>
        <v>66.045361401842214</v>
      </c>
      <c r="BR91" s="147">
        <f>BR59*(1-BR82)</f>
        <v>66.11319030441966</v>
      </c>
      <c r="BS91" s="148">
        <f>BS59*(1-BS82)</f>
        <v>67.152641707104308</v>
      </c>
      <c r="BT91" s="1436">
        <f>SUM(BP91:BS91)</f>
        <v>265.36320786646667</v>
      </c>
      <c r="BU91" s="147">
        <f>BU59*(1-BU82)</f>
        <v>68.422676926869642</v>
      </c>
      <c r="BV91" s="147">
        <f>BV59*(1-BV82)</f>
        <v>67.467634017488066</v>
      </c>
      <c r="BW91" s="147">
        <f>BW59*(1-BW82)</f>
        <v>66.6776655919777</v>
      </c>
      <c r="BX91" s="148">
        <f>BX59*(1-BX82)</f>
        <v>64.548510922938917</v>
      </c>
      <c r="BY91" s="1436">
        <f>SUM(BU91:BX91)</f>
        <v>267.11648745927431</v>
      </c>
      <c r="BZ91" s="147">
        <f>BZ59*(1-BZ82)</f>
        <v>72.447510396602794</v>
      </c>
      <c r="CA91" s="147">
        <f>CA59*(1-CA82)</f>
        <v>68.898835636601532</v>
      </c>
      <c r="CB91" s="147">
        <f>CB59*(1-CB82)</f>
        <v>67.995377657197167</v>
      </c>
      <c r="CC91" s="147">
        <f>CC59*(1-CC82)</f>
        <v>68.411050828517048</v>
      </c>
      <c r="CD91" s="1436">
        <f>SUM(BZ91:CC91)</f>
        <v>277.75277451891856</v>
      </c>
      <c r="CE91" s="147">
        <f>CE59*(1-CE82)</f>
        <v>81.826035414325489</v>
      </c>
      <c r="CF91" s="147">
        <f>CF59*(1-CF82)</f>
        <v>93.689623429394942</v>
      </c>
      <c r="CG91" s="147">
        <f>CG59*(1-CG82)</f>
        <v>93.19484220582649</v>
      </c>
      <c r="CH91" s="147">
        <f>CH59*(1-CH82)</f>
        <v>96.533420809170295</v>
      </c>
      <c r="CI91" s="1436">
        <f>SUM(CE91:CH91)</f>
        <v>365.24392185871721</v>
      </c>
      <c r="CJ91" s="147">
        <f>CJ59*(1-CJ82)</f>
        <v>120.90475860713578</v>
      </c>
      <c r="CK91" s="150">
        <f>CK59*(1-CK82)</f>
        <v>142.6560114800192</v>
      </c>
      <c r="CL91" s="150">
        <f>CL59*(1-CL82)</f>
        <v>141.90658955801797</v>
      </c>
      <c r="CM91" s="151">
        <f>CM59*(1-CM82)</f>
        <v>146.97330727145186</v>
      </c>
      <c r="CN91" s="1230">
        <f>SUM(CJ91:CM91)</f>
        <v>552.44066691662488</v>
      </c>
      <c r="CO91" s="150">
        <f>CO59*(1-CO82)</f>
        <v>133.51618512000002</v>
      </c>
      <c r="CP91" s="150">
        <f>CP59*(1-CP82)</f>
        <v>157.5362844</v>
      </c>
      <c r="CQ91" s="150">
        <f>CQ59*(1-CQ82)</f>
        <v>156.70869120000003</v>
      </c>
      <c r="CR91" s="151">
        <f>CR59*(1-CR82)</f>
        <v>162.30391200000003</v>
      </c>
      <c r="CS91" s="1230">
        <f>SUM(CO91:CR91)</f>
        <v>610.0650727200001</v>
      </c>
      <c r="CT91" s="150">
        <f>CT59*(1-CT82)</f>
        <v>160.21942214400005</v>
      </c>
      <c r="CU91" s="150">
        <f>CU59*(1-CU82)</f>
        <v>189.04354127999997</v>
      </c>
      <c r="CV91" s="150">
        <f>CV59*(1-CV82)</f>
        <v>188.05042944000004</v>
      </c>
      <c r="CW91" s="151">
        <f>CW59*(1-CW82)</f>
        <v>194.76469440000002</v>
      </c>
      <c r="CX91" s="1230">
        <f>SUM(CT91:CW91)</f>
        <v>732.07808726400015</v>
      </c>
      <c r="DA91" s="174"/>
      <c r="DB91" s="173"/>
      <c r="DC91" s="173"/>
    </row>
    <row r="92" spans="1:107">
      <c r="A92" s="144" t="s">
        <v>311</v>
      </c>
      <c r="B92" s="214"/>
      <c r="C92" s="288"/>
      <c r="D92" s="289"/>
      <c r="E92" s="289"/>
      <c r="F92" s="290"/>
      <c r="G92" s="149"/>
      <c r="H92" s="289"/>
      <c r="I92" s="289"/>
      <c r="J92" s="289"/>
      <c r="K92" s="290"/>
      <c r="L92" s="148"/>
      <c r="M92" s="289"/>
      <c r="N92" s="289"/>
      <c r="O92" s="289"/>
      <c r="P92" s="290"/>
      <c r="Q92" s="149"/>
      <c r="R92" s="289"/>
      <c r="S92" s="289"/>
      <c r="T92" s="289"/>
      <c r="U92" s="290"/>
      <c r="V92" s="149"/>
      <c r="W92" s="289"/>
      <c r="X92" s="289"/>
      <c r="Y92" s="289"/>
      <c r="Z92" s="290"/>
      <c r="AA92" s="149"/>
      <c r="AB92" s="147">
        <f t="shared" ref="AB92:AZ92" si="208">AB84-AB91</f>
        <v>181.35204230750577</v>
      </c>
      <c r="AC92" s="147">
        <f t="shared" si="208"/>
        <v>169.78454228503389</v>
      </c>
      <c r="AD92" s="147">
        <f t="shared" si="208"/>
        <v>150.79991122343466</v>
      </c>
      <c r="AE92" s="148">
        <f t="shared" si="208"/>
        <v>175.38162735616302</v>
      </c>
      <c r="AF92" s="149">
        <f t="shared" si="208"/>
        <v>677.31812317213723</v>
      </c>
      <c r="AG92" s="147">
        <f t="shared" si="208"/>
        <v>163.77936577968816</v>
      </c>
      <c r="AH92" s="147">
        <f t="shared" si="208"/>
        <v>198.76599551578397</v>
      </c>
      <c r="AI92" s="147">
        <f t="shared" si="208"/>
        <v>245.06050050478507</v>
      </c>
      <c r="AJ92" s="148">
        <f t="shared" si="208"/>
        <v>262.80440782060992</v>
      </c>
      <c r="AK92" s="149">
        <f t="shared" si="208"/>
        <v>870.41026962086721</v>
      </c>
      <c r="AL92" s="147">
        <f t="shared" si="208"/>
        <v>241.2249788357216</v>
      </c>
      <c r="AM92" s="147">
        <f t="shared" si="208"/>
        <v>235.86996107934149</v>
      </c>
      <c r="AN92" s="147">
        <f t="shared" si="208"/>
        <v>232.91695068646601</v>
      </c>
      <c r="AO92" s="148">
        <f t="shared" si="208"/>
        <v>292.97270975545905</v>
      </c>
      <c r="AP92" s="149">
        <f t="shared" si="208"/>
        <v>1002.984600356988</v>
      </c>
      <c r="AQ92" s="147">
        <f t="shared" si="208"/>
        <v>202.09454998422589</v>
      </c>
      <c r="AR92" s="1229">
        <f t="shared" si="208"/>
        <v>151.92468094659296</v>
      </c>
      <c r="AS92" s="147">
        <f t="shared" si="208"/>
        <v>146.4670000000001</v>
      </c>
      <c r="AT92" s="147">
        <f t="shared" si="208"/>
        <v>174.87086409918675</v>
      </c>
      <c r="AU92" s="149">
        <f t="shared" si="208"/>
        <v>675.35709503000544</v>
      </c>
      <c r="AV92" s="147">
        <f t="shared" si="208"/>
        <v>163.023</v>
      </c>
      <c r="AW92" s="1229">
        <f t="shared" si="208"/>
        <v>189.33449999999991</v>
      </c>
      <c r="AX92" s="1229">
        <f t="shared" si="208"/>
        <v>246.16390046576922</v>
      </c>
      <c r="AY92" s="147">
        <f t="shared" si="208"/>
        <v>240.62539850303662</v>
      </c>
      <c r="AZ92" s="149">
        <f t="shared" si="208"/>
        <v>839.14679896880568</v>
      </c>
      <c r="BA92" s="147">
        <f t="shared" ref="BA92:BJ92" si="209">BA84-BA91</f>
        <v>242.3249887619582</v>
      </c>
      <c r="BB92" s="1229">
        <f t="shared" si="209"/>
        <v>221.53154759463189</v>
      </c>
      <c r="BC92" s="147">
        <f t="shared" si="209"/>
        <v>222.76367167661789</v>
      </c>
      <c r="BD92" s="147">
        <f t="shared" si="209"/>
        <v>276.99981059552636</v>
      </c>
      <c r="BE92" s="149">
        <f t="shared" si="209"/>
        <v>963.6200186287341</v>
      </c>
      <c r="BF92" s="147">
        <f t="shared" si="209"/>
        <v>228.20391949763336</v>
      </c>
      <c r="BG92" s="1229">
        <f t="shared" si="209"/>
        <v>244.81024314536995</v>
      </c>
      <c r="BH92" s="1229">
        <f t="shared" si="209"/>
        <v>228.83180395666704</v>
      </c>
      <c r="BI92" s="1229">
        <f t="shared" si="209"/>
        <v>248.64689173180741</v>
      </c>
      <c r="BJ92" s="149">
        <f t="shared" si="209"/>
        <v>950.49285833147792</v>
      </c>
      <c r="BK92" s="147">
        <f t="shared" ref="BK92:BS92" si="210">BK84-BK91</f>
        <v>110.62298159740884</v>
      </c>
      <c r="BL92" s="1229">
        <f t="shared" si="210"/>
        <v>120.78224122818341</v>
      </c>
      <c r="BM92" s="1229">
        <f t="shared" si="210"/>
        <v>100.3108269907505</v>
      </c>
      <c r="BN92" s="148">
        <f t="shared" si="210"/>
        <v>96.24525798370135</v>
      </c>
      <c r="BO92" s="1436">
        <f t="shared" si="210"/>
        <v>427.9613078000441</v>
      </c>
      <c r="BP92" s="147">
        <f t="shared" si="210"/>
        <v>85.263985546899406</v>
      </c>
      <c r="BQ92" s="1229">
        <f t="shared" si="210"/>
        <v>120.24363859815794</v>
      </c>
      <c r="BR92" s="1229">
        <f t="shared" si="210"/>
        <v>74.49880969558042</v>
      </c>
      <c r="BS92" s="148">
        <f t="shared" si="210"/>
        <v>113.07635829289568</v>
      </c>
      <c r="BT92" s="1436">
        <f>BT84-BT91</f>
        <v>393.08279213353347</v>
      </c>
      <c r="BU92" s="147">
        <f t="shared" ref="BU92:CD92" si="211">BU84-BU91</f>
        <v>155.92232307313043</v>
      </c>
      <c r="BV92" s="1229">
        <f t="shared" si="211"/>
        <v>174.48836598251188</v>
      </c>
      <c r="BW92" s="1229">
        <f t="shared" si="211"/>
        <v>208.74533440802225</v>
      </c>
      <c r="BX92" s="148">
        <f t="shared" si="211"/>
        <v>247.2514890770608</v>
      </c>
      <c r="BY92" s="1436">
        <f t="shared" si="211"/>
        <v>786.40751254072529</v>
      </c>
      <c r="BZ92" s="147">
        <f>BZ84-BZ91</f>
        <v>260.20348960339726</v>
      </c>
      <c r="CA92" s="147">
        <f>CA84-CA91</f>
        <v>288.57416436339867</v>
      </c>
      <c r="CB92" s="147">
        <f t="shared" si="211"/>
        <v>308.50562234280301</v>
      </c>
      <c r="CC92" s="147">
        <f t="shared" ref="CC92" si="212">CC84-CC91</f>
        <v>384.09394917148285</v>
      </c>
      <c r="CD92" s="1436">
        <f t="shared" si="211"/>
        <v>1241.3772254810817</v>
      </c>
      <c r="CE92" s="147">
        <f>CE84-CE91</f>
        <v>389.8819645856745</v>
      </c>
      <c r="CF92" s="147">
        <f>CF84-CF91</f>
        <v>416.67237657060508</v>
      </c>
      <c r="CG92" s="147">
        <f t="shared" ref="CG92:CN92" si="213">CG84-CG91</f>
        <v>455.88115779417353</v>
      </c>
      <c r="CH92" s="147">
        <f t="shared" ref="CH92" si="214">CH84-CH91</f>
        <v>533.72757919082949</v>
      </c>
      <c r="CI92" s="1436">
        <f t="shared" si="213"/>
        <v>1796.1630781412825</v>
      </c>
      <c r="CJ92" s="147">
        <f t="shared" si="213"/>
        <v>651.40124139286422</v>
      </c>
      <c r="CK92" s="150">
        <f t="shared" si="213"/>
        <v>656.25026737561302</v>
      </c>
      <c r="CL92" s="150">
        <f t="shared" si="213"/>
        <v>682.70953672723635</v>
      </c>
      <c r="CM92" s="151">
        <f t="shared" si="213"/>
        <v>721.30752329856057</v>
      </c>
      <c r="CN92" s="1230">
        <f t="shared" si="213"/>
        <v>2711.6685687942736</v>
      </c>
      <c r="CO92" s="150">
        <f t="shared" ref="CO92:CX92" si="215">CO84-CO91</f>
        <v>727.24123298212169</v>
      </c>
      <c r="CP92" s="150">
        <f t="shared" si="215"/>
        <v>733.49361437897971</v>
      </c>
      <c r="CQ92" s="150">
        <f t="shared" si="215"/>
        <v>766.31648276183728</v>
      </c>
      <c r="CR92" s="151">
        <f t="shared" si="215"/>
        <v>813.71903084627297</v>
      </c>
      <c r="CS92" s="1230">
        <f t="shared" si="215"/>
        <v>3040.7703609692121</v>
      </c>
      <c r="CT92" s="150">
        <f t="shared" si="215"/>
        <v>874.75629943722731</v>
      </c>
      <c r="CU92" s="150">
        <f t="shared" si="215"/>
        <v>886.92426173574017</v>
      </c>
      <c r="CV92" s="150">
        <f t="shared" si="215"/>
        <v>918.47737306175736</v>
      </c>
      <c r="CW92" s="151">
        <f t="shared" si="215"/>
        <v>966.22490505391875</v>
      </c>
      <c r="CX92" s="1230">
        <f t="shared" si="215"/>
        <v>3646.382839288643</v>
      </c>
      <c r="DA92" s="174"/>
      <c r="DB92" s="173"/>
      <c r="DC92" s="173"/>
    </row>
    <row r="93" spans="1:107">
      <c r="A93" s="297" t="s">
        <v>265</v>
      </c>
      <c r="B93" s="298"/>
      <c r="C93" s="299"/>
      <c r="D93" s="300"/>
      <c r="E93" s="300"/>
      <c r="F93" s="301"/>
      <c r="G93" s="302"/>
      <c r="H93" s="300"/>
      <c r="I93" s="300"/>
      <c r="J93" s="300"/>
      <c r="K93" s="301"/>
      <c r="L93" s="301"/>
      <c r="M93" s="300"/>
      <c r="N93" s="300"/>
      <c r="O93" s="300"/>
      <c r="P93" s="301"/>
      <c r="Q93" s="302"/>
      <c r="R93" s="300"/>
      <c r="S93" s="300"/>
      <c r="T93" s="300"/>
      <c r="U93" s="301"/>
      <c r="V93" s="302"/>
      <c r="W93" s="300"/>
      <c r="X93" s="300"/>
      <c r="Y93" s="300"/>
      <c r="Z93" s="301"/>
      <c r="AA93" s="302"/>
      <c r="AB93" s="300">
        <f t="shared" ref="AB93:BG93" si="216">AB92/AB114</f>
        <v>0.29163825734234383</v>
      </c>
      <c r="AC93" s="300">
        <f t="shared" si="216"/>
        <v>0.27661035490976582</v>
      </c>
      <c r="AD93" s="300">
        <f t="shared" si="216"/>
        <v>0.25096426789858023</v>
      </c>
      <c r="AE93" s="301">
        <f t="shared" si="216"/>
        <v>0.29124694209517671</v>
      </c>
      <c r="AF93" s="302">
        <f t="shared" si="216"/>
        <v>1.1109494782829168</v>
      </c>
      <c r="AG93" s="300">
        <f t="shared" si="216"/>
        <v>0.27104615113916308</v>
      </c>
      <c r="AH93" s="300">
        <f t="shared" si="216"/>
        <v>0.32940072208072357</v>
      </c>
      <c r="AI93" s="300">
        <f t="shared" si="216"/>
        <v>0.41025707645100579</v>
      </c>
      <c r="AJ93" s="301">
        <f t="shared" si="216"/>
        <v>0.44704891058424967</v>
      </c>
      <c r="AK93" s="302">
        <f t="shared" si="216"/>
        <v>1.4536516548300569</v>
      </c>
      <c r="AL93" s="300">
        <f t="shared" si="216"/>
        <v>0.42226902129458194</v>
      </c>
      <c r="AM93" s="300">
        <f t="shared" si="216"/>
        <v>0.43488274016427997</v>
      </c>
      <c r="AN93" s="300">
        <f t="shared" si="216"/>
        <v>0.43028305481777757</v>
      </c>
      <c r="AO93" s="301">
        <f t="shared" si="216"/>
        <v>0.54771901408023072</v>
      </c>
      <c r="AP93" s="302">
        <f t="shared" si="216"/>
        <v>1.8284187678437418</v>
      </c>
      <c r="AQ93" s="300">
        <f t="shared" si="216"/>
        <v>0.38287810466291394</v>
      </c>
      <c r="AR93" s="300">
        <f t="shared" si="216"/>
        <v>0.28772905391835607</v>
      </c>
      <c r="AS93" s="300">
        <f t="shared" si="216"/>
        <v>0.27541278917806977</v>
      </c>
      <c r="AT93" s="300">
        <f t="shared" si="216"/>
        <v>0.32872873030012867</v>
      </c>
      <c r="AU93" s="302">
        <f t="shared" si="216"/>
        <v>1.2744913246521989</v>
      </c>
      <c r="AV93" s="300">
        <f t="shared" si="216"/>
        <v>0.306063137737142</v>
      </c>
      <c r="AW93" s="300">
        <f t="shared" si="216"/>
        <v>0.35505167282690009</v>
      </c>
      <c r="AX93" s="300">
        <f t="shared" si="216"/>
        <v>0.47051563703009719</v>
      </c>
      <c r="AY93" s="300">
        <f t="shared" si="216"/>
        <v>0.47004217138717469</v>
      </c>
      <c r="AZ93" s="302">
        <f t="shared" si="216"/>
        <v>1.5976095241399701</v>
      </c>
      <c r="BA93" s="300">
        <f t="shared" si="216"/>
        <v>0.47393895709360101</v>
      </c>
      <c r="BB93" s="300">
        <f t="shared" si="216"/>
        <v>0.43756725052269868</v>
      </c>
      <c r="BC93" s="300">
        <f t="shared" si="216"/>
        <v>0.4466520131222777</v>
      </c>
      <c r="BD93" s="300">
        <f t="shared" si="216"/>
        <v>0.55814327687859944</v>
      </c>
      <c r="BE93" s="302">
        <f t="shared" si="216"/>
        <v>1.915165874004805</v>
      </c>
      <c r="BF93" s="300">
        <f t="shared" si="216"/>
        <v>0.45606305532544072</v>
      </c>
      <c r="BG93" s="300">
        <f t="shared" si="216"/>
        <v>0.48827577480692164</v>
      </c>
      <c r="BH93" s="300">
        <f t="shared" ref="BH93:CM93" si="217">BH92/BH114</f>
        <v>0.45788614057765481</v>
      </c>
      <c r="BI93" s="300">
        <f t="shared" si="217"/>
        <v>0.49516063146327105</v>
      </c>
      <c r="BJ93" s="302">
        <f t="shared" si="217"/>
        <v>1.8975075852591758</v>
      </c>
      <c r="BK93" s="300">
        <f t="shared" si="217"/>
        <v>0.21783038279262926</v>
      </c>
      <c r="BL93" s="300">
        <f t="shared" si="217"/>
        <v>0.23569750027941169</v>
      </c>
      <c r="BM93" s="300">
        <f t="shared" si="217"/>
        <v>0.19511929000340497</v>
      </c>
      <c r="BN93" s="301">
        <f t="shared" si="217"/>
        <v>0.18831666539557518</v>
      </c>
      <c r="BO93" s="1454">
        <f t="shared" si="217"/>
        <v>0.8368966081112863</v>
      </c>
      <c r="BP93" s="300">
        <f t="shared" si="217"/>
        <v>0.16773023084333205</v>
      </c>
      <c r="BQ93" s="300">
        <f t="shared" si="217"/>
        <v>0.23731344715407726</v>
      </c>
      <c r="BR93" s="300">
        <f t="shared" si="217"/>
        <v>0.14670578166991347</v>
      </c>
      <c r="BS93" s="301">
        <f t="shared" si="217"/>
        <v>0.2228320730334469</v>
      </c>
      <c r="BT93" s="1454">
        <f t="shared" si="217"/>
        <v>0.77443712128378472</v>
      </c>
      <c r="BU93" s="300">
        <f t="shared" si="217"/>
        <v>0.30722036520913298</v>
      </c>
      <c r="BV93" s="300">
        <f t="shared" si="217"/>
        <v>0.34512377019457158</v>
      </c>
      <c r="BW93" s="300">
        <f t="shared" si="217"/>
        <v>0.41269596707061801</v>
      </c>
      <c r="BX93" s="301">
        <f t="shared" si="217"/>
        <v>0.4886277184672711</v>
      </c>
      <c r="BY93" s="1454">
        <f>BY92/BY114</f>
        <v>1.553452022348883</v>
      </c>
      <c r="BZ93" s="300">
        <f>BZ92/BZ114</f>
        <v>0.51456563017306989</v>
      </c>
      <c r="CA93" s="300">
        <f t="shared" si="217"/>
        <v>0.57174533530813543</v>
      </c>
      <c r="CB93" s="300">
        <f t="shared" si="217"/>
        <v>0.61251659789028712</v>
      </c>
      <c r="CC93" s="300">
        <f t="shared" ref="CC93" si="218">CC92/CC114</f>
        <v>0.76638535997630142</v>
      </c>
      <c r="CD93" s="1454">
        <f t="shared" si="217"/>
        <v>2.463971595489745</v>
      </c>
      <c r="CE93" s="300">
        <f>CE92/CE114</f>
        <v>0.7784234839320181</v>
      </c>
      <c r="CF93" s="300">
        <f t="shared" ref="CF93" si="219">CF92/CF114</f>
        <v>0.83276015551204075</v>
      </c>
      <c r="CG93" s="300">
        <f t="shared" si="217"/>
        <v>0.91103713003284092</v>
      </c>
      <c r="CH93" s="300">
        <f t="shared" ref="CH93" si="220">CH92/CH114</f>
        <v>1.0673270791321632</v>
      </c>
      <c r="CI93" s="1454">
        <f t="shared" si="217"/>
        <v>3.5893290665120272</v>
      </c>
      <c r="CJ93" s="300">
        <f t="shared" si="217"/>
        <v>1.3042815380498771</v>
      </c>
      <c r="CK93" s="303">
        <f t="shared" si="217"/>
        <v>1.3181042023695708</v>
      </c>
      <c r="CL93" s="303">
        <f t="shared" si="217"/>
        <v>1.3726212959161039</v>
      </c>
      <c r="CM93" s="304">
        <f t="shared" si="217"/>
        <v>1.4516761334192327</v>
      </c>
      <c r="CN93" s="1237">
        <f t="shared" ref="CN93:CS93" si="221">CN92/CN114</f>
        <v>5.446312646948873</v>
      </c>
      <c r="CO93" s="303">
        <f t="shared" si="221"/>
        <v>1.4650831754014313</v>
      </c>
      <c r="CP93" s="303">
        <f t="shared" si="221"/>
        <v>1.479158234934711</v>
      </c>
      <c r="CQ93" s="303">
        <f t="shared" si="221"/>
        <v>1.5468955036207725</v>
      </c>
      <c r="CR93" s="304">
        <f t="shared" si="221"/>
        <v>1.6442270741639275</v>
      </c>
      <c r="CS93" s="1237">
        <f t="shared" si="221"/>
        <v>6.1350612940021492</v>
      </c>
      <c r="CT93" s="303">
        <f t="shared" ref="CT93:CX93" si="222">CT92/CT114</f>
        <v>1.7693302896718035</v>
      </c>
      <c r="CU93" s="303">
        <f t="shared" si="222"/>
        <v>1.7957376182808484</v>
      </c>
      <c r="CV93" s="303">
        <f t="shared" si="222"/>
        <v>1.8614840487973916</v>
      </c>
      <c r="CW93" s="304">
        <f t="shared" si="222"/>
        <v>1.9602144960500358</v>
      </c>
      <c r="CX93" s="1237">
        <f t="shared" si="222"/>
        <v>7.3864471298576424</v>
      </c>
      <c r="CY93" s="1924">
        <f>(CX93/CI93)^0.33-1</f>
        <v>0.26890574845603776</v>
      </c>
      <c r="DA93" s="1313"/>
      <c r="DB93" s="300"/>
      <c r="DC93" s="300"/>
    </row>
    <row r="94" spans="1:107">
      <c r="A94" s="155" t="s">
        <v>630</v>
      </c>
      <c r="B94" s="305"/>
      <c r="C94" s="306"/>
      <c r="D94" s="307"/>
      <c r="E94" s="307"/>
      <c r="F94" s="308"/>
      <c r="G94" s="309"/>
      <c r="H94" s="307"/>
      <c r="I94" s="307"/>
      <c r="J94" s="307"/>
      <c r="K94" s="308"/>
      <c r="L94" s="308"/>
      <c r="M94" s="189"/>
      <c r="N94" s="310"/>
      <c r="O94" s="189"/>
      <c r="P94" s="190"/>
      <c r="Q94" s="311"/>
      <c r="R94" s="189"/>
      <c r="S94" s="189"/>
      <c r="T94" s="189"/>
      <c r="U94" s="190"/>
      <c r="V94" s="311"/>
      <c r="W94" s="194"/>
      <c r="X94" s="194"/>
      <c r="Y94" s="194"/>
      <c r="Z94" s="190"/>
      <c r="AA94" s="311"/>
      <c r="AB94" s="189"/>
      <c r="AC94" s="189"/>
      <c r="AD94" s="189"/>
      <c r="AE94" s="190"/>
      <c r="AF94" s="311"/>
      <c r="AG94" s="189">
        <f t="shared" ref="AG94:AZ94" si="223">AG93/AB93-1</f>
        <v>-7.0608384478886843E-2</v>
      </c>
      <c r="AH94" s="189">
        <f t="shared" si="223"/>
        <v>0.1908474004459404</v>
      </c>
      <c r="AI94" s="189">
        <f t="shared" si="223"/>
        <v>0.63472306191732053</v>
      </c>
      <c r="AJ94" s="190">
        <f t="shared" si="223"/>
        <v>0.53494799762793166</v>
      </c>
      <c r="AK94" s="311">
        <f t="shared" si="223"/>
        <v>0.30847683287706329</v>
      </c>
      <c r="AL94" s="189">
        <f t="shared" si="223"/>
        <v>0.55792295710473527</v>
      </c>
      <c r="AM94" s="189">
        <f t="shared" si="223"/>
        <v>0.32022400381292049</v>
      </c>
      <c r="AN94" s="189">
        <f t="shared" si="223"/>
        <v>4.8813243003654527E-2</v>
      </c>
      <c r="AO94" s="190">
        <f t="shared" si="223"/>
        <v>0.22518811949326745</v>
      </c>
      <c r="AP94" s="311">
        <f t="shared" si="223"/>
        <v>0.25781081166759856</v>
      </c>
      <c r="AQ94" s="189">
        <f t="shared" si="223"/>
        <v>-9.3283936649921184E-2</v>
      </c>
      <c r="AR94" s="189">
        <f t="shared" si="223"/>
        <v>-0.33837554967193129</v>
      </c>
      <c r="AS94" s="189">
        <f t="shared" si="223"/>
        <v>-0.35992648073323374</v>
      </c>
      <c r="AT94" s="189">
        <f t="shared" si="223"/>
        <v>-0.39982231427157289</v>
      </c>
      <c r="AU94" s="311">
        <f t="shared" si="223"/>
        <v>-0.30295436304495538</v>
      </c>
      <c r="AV94" s="189">
        <f t="shared" si="223"/>
        <v>-0.2006251232187849</v>
      </c>
      <c r="AW94" s="189">
        <f t="shared" si="223"/>
        <v>0.23397921757198348</v>
      </c>
      <c r="AX94" s="189">
        <f t="shared" si="223"/>
        <v>0.70840155402472083</v>
      </c>
      <c r="AY94" s="189">
        <f t="shared" si="223"/>
        <v>0.4298785839559176</v>
      </c>
      <c r="AZ94" s="311">
        <f t="shared" si="223"/>
        <v>0.25352718628818294</v>
      </c>
      <c r="BA94" s="189">
        <f t="shared" ref="BA94:BJ94" si="224">BA93/AV93-1</f>
        <v>0.54850061525748584</v>
      </c>
      <c r="BB94" s="189">
        <f t="shared" si="224"/>
        <v>0.23240441888025631</v>
      </c>
      <c r="BC94" s="189">
        <f t="shared" si="224"/>
        <v>-5.0718025140348399E-2</v>
      </c>
      <c r="BD94" s="189">
        <f t="shared" si="224"/>
        <v>0.18743234299897682</v>
      </c>
      <c r="BE94" s="311">
        <f t="shared" si="224"/>
        <v>0.19876969000656319</v>
      </c>
      <c r="BF94" s="189">
        <f t="shared" si="224"/>
        <v>-3.7717730312323505E-2</v>
      </c>
      <c r="BG94" s="189">
        <f t="shared" si="224"/>
        <v>0.11588738467892368</v>
      </c>
      <c r="BH94" s="189">
        <f t="shared" si="224"/>
        <v>2.5151856759462632E-2</v>
      </c>
      <c r="BI94" s="189">
        <f t="shared" si="224"/>
        <v>-0.11284314982267107</v>
      </c>
      <c r="BJ94" s="311">
        <f t="shared" si="224"/>
        <v>-9.2202398681550113E-3</v>
      </c>
      <c r="BK94" s="189">
        <f t="shared" ref="BK94:BT94" si="225">BK93/BF93-1</f>
        <v>-0.52236783872530901</v>
      </c>
      <c r="BL94" s="189">
        <f t="shared" si="225"/>
        <v>-0.51728610666254471</v>
      </c>
      <c r="BM94" s="189">
        <f t="shared" si="225"/>
        <v>-0.57386941269449965</v>
      </c>
      <c r="BN94" s="190">
        <f t="shared" si="225"/>
        <v>-0.61968570716320426</v>
      </c>
      <c r="BO94" s="1456">
        <f t="shared" si="225"/>
        <v>-0.55894953221123655</v>
      </c>
      <c r="BP94" s="189">
        <f t="shared" si="225"/>
        <v>-0.22999616172456383</v>
      </c>
      <c r="BQ94" s="189">
        <f t="shared" si="225"/>
        <v>6.8560204191809859E-3</v>
      </c>
      <c r="BR94" s="189">
        <f t="shared" si="225"/>
        <v>-0.24812261428711968</v>
      </c>
      <c r="BS94" s="190">
        <f t="shared" si="225"/>
        <v>0.18328387222325326</v>
      </c>
      <c r="BT94" s="1456">
        <f t="shared" si="225"/>
        <v>-7.4632261885324791E-2</v>
      </c>
      <c r="BU94" s="189">
        <f t="shared" ref="BU94:CF94" si="226">BU93/BP93-1</f>
        <v>0.83163383049351003</v>
      </c>
      <c r="BV94" s="189">
        <f t="shared" si="226"/>
        <v>0.4542950445218461</v>
      </c>
      <c r="BW94" s="189">
        <f t="shared" si="226"/>
        <v>1.8130859082239841</v>
      </c>
      <c r="BX94" s="190">
        <f t="shared" si="226"/>
        <v>1.1928069501643441</v>
      </c>
      <c r="BY94" s="1456">
        <f t="shared" si="226"/>
        <v>1.005911105828353</v>
      </c>
      <c r="BZ94" s="189">
        <f t="shared" si="226"/>
        <v>0.67490729275968264</v>
      </c>
      <c r="CA94" s="189">
        <f t="shared" si="226"/>
        <v>0.65663852995637084</v>
      </c>
      <c r="CB94" s="189">
        <f t="shared" si="226"/>
        <v>0.48418362853901353</v>
      </c>
      <c r="CC94" s="189">
        <f t="shared" si="226"/>
        <v>0.56844430025439685</v>
      </c>
      <c r="CD94" s="1456">
        <f t="shared" si="226"/>
        <v>0.58612661353011664</v>
      </c>
      <c r="CE94" s="189">
        <f t="shared" si="226"/>
        <v>0.512777842682967</v>
      </c>
      <c r="CF94" s="189">
        <f t="shared" si="226"/>
        <v>0.45652286793600938</v>
      </c>
      <c r="CG94" s="189">
        <f t="shared" ref="CG94:CN94" si="227">CG93/CB93-1</f>
        <v>0.48736725367240452</v>
      </c>
      <c r="CH94" s="189">
        <f t="shared" si="227"/>
        <v>0.392676758811217</v>
      </c>
      <c r="CI94" s="1456">
        <f t="shared" si="227"/>
        <v>0.45672501788666264</v>
      </c>
      <c r="CJ94" s="189">
        <f t="shared" si="227"/>
        <v>0.6755423814574737</v>
      </c>
      <c r="CK94" s="198">
        <f t="shared" si="227"/>
        <v>0.582813723309211</v>
      </c>
      <c r="CL94" s="198">
        <f t="shared" si="227"/>
        <v>0.50665790741879402</v>
      </c>
      <c r="CM94" s="199">
        <f t="shared" si="227"/>
        <v>0.36010428462058819</v>
      </c>
      <c r="CN94" s="1238">
        <f t="shared" si="227"/>
        <v>0.51736231090157236</v>
      </c>
      <c r="CO94" s="198">
        <f t="shared" ref="CO94:CX94" si="228">CO93/CJ93-1</f>
        <v>0.12328752087680384</v>
      </c>
      <c r="CP94" s="198">
        <f t="shared" si="228"/>
        <v>0.12218611569222793</v>
      </c>
      <c r="CQ94" s="198">
        <f t="shared" si="228"/>
        <v>0.12696452271517167</v>
      </c>
      <c r="CR94" s="199">
        <f t="shared" si="228"/>
        <v>0.13264042599582204</v>
      </c>
      <c r="CS94" s="1238">
        <f t="shared" si="228"/>
        <v>0.12646145965181166</v>
      </c>
      <c r="CT94" s="198">
        <f t="shared" si="228"/>
        <v>0.20766542089803797</v>
      </c>
      <c r="CU94" s="198">
        <f t="shared" si="228"/>
        <v>0.21402671862223799</v>
      </c>
      <c r="CV94" s="198">
        <f t="shared" si="228"/>
        <v>0.20336767702813208</v>
      </c>
      <c r="CW94" s="199">
        <f t="shared" si="228"/>
        <v>0.19217991654028976</v>
      </c>
      <c r="CX94" s="1238">
        <f t="shared" si="228"/>
        <v>0.20397283350353668</v>
      </c>
      <c r="DA94" s="201"/>
      <c r="DB94" s="200"/>
      <c r="DC94" s="200"/>
    </row>
    <row r="95" spans="1:107">
      <c r="A95" s="313"/>
      <c r="B95" s="314"/>
      <c r="C95" s="315"/>
      <c r="D95" s="316"/>
      <c r="E95" s="316"/>
      <c r="F95" s="317"/>
      <c r="G95" s="318"/>
      <c r="H95" s="316"/>
      <c r="I95" s="316"/>
      <c r="J95" s="316"/>
      <c r="K95" s="317"/>
      <c r="L95" s="319"/>
      <c r="M95" s="316"/>
      <c r="N95" s="316"/>
      <c r="O95" s="316"/>
      <c r="P95" s="317"/>
      <c r="Q95" s="318"/>
      <c r="R95" s="316"/>
      <c r="S95" s="316"/>
      <c r="T95" s="316"/>
      <c r="U95" s="317"/>
      <c r="V95" s="318"/>
      <c r="W95" s="316"/>
      <c r="X95" s="316"/>
      <c r="Y95" s="316"/>
      <c r="Z95" s="317"/>
      <c r="AA95" s="318"/>
      <c r="AB95" s="316"/>
      <c r="AC95" s="316"/>
      <c r="AD95" s="316"/>
      <c r="AE95" s="317"/>
      <c r="AF95" s="318"/>
      <c r="AG95" s="316"/>
      <c r="AH95" s="316"/>
      <c r="AI95" s="316"/>
      <c r="AJ95" s="317"/>
      <c r="AK95" s="318"/>
      <c r="AL95" s="324"/>
      <c r="AM95" s="324"/>
      <c r="AN95" s="316"/>
      <c r="AO95" s="317"/>
      <c r="AP95" s="318"/>
      <c r="AQ95" s="324"/>
      <c r="AR95" s="1117"/>
      <c r="AS95" s="324"/>
      <c r="AT95" s="319"/>
      <c r="AU95" s="318"/>
      <c r="AV95" s="324"/>
      <c r="AW95" s="1117"/>
      <c r="AX95" s="1117"/>
      <c r="AY95" s="319"/>
      <c r="AZ95" s="318"/>
      <c r="BA95" s="324"/>
      <c r="BB95" s="1117"/>
      <c r="BC95" s="324"/>
      <c r="BD95" s="319"/>
      <c r="BE95" s="318"/>
      <c r="BF95" s="324"/>
      <c r="BG95" s="1117"/>
      <c r="BH95" s="1117"/>
      <c r="BI95" s="1117"/>
      <c r="BJ95" s="318"/>
      <c r="BK95" s="324"/>
      <c r="BL95" s="1117"/>
      <c r="BM95" s="1117"/>
      <c r="BN95" s="319"/>
      <c r="BO95" s="1450"/>
      <c r="BP95" s="324"/>
      <c r="BQ95" s="1117"/>
      <c r="BR95" s="1117"/>
      <c r="BS95" s="319"/>
      <c r="BT95" s="1450"/>
      <c r="BU95" s="324"/>
      <c r="BV95" s="1117"/>
      <c r="BW95" s="1117"/>
      <c r="BX95" s="319"/>
      <c r="BY95" s="1450"/>
      <c r="BZ95" s="325"/>
      <c r="CA95" s="325"/>
      <c r="CB95" s="325"/>
      <c r="CC95" s="319"/>
      <c r="CD95" s="1450"/>
      <c r="CE95" s="324"/>
      <c r="CF95" s="324"/>
      <c r="CG95" s="324"/>
      <c r="CH95" s="319"/>
      <c r="CI95" s="1450"/>
      <c r="CJ95" s="324"/>
      <c r="CK95" s="325"/>
      <c r="CL95" s="325"/>
      <c r="CM95" s="326"/>
      <c r="CN95" s="1133"/>
      <c r="CO95" s="325"/>
      <c r="CP95" s="325"/>
      <c r="CQ95" s="325"/>
      <c r="CR95" s="326"/>
      <c r="CS95" s="1133"/>
      <c r="CT95" s="325"/>
      <c r="CU95" s="325"/>
      <c r="CV95" s="325"/>
      <c r="CW95" s="326"/>
      <c r="CX95" s="1133"/>
      <c r="DA95" s="323"/>
      <c r="DB95" s="322"/>
      <c r="DC95" s="322"/>
    </row>
    <row r="96" spans="1:107" ht="14.25" outlineLevel="1">
      <c r="A96" s="327" t="s">
        <v>599</v>
      </c>
      <c r="B96" s="293"/>
      <c r="C96" s="346"/>
      <c r="D96" s="347"/>
      <c r="E96" s="347"/>
      <c r="F96" s="348"/>
      <c r="G96" s="349"/>
      <c r="H96" s="347"/>
      <c r="I96" s="347"/>
      <c r="J96" s="347"/>
      <c r="K96" s="348"/>
      <c r="L96" s="350"/>
      <c r="M96" s="331"/>
      <c r="N96" s="331"/>
      <c r="O96" s="331"/>
      <c r="P96" s="332"/>
      <c r="Q96" s="333"/>
      <c r="R96" s="331"/>
      <c r="S96" s="331"/>
      <c r="T96" s="331"/>
      <c r="U96" s="332"/>
      <c r="V96" s="333"/>
      <c r="W96" s="331"/>
      <c r="X96" s="331"/>
      <c r="Y96" s="331"/>
      <c r="Z96" s="332"/>
      <c r="AA96" s="163"/>
      <c r="AB96" s="162"/>
      <c r="AC96" s="162"/>
      <c r="AD96" s="162"/>
      <c r="AE96" s="161"/>
      <c r="AF96" s="163"/>
      <c r="AG96" s="162"/>
      <c r="AH96" s="162"/>
      <c r="AI96" s="162"/>
      <c r="AJ96" s="161"/>
      <c r="AK96" s="163"/>
      <c r="AL96" s="162"/>
      <c r="AM96" s="162"/>
      <c r="AN96" s="162"/>
      <c r="AO96" s="161"/>
      <c r="AP96" s="163"/>
      <c r="AQ96" s="162"/>
      <c r="AR96" s="168"/>
      <c r="AS96" s="162"/>
      <c r="AT96" s="161"/>
      <c r="AU96" s="163"/>
      <c r="AV96" s="162"/>
      <c r="AW96" s="168"/>
      <c r="AX96" s="168"/>
      <c r="AY96" s="161"/>
      <c r="AZ96" s="163"/>
      <c r="BA96" s="162"/>
      <c r="BB96" s="168"/>
      <c r="BC96" s="162"/>
      <c r="BD96" s="161"/>
      <c r="BE96" s="163"/>
      <c r="BF96" s="162"/>
      <c r="BG96" s="168"/>
      <c r="BH96" s="168"/>
      <c r="BI96" s="168"/>
      <c r="BJ96" s="163"/>
      <c r="BK96" s="162"/>
      <c r="BL96" s="168"/>
      <c r="BM96" s="168"/>
      <c r="BN96" s="161"/>
      <c r="BO96" s="1437"/>
      <c r="BP96" s="162"/>
      <c r="BQ96" s="168"/>
      <c r="BR96" s="168"/>
      <c r="BS96" s="161"/>
      <c r="BT96" s="1437"/>
      <c r="BU96" s="162"/>
      <c r="BV96" s="168"/>
      <c r="BW96" s="168"/>
      <c r="BX96" s="161"/>
      <c r="BY96" s="1437"/>
      <c r="BZ96" s="168"/>
      <c r="CA96" s="168"/>
      <c r="CB96" s="168"/>
      <c r="CC96" s="161"/>
      <c r="CD96" s="1437"/>
      <c r="CE96" s="162"/>
      <c r="CF96" s="162"/>
      <c r="CG96" s="162"/>
      <c r="CH96" s="161"/>
      <c r="CI96" s="1437"/>
      <c r="CJ96" s="162"/>
      <c r="CK96" s="168"/>
      <c r="CL96" s="168"/>
      <c r="CM96" s="169"/>
      <c r="CN96" s="1018"/>
      <c r="CO96" s="168"/>
      <c r="CP96" s="168"/>
      <c r="CQ96" s="168"/>
      <c r="CR96" s="169"/>
      <c r="CS96" s="1018"/>
      <c r="CT96" s="168"/>
      <c r="CU96" s="168"/>
      <c r="CV96" s="168"/>
      <c r="CW96" s="169"/>
      <c r="CX96" s="1018"/>
      <c r="DA96" s="323"/>
      <c r="DB96" s="334"/>
      <c r="DC96" s="334"/>
    </row>
    <row r="97" spans="1:107" outlineLevel="1">
      <c r="A97" s="328" t="s">
        <v>139</v>
      </c>
      <c r="B97" s="293"/>
      <c r="C97" s="351">
        <f>C110+C56-C59-C58-C62</f>
        <v>66.532999999999973</v>
      </c>
      <c r="D97" s="352">
        <f>D110+D56-D59-D58-D62</f>
        <v>53.464000000000048</v>
      </c>
      <c r="E97" s="352">
        <f>E110+E56-E59-E58-E62</f>
        <v>29.667000000000005</v>
      </c>
      <c r="F97" s="353">
        <f>F110+F56-F59-F58-F62</f>
        <v>42.803999999999917</v>
      </c>
      <c r="G97" s="139">
        <f>SUM(C97:F97)</f>
        <v>192.46799999999993</v>
      </c>
      <c r="H97" s="352">
        <f>H110+H56-H59-H58-H62</f>
        <v>58.707999999999998</v>
      </c>
      <c r="I97" s="352">
        <f>I110+I56-I59-I58-I62</f>
        <v>59.857000000000056</v>
      </c>
      <c r="J97" s="352">
        <f>J110+J56-J59-J58-J62</f>
        <v>50.742000000000019</v>
      </c>
      <c r="K97" s="353">
        <f>K110+K56-K59-K58-K62</f>
        <v>60.982000000000006</v>
      </c>
      <c r="L97" s="138">
        <f>SUM(H97:K97)</f>
        <v>230.28900000000007</v>
      </c>
      <c r="M97" s="352">
        <f>M110+M56-M59-M58-M62</f>
        <v>54.224999999999952</v>
      </c>
      <c r="N97" s="352">
        <f>N110+N56-N59-N58-N62</f>
        <v>64.245999999999952</v>
      </c>
      <c r="O97" s="352">
        <f>O110+O56-O59-O58-O62</f>
        <v>64.08499999999998</v>
      </c>
      <c r="P97" s="353">
        <f>P110+P56-P59-P58-P62</f>
        <v>83.243999999999957</v>
      </c>
      <c r="Q97" s="139">
        <f>SUM(M97:P97)</f>
        <v>265.79999999999984</v>
      </c>
      <c r="R97" s="352">
        <f>R110+R56-R59-R58-R62</f>
        <v>123.03499999999997</v>
      </c>
      <c r="S97" s="352">
        <f>S110+S56-S59-S58-S62</f>
        <v>109.40099999999997</v>
      </c>
      <c r="T97" s="352">
        <f>T110+T56-T59-T58-T62</f>
        <v>104.46099999999996</v>
      </c>
      <c r="U97" s="353">
        <f>U110+U56-U59-U58-U62</f>
        <v>113.50099999999998</v>
      </c>
      <c r="V97" s="139">
        <f>SUM(R97:U97)</f>
        <v>450.39799999999985</v>
      </c>
      <c r="W97" s="352">
        <f>W110+W56-W59-W58-W62</f>
        <v>151.89400000000001</v>
      </c>
      <c r="X97" s="352">
        <f>X110+X56-X59-X58-X62</f>
        <v>149.77799999999993</v>
      </c>
      <c r="Y97" s="352">
        <f>Y110+Y56-Y59-Y58-Y62</f>
        <v>144.91599999999997</v>
      </c>
      <c r="Z97" s="353">
        <f>Z110+Z56-Z59-Z58-Z62</f>
        <v>156.25100000000015</v>
      </c>
      <c r="AA97" s="139">
        <f>SUM(W97:Z97)</f>
        <v>602.83899999999994</v>
      </c>
      <c r="AB97" s="233">
        <f>AB110+AB56-AB59-AB58-AB62</f>
        <v>164.61900000000003</v>
      </c>
      <c r="AC97" s="233">
        <f>AC110+AC56-AC59-AC58-AC62</f>
        <v>157.39699999999999</v>
      </c>
      <c r="AD97" s="233">
        <f>AD110+AD56-AD59-AD58-AD62</f>
        <v>129.89199999999997</v>
      </c>
      <c r="AE97" s="354">
        <f>AE110+AE56-AE59-AE58-AE62</f>
        <v>208.113</v>
      </c>
      <c r="AF97" s="139">
        <f>SUM(AB97:AE97)</f>
        <v>660.02099999999996</v>
      </c>
      <c r="AG97" s="233">
        <f>AG110+AG56-AG59-AG58-AG62</f>
        <v>160.26800000000011</v>
      </c>
      <c r="AH97" s="233">
        <f>AH110+AH56-AH59-AH58-AH62</f>
        <v>177.92</v>
      </c>
      <c r="AI97" s="233">
        <f>AI110+AI56-AI59-AI58-AI62</f>
        <v>229.59299999999993</v>
      </c>
      <c r="AJ97" s="354">
        <f>AJ110+AJ56-AJ59-AJ58-AJ62</f>
        <v>244.81399999999999</v>
      </c>
      <c r="AK97" s="139">
        <f>SUM(AG97:AJ97)</f>
        <v>812.59500000000003</v>
      </c>
      <c r="AL97" s="233">
        <f>AL110+AL56-AL59-AL58-AL62</f>
        <v>237.80199999999994</v>
      </c>
      <c r="AM97" s="233">
        <f>AM110+AM56-AM59-AM58-AM62</f>
        <v>232.00899999999996</v>
      </c>
      <c r="AN97" s="233">
        <f>AN110+AN56-AN59-AN58-AN62</f>
        <v>209.82600000000002</v>
      </c>
      <c r="AO97" s="354">
        <f>AO110+AO56-AO59-AO58-AO62</f>
        <v>292.36900000000009</v>
      </c>
      <c r="AP97" s="139">
        <f>SUM(AL97:AO97)</f>
        <v>972.00600000000009</v>
      </c>
      <c r="AQ97" s="233">
        <f>AQ110+AQ56-AQ59-AQ58-AQ62</f>
        <v>185.7289999999999</v>
      </c>
      <c r="AR97" s="233">
        <f>AR110+AR56-AR59-AR58-AR62</f>
        <v>143.84600000000006</v>
      </c>
      <c r="AS97" s="233">
        <f>AS110+AS56-AS59-AS58-AS62</f>
        <v>150.02800000000008</v>
      </c>
      <c r="AT97" s="354">
        <f>AT110+AT56-AT59-AT58-AT62</f>
        <v>11.910999999999976</v>
      </c>
      <c r="AU97" s="139">
        <f>SUM(AQ97:AT97)</f>
        <v>491.51400000000001</v>
      </c>
      <c r="AV97" s="233">
        <f>AV110+AV56-AV59-AV58-AV62</f>
        <v>156.57199999999995</v>
      </c>
      <c r="AW97" s="233">
        <f>AW110+AW56-AW59-AW58-AW62</f>
        <v>178.03199999999993</v>
      </c>
      <c r="AX97" s="233">
        <f>AX110+AX56-AX59-AX58-AX62</f>
        <v>245.28299999999993</v>
      </c>
      <c r="AY97" s="354">
        <f>AY110+AY56-AY59-AY58-AY62</f>
        <v>287.94099999999986</v>
      </c>
      <c r="AZ97" s="139">
        <f>SUM(AV97:AY97)</f>
        <v>867.82799999999975</v>
      </c>
      <c r="BA97" s="233">
        <f>BA110+BA56-BA59-BA58-BA62</f>
        <v>250.5320000000001</v>
      </c>
      <c r="BB97" s="233">
        <f>BB110+BB56-BB59-BB58-BB62</f>
        <v>243.84999999999994</v>
      </c>
      <c r="BC97" s="233">
        <f>BC110+BC56-BC59-BC58-BC62</f>
        <v>212.61699999999996</v>
      </c>
      <c r="BD97" s="233">
        <f>BD110+BD56-BD59-BD58-BD62</f>
        <v>288.92099999999999</v>
      </c>
      <c r="BE97" s="139">
        <f>SUM(BA97:BD97)</f>
        <v>995.92000000000007</v>
      </c>
      <c r="BF97" s="233">
        <f>BF110+BF56-BF59-BF58-BF62</f>
        <v>198.81299999999999</v>
      </c>
      <c r="BG97" s="233">
        <f>BG110+BG56-BG59-BG58-BG62</f>
        <v>239.7760000000001</v>
      </c>
      <c r="BH97" s="233">
        <f>BH110+BH56-BH59-BH58-BH62</f>
        <v>222.06199999999995</v>
      </c>
      <c r="BI97" s="233">
        <f>BI110+BI56-BI59-BI58-BI62</f>
        <v>240.5559999999999</v>
      </c>
      <c r="BJ97" s="139">
        <f>SUM(BF97:BI97)</f>
        <v>901.20699999999999</v>
      </c>
      <c r="BK97" s="233">
        <f>BK110+BK56-BK59-BK58-BK62</f>
        <v>110.01899999999998</v>
      </c>
      <c r="BL97" s="233">
        <f>BL110+BL56-BL59-BL58-BL62</f>
        <v>123.18299999999991</v>
      </c>
      <c r="BM97" s="233">
        <f>BM110+BM56-BM59-BM58-BM62</f>
        <v>101.51099999999997</v>
      </c>
      <c r="BN97" s="354">
        <f>BN110+BN56-BN59-BN58-BN62</f>
        <v>86.372999999999877</v>
      </c>
      <c r="BO97" s="1440">
        <f>SUM(BK97:BN97)</f>
        <v>421.08599999999973</v>
      </c>
      <c r="BP97" s="233">
        <f>BP110+BP56-BP59-BP58-BP62</f>
        <v>66.060999999999922</v>
      </c>
      <c r="BQ97" s="233">
        <f>BQ110+BQ56-BQ59-BQ58-BQ62</f>
        <v>106.64100000000013</v>
      </c>
      <c r="BR97" s="233">
        <f>BR110+BR56-BR59-BR58-BR62</f>
        <v>63.605000000000089</v>
      </c>
      <c r="BS97" s="354">
        <f>BS110+BS56-BS59-BS58-BS62</f>
        <v>111.58899999999997</v>
      </c>
      <c r="BT97" s="1440">
        <f>SUM(BP97:BS97)</f>
        <v>347.89600000000007</v>
      </c>
      <c r="BU97" s="233">
        <f>BU110+BU56-BU59-BU58-BU62</f>
        <v>106.14300000000004</v>
      </c>
      <c r="BV97" s="233">
        <f>BV110+BV56-BV59-BV58-BV62</f>
        <v>169.52699999999993</v>
      </c>
      <c r="BW97" s="233">
        <f>BW110+BW56-BW59-BW58-BW62</f>
        <v>196.51399999999995</v>
      </c>
      <c r="BX97" s="354">
        <f>BX110+BX56-BX59-BX58-BX62</f>
        <v>242.72099999999966</v>
      </c>
      <c r="BY97" s="1440">
        <f>SUM(BU97:BX97)</f>
        <v>714.90499999999952</v>
      </c>
      <c r="BZ97" s="233">
        <f>BZ110+BZ56-BZ59-BZ58-BZ62</f>
        <v>271.78800000000007</v>
      </c>
      <c r="CA97" s="233">
        <f>CA110+CA56-CA59-CA58-CA62</f>
        <v>257.20200000000023</v>
      </c>
      <c r="CB97" s="233">
        <f>CB110+CB56-CB59-CB58-CB62</f>
        <v>283.88000000000011</v>
      </c>
      <c r="CC97" s="233">
        <f>CC110+CC56-CC59-CC58-CC62</f>
        <v>411.92399999999992</v>
      </c>
      <c r="CD97" s="1440">
        <f>SUM(BZ97:CC97)</f>
        <v>1224.7940000000003</v>
      </c>
      <c r="CE97" s="233">
        <f>CE110+CE56-CE59-CE58-CE62</f>
        <v>414.79599999999994</v>
      </c>
      <c r="CF97" s="233">
        <f>CF110+CF56-CF59-CF58-CF62</f>
        <v>391.59899999999999</v>
      </c>
      <c r="CG97" s="233">
        <f>CG110+CG56-CG59-CG58-CG62</f>
        <v>437.77600000000001</v>
      </c>
      <c r="CH97" s="233">
        <f>CH110+CH56-CH59-CH58-CH62</f>
        <v>517.66899999999976</v>
      </c>
      <c r="CI97" s="1440">
        <f>SUM(CE97:CH97)</f>
        <v>1761.8399999999997</v>
      </c>
      <c r="CJ97" s="233">
        <f>CJ110+CJ56-CJ59-CJ58-CJ62</f>
        <v>597.51481999999987</v>
      </c>
      <c r="CK97" s="355">
        <f>CK110+CK56-CK59-CK58-CK62</f>
        <v>624.26553594291477</v>
      </c>
      <c r="CL97" s="355">
        <f>CL110+CL56-CL59-CL58-CL62</f>
        <v>661.24276081613937</v>
      </c>
      <c r="CM97" s="356">
        <f>CM110+CM56-CM59-CM58-CM62</f>
        <v>703.043984246425</v>
      </c>
      <c r="CN97" s="1016">
        <f>SUM(CJ97:CM97)</f>
        <v>2586.0671010054793</v>
      </c>
      <c r="CO97" s="355">
        <f>CO110+CO56-CO59-CO58-CO62</f>
        <v>715.84795298212168</v>
      </c>
      <c r="CP97" s="355">
        <f>CP110+CP56-CP59-CP58-CP62</f>
        <v>722.10033437897971</v>
      </c>
      <c r="CQ97" s="355">
        <f>CQ110+CQ56-CQ59-CQ58-CQ62</f>
        <v>754.92320276183727</v>
      </c>
      <c r="CR97" s="356">
        <f>CR110+CR56-CR59-CR58-CR62</f>
        <v>802.32575084627297</v>
      </c>
      <c r="CS97" s="1016">
        <f>SUM(CO97:CR97)</f>
        <v>2995.1972409692116</v>
      </c>
      <c r="CT97" s="355">
        <f>CT110+CT56-CT59-CT58-CT62</f>
        <v>863.36301943722719</v>
      </c>
      <c r="CU97" s="355">
        <f>CU110+CU56-CU59-CU58-CU62</f>
        <v>875.53098173574006</v>
      </c>
      <c r="CV97" s="355">
        <f>CV110+CV56-CV59-CV58-CV62</f>
        <v>907.08409306175724</v>
      </c>
      <c r="CW97" s="356">
        <f>CW110+CW56-CW59-CW58-CW62</f>
        <v>954.83162505391886</v>
      </c>
      <c r="CX97" s="1016">
        <f>SUM(CT97:CW97)</f>
        <v>3600.8097192886435</v>
      </c>
      <c r="DA97" s="323"/>
      <c r="DB97" s="357"/>
      <c r="DC97" s="357"/>
    </row>
    <row r="98" spans="1:107" outlineLevel="1">
      <c r="A98" s="327" t="s">
        <v>140</v>
      </c>
      <c r="B98" s="293"/>
      <c r="C98" s="336">
        <f t="shared" ref="C98:AH98" si="229">C97/C114</f>
        <v>0.13117239530142852</v>
      </c>
      <c r="D98" s="337">
        <f t="shared" si="229"/>
        <v>0.10687370815625671</v>
      </c>
      <c r="E98" s="337">
        <f t="shared" si="229"/>
        <v>5.9676303275588788E-2</v>
      </c>
      <c r="F98" s="338">
        <f t="shared" si="229"/>
        <v>8.7613294486008297E-2</v>
      </c>
      <c r="G98" s="339">
        <f t="shared" si="229"/>
        <v>0.38625699893636223</v>
      </c>
      <c r="H98" s="337">
        <f t="shared" si="229"/>
        <v>0.11969255234561356</v>
      </c>
      <c r="I98" s="337">
        <f t="shared" si="229"/>
        <v>0.12083193708188168</v>
      </c>
      <c r="J98" s="337">
        <f t="shared" si="229"/>
        <v>0.1042465331278891</v>
      </c>
      <c r="K98" s="338">
        <f t="shared" si="229"/>
        <v>0.12910669901638233</v>
      </c>
      <c r="L98" s="338">
        <f t="shared" si="229"/>
        <v>0.47361374470938117</v>
      </c>
      <c r="M98" s="337">
        <f t="shared" si="229"/>
        <v>0.11522818261409119</v>
      </c>
      <c r="N98" s="337">
        <f t="shared" si="229"/>
        <v>0.13427270865292568</v>
      </c>
      <c r="O98" s="337">
        <f t="shared" si="229"/>
        <v>0.13323561820412061</v>
      </c>
      <c r="P98" s="338">
        <f t="shared" si="229"/>
        <v>0.16597414669741106</v>
      </c>
      <c r="Q98" s="339">
        <f t="shared" si="229"/>
        <v>0.55042451853385765</v>
      </c>
      <c r="R98" s="337">
        <f t="shared" si="229"/>
        <v>0.24998272968503005</v>
      </c>
      <c r="S98" s="337">
        <f t="shared" si="229"/>
        <v>0.22148372494159274</v>
      </c>
      <c r="T98" s="337">
        <f t="shared" si="229"/>
        <v>0.21136281782018743</v>
      </c>
      <c r="U98" s="338">
        <f t="shared" si="229"/>
        <v>0.22602646615564873</v>
      </c>
      <c r="V98" s="339">
        <f t="shared" si="229"/>
        <v>0.50206668688021672</v>
      </c>
      <c r="W98" s="337">
        <f t="shared" si="229"/>
        <v>0.30007783761571927</v>
      </c>
      <c r="X98" s="337">
        <f t="shared" si="229"/>
        <v>0.29474806949047128</v>
      </c>
      <c r="Y98" s="337">
        <f t="shared" si="229"/>
        <v>0.28536826952804228</v>
      </c>
      <c r="Z98" s="338">
        <f t="shared" si="229"/>
        <v>0.30753833133229702</v>
      </c>
      <c r="AA98" s="340">
        <f t="shared" si="229"/>
        <v>1.1877261136551589</v>
      </c>
      <c r="AB98" s="341">
        <f t="shared" si="229"/>
        <v>0.2647292948817942</v>
      </c>
      <c r="AC98" s="341">
        <f t="shared" si="229"/>
        <v>0.25642876227590566</v>
      </c>
      <c r="AD98" s="341">
        <f t="shared" si="229"/>
        <v>0.21616889838603914</v>
      </c>
      <c r="AE98" s="342">
        <f t="shared" si="229"/>
        <v>0.34560219205380499</v>
      </c>
      <c r="AF98" s="340">
        <f t="shared" si="229"/>
        <v>1.0825784229302498</v>
      </c>
      <c r="AG98" s="341">
        <f t="shared" si="229"/>
        <v>0.2652350272817996</v>
      </c>
      <c r="AH98" s="341">
        <f t="shared" si="229"/>
        <v>0.29485413901166191</v>
      </c>
      <c r="AI98" s="341">
        <f t="shared" ref="AI98:AZ98" si="230">AI97/AI114</f>
        <v>0.38436285227360228</v>
      </c>
      <c r="AJ98" s="342">
        <f t="shared" si="230"/>
        <v>0.41644595272724177</v>
      </c>
      <c r="AK98" s="340">
        <f t="shared" si="230"/>
        <v>1.3570957371299739</v>
      </c>
      <c r="AL98" s="341">
        <f t="shared" si="230"/>
        <v>0.41627703020871432</v>
      </c>
      <c r="AM98" s="341">
        <f t="shared" si="230"/>
        <v>0.42776413410622882</v>
      </c>
      <c r="AN98" s="341">
        <f t="shared" si="230"/>
        <v>0.38762559785409867</v>
      </c>
      <c r="AO98" s="342">
        <f t="shared" si="230"/>
        <v>0.5465903652298767</v>
      </c>
      <c r="AP98" s="340">
        <f t="shared" si="230"/>
        <v>1.7719454637929244</v>
      </c>
      <c r="AQ98" s="341">
        <f t="shared" si="230"/>
        <v>0.35187276206354295</v>
      </c>
      <c r="AR98" s="341">
        <f t="shared" si="230"/>
        <v>0.27242889853090746</v>
      </c>
      <c r="AS98" s="341">
        <f t="shared" si="230"/>
        <v>0.28210880222034618</v>
      </c>
      <c r="AT98" s="342">
        <f t="shared" si="230"/>
        <v>2.2390739170728636E-2</v>
      </c>
      <c r="AU98" s="340">
        <f t="shared" si="230"/>
        <v>0.92755422805955601</v>
      </c>
      <c r="AV98" s="341">
        <f t="shared" si="230"/>
        <v>0.29395188164725089</v>
      </c>
      <c r="AW98" s="341">
        <f>AW97/AW114</f>
        <v>0.33385653125404341</v>
      </c>
      <c r="AX98" s="341">
        <f t="shared" si="230"/>
        <v>0.46883189118829299</v>
      </c>
      <c r="AY98" s="342">
        <f t="shared" si="230"/>
        <v>0.5624693557429532</v>
      </c>
      <c r="AZ98" s="340">
        <f t="shared" si="230"/>
        <v>1.6522142249950731</v>
      </c>
      <c r="BA98" s="341">
        <f t="shared" ref="BA98:BJ98" si="231">BA97/BA114</f>
        <v>0.48999022100528083</v>
      </c>
      <c r="BB98" s="341">
        <f t="shared" si="231"/>
        <v>0.48165047009559919</v>
      </c>
      <c r="BC98" s="341">
        <f t="shared" si="231"/>
        <v>0.42630744213930671</v>
      </c>
      <c r="BD98" s="341">
        <f t="shared" si="231"/>
        <v>0.58216398542781611</v>
      </c>
      <c r="BE98" s="340">
        <f t="shared" si="231"/>
        <v>1.9793611178326245</v>
      </c>
      <c r="BF98" s="341">
        <f t="shared" si="231"/>
        <v>0.39732562182989656</v>
      </c>
      <c r="BG98" s="341">
        <f t="shared" si="231"/>
        <v>0.47823494097256175</v>
      </c>
      <c r="BH98" s="341">
        <f t="shared" si="231"/>
        <v>0.44433994921531855</v>
      </c>
      <c r="BI98" s="341">
        <f t="shared" si="231"/>
        <v>0.47904826009550833</v>
      </c>
      <c r="BJ98" s="340">
        <f t="shared" si="231"/>
        <v>1.7991162199687973</v>
      </c>
      <c r="BK98" s="341">
        <f t="shared" ref="BK98:BS98" si="232">BK97/BK114</f>
        <v>0.21664106805293001</v>
      </c>
      <c r="BL98" s="341">
        <f t="shared" si="232"/>
        <v>0.24038240126764557</v>
      </c>
      <c r="BM98" s="341">
        <f t="shared" si="232"/>
        <v>0.19745380276210847</v>
      </c>
      <c r="BN98" s="342">
        <f t="shared" si="232"/>
        <v>0.16900027784191163</v>
      </c>
      <c r="BO98" s="1457">
        <f t="shared" si="232"/>
        <v>0.82345165018470057</v>
      </c>
      <c r="BP98" s="341">
        <f>BP97/BP114</f>
        <v>0.12995436125427848</v>
      </c>
      <c r="BQ98" s="341">
        <f>BQ97/BQ114</f>
        <v>0.21046721151322242</v>
      </c>
      <c r="BR98" s="341">
        <f t="shared" si="232"/>
        <v>0.1252532930558812</v>
      </c>
      <c r="BS98" s="342">
        <f t="shared" si="232"/>
        <v>0.21990103477971265</v>
      </c>
      <c r="BT98" s="1457">
        <f>BT97/BT114</f>
        <v>0.68541178127842894</v>
      </c>
      <c r="BU98" s="341">
        <f t="shared" ref="BU98:CD98" si="233">BU97/BU114</f>
        <v>0.20913805401102611</v>
      </c>
      <c r="BV98" s="341">
        <f t="shared" si="233"/>
        <v>0.33531059254482937</v>
      </c>
      <c r="BW98" s="341">
        <f t="shared" si="233"/>
        <v>0.38851424154176761</v>
      </c>
      <c r="BX98" s="342">
        <f t="shared" si="233"/>
        <v>0.47967439507363396</v>
      </c>
      <c r="BY98" s="1457">
        <f t="shared" si="233"/>
        <v>1.4122075391285316</v>
      </c>
      <c r="BZ98" s="341">
        <f>BZ97/BZ114</f>
        <v>0.53747458847166973</v>
      </c>
      <c r="CA98" s="341">
        <f>CA97/CA114</f>
        <v>0.50958838971717313</v>
      </c>
      <c r="CB98" s="341">
        <f>CB97/CB114</f>
        <v>0.56362412616222191</v>
      </c>
      <c r="CC98" s="341">
        <f>CC97/CC114</f>
        <v>0.82191485625808081</v>
      </c>
      <c r="CD98" s="1457">
        <f t="shared" si="233"/>
        <v>2.4310560596572333</v>
      </c>
      <c r="CE98" s="341">
        <f>CE97/CE114</f>
        <v>0.82816589832308751</v>
      </c>
      <c r="CF98" s="341">
        <f>CF97/CF114</f>
        <v>0.78264858069635113</v>
      </c>
      <c r="CG98" s="341">
        <f t="shared" ref="CG98:CN98" si="234">CG97/CG114</f>
        <v>0.87485561493051534</v>
      </c>
      <c r="CH98" s="341">
        <f t="shared" ref="CH98" si="235">CH97/CH114</f>
        <v>1.035213774347078</v>
      </c>
      <c r="CI98" s="1457">
        <f t="shared" si="234"/>
        <v>3.5207401819480726</v>
      </c>
      <c r="CJ98" s="341">
        <f t="shared" si="234"/>
        <v>1.1963863421119547</v>
      </c>
      <c r="CK98" s="343">
        <f t="shared" si="234"/>
        <v>1.2538616244858329</v>
      </c>
      <c r="CL98" s="343">
        <f t="shared" si="234"/>
        <v>1.3294612810267807</v>
      </c>
      <c r="CM98" s="344">
        <f t="shared" si="234"/>
        <v>1.4149196281875782</v>
      </c>
      <c r="CN98" s="1030">
        <f t="shared" si="234"/>
        <v>5.1940455113683557</v>
      </c>
      <c r="CO98" s="343">
        <f t="shared" ref="CO98:CX98" si="236">CO97/CO114</f>
        <v>1.4421305400397231</v>
      </c>
      <c r="CP98" s="343">
        <f t="shared" si="236"/>
        <v>1.4561826239620301</v>
      </c>
      <c r="CQ98" s="343">
        <f t="shared" si="236"/>
        <v>1.5238968940385094</v>
      </c>
      <c r="CR98" s="344">
        <f t="shared" si="236"/>
        <v>1.621205442950451</v>
      </c>
      <c r="CS98" s="1030">
        <f t="shared" si="236"/>
        <v>6.0431129219225816</v>
      </c>
      <c r="CT98" s="343">
        <f t="shared" si="236"/>
        <v>1.7462856137824374</v>
      </c>
      <c r="CU98" s="343">
        <f t="shared" si="236"/>
        <v>1.7726698746478493</v>
      </c>
      <c r="CV98" s="343">
        <f t="shared" si="236"/>
        <v>1.8383932143299251</v>
      </c>
      <c r="CW98" s="344">
        <f t="shared" si="236"/>
        <v>1.9371005476341541</v>
      </c>
      <c r="CX98" s="1030">
        <f t="shared" si="236"/>
        <v>7.2941300429638476</v>
      </c>
      <c r="DA98" s="323"/>
      <c r="DB98" s="345"/>
      <c r="DC98" s="345"/>
    </row>
    <row r="99" spans="1:107" outlineLevel="1">
      <c r="A99" s="328" t="s">
        <v>138</v>
      </c>
      <c r="B99" s="293"/>
      <c r="C99" s="330"/>
      <c r="D99" s="331"/>
      <c r="E99" s="331"/>
      <c r="F99" s="332"/>
      <c r="G99" s="333"/>
      <c r="H99" s="331">
        <f t="shared" ref="H99:AZ99" si="237">H98/C98-1</f>
        <v>-8.7517216785092389E-2</v>
      </c>
      <c r="I99" s="331">
        <f t="shared" si="237"/>
        <v>0.13060489026185063</v>
      </c>
      <c r="J99" s="331">
        <f t="shared" si="237"/>
        <v>0.74686646802621626</v>
      </c>
      <c r="K99" s="332">
        <f t="shared" si="237"/>
        <v>0.47359712671232179</v>
      </c>
      <c r="L99" s="332">
        <f t="shared" si="237"/>
        <v>0.22616223398818303</v>
      </c>
      <c r="M99" s="331">
        <f t="shared" si="237"/>
        <v>-3.7298642597506371E-2</v>
      </c>
      <c r="N99" s="331">
        <f t="shared" si="237"/>
        <v>0.11123525696634218</v>
      </c>
      <c r="O99" s="331">
        <f t="shared" si="237"/>
        <v>0.27808200624444601</v>
      </c>
      <c r="P99" s="332">
        <f t="shared" si="237"/>
        <v>0.28555797616939005</v>
      </c>
      <c r="Q99" s="333">
        <f t="shared" si="237"/>
        <v>0.16218020419067258</v>
      </c>
      <c r="R99" s="331">
        <f t="shared" si="237"/>
        <v>1.1694582350764229</v>
      </c>
      <c r="S99" s="331">
        <f t="shared" si="237"/>
        <v>0.64950664333505137</v>
      </c>
      <c r="T99" s="331">
        <f t="shared" si="237"/>
        <v>0.58638373633973617</v>
      </c>
      <c r="U99" s="332">
        <f t="shared" si="237"/>
        <v>0.36181731102808179</v>
      </c>
      <c r="V99" s="333">
        <f t="shared" si="237"/>
        <v>-8.7855518831991053E-2</v>
      </c>
      <c r="W99" s="331">
        <f t="shared" si="237"/>
        <v>0.20039427521176112</v>
      </c>
      <c r="X99" s="331">
        <f t="shared" si="237"/>
        <v>0.33078884043601398</v>
      </c>
      <c r="Y99" s="331">
        <f t="shared" si="237"/>
        <v>0.35013467586722591</v>
      </c>
      <c r="Z99" s="332">
        <f t="shared" si="237"/>
        <v>0.3606297375835481</v>
      </c>
      <c r="AA99" s="163">
        <f t="shared" si="237"/>
        <v>1.3656740124216351</v>
      </c>
      <c r="AB99" s="162">
        <f t="shared" si="237"/>
        <v>-0.1177979120843724</v>
      </c>
      <c r="AC99" s="162">
        <f t="shared" si="237"/>
        <v>-0.13000698284744627</v>
      </c>
      <c r="AD99" s="162">
        <f t="shared" si="237"/>
        <v>-0.24249146990465642</v>
      </c>
      <c r="AE99" s="161">
        <f t="shared" si="237"/>
        <v>0.12376948446266933</v>
      </c>
      <c r="AF99" s="163">
        <f t="shared" si="237"/>
        <v>-8.8528566911207474E-2</v>
      </c>
      <c r="AG99" s="162">
        <f t="shared" si="237"/>
        <v>1.9103756546143824E-3</v>
      </c>
      <c r="AH99" s="162">
        <f t="shared" si="237"/>
        <v>0.14984815429718568</v>
      </c>
      <c r="AI99" s="162">
        <f t="shared" si="237"/>
        <v>0.77806731284349095</v>
      </c>
      <c r="AJ99" s="161">
        <f t="shared" si="237"/>
        <v>0.20498643325273669</v>
      </c>
      <c r="AK99" s="163">
        <f t="shared" si="237"/>
        <v>0.25357730062333905</v>
      </c>
      <c r="AL99" s="162">
        <f t="shared" si="237"/>
        <v>0.56946476668196544</v>
      </c>
      <c r="AM99" s="162">
        <f t="shared" si="237"/>
        <v>0.45076523443108307</v>
      </c>
      <c r="AN99" s="162">
        <f t="shared" si="237"/>
        <v>8.4887120625638524E-3</v>
      </c>
      <c r="AO99" s="161">
        <f t="shared" si="237"/>
        <v>0.31251213188731652</v>
      </c>
      <c r="AP99" s="163">
        <f t="shared" si="237"/>
        <v>0.30568935949963771</v>
      </c>
      <c r="AQ99" s="162">
        <f t="shared" si="237"/>
        <v>-0.15471492172623635</v>
      </c>
      <c r="AR99" s="162">
        <f t="shared" si="237"/>
        <v>-0.36313291178532092</v>
      </c>
      <c r="AS99" s="162">
        <f t="shared" si="237"/>
        <v>-0.27221317740080919</v>
      </c>
      <c r="AT99" s="161">
        <f t="shared" si="237"/>
        <v>-0.95903561314822683</v>
      </c>
      <c r="AU99" s="163">
        <f t="shared" si="237"/>
        <v>-0.47653342215505501</v>
      </c>
      <c r="AV99" s="162">
        <f t="shared" si="237"/>
        <v>-0.16460745661760667</v>
      </c>
      <c r="AW99" s="162">
        <f t="shared" si="237"/>
        <v>0.2254813386332688</v>
      </c>
      <c r="AX99" s="162">
        <f t="shared" si="237"/>
        <v>0.66188324326762182</v>
      </c>
      <c r="AY99" s="161">
        <f t="shared" si="237"/>
        <v>24.120624712482389</v>
      </c>
      <c r="AZ99" s="163">
        <f t="shared" si="237"/>
        <v>0.78125890111191265</v>
      </c>
      <c r="BA99" s="162">
        <f t="shared" ref="BA99:BJ99" si="238">BA98/AV98-1</f>
        <v>0.66690622376515529</v>
      </c>
      <c r="BB99" s="162">
        <f t="shared" si="238"/>
        <v>0.44268697780572719</v>
      </c>
      <c r="BC99" s="162">
        <f t="shared" si="238"/>
        <v>-9.0702978718458227E-2</v>
      </c>
      <c r="BD99" s="162">
        <f t="shared" si="238"/>
        <v>3.50145825435213E-2</v>
      </c>
      <c r="BE99" s="163">
        <f t="shared" si="238"/>
        <v>0.19800513025998612</v>
      </c>
      <c r="BF99" s="162">
        <f t="shared" si="238"/>
        <v>-0.18911520108558577</v>
      </c>
      <c r="BG99" s="162">
        <f t="shared" si="238"/>
        <v>-7.0913023760975635E-3</v>
      </c>
      <c r="BH99" s="162">
        <f t="shared" si="238"/>
        <v>4.2299301615567941E-2</v>
      </c>
      <c r="BI99" s="162">
        <f t="shared" si="238"/>
        <v>-0.17712487875135541</v>
      </c>
      <c r="BJ99" s="163">
        <f t="shared" si="238"/>
        <v>-9.1062159522054764E-2</v>
      </c>
      <c r="BK99" s="162">
        <f t="shared" ref="BK99:BT99" si="239">BK98/BF98-1</f>
        <v>-0.45475183036225486</v>
      </c>
      <c r="BL99" s="162">
        <f t="shared" si="239"/>
        <v>-0.497355001333043</v>
      </c>
      <c r="BM99" s="162">
        <f t="shared" si="239"/>
        <v>-0.55562446475766647</v>
      </c>
      <c r="BN99" s="161">
        <f t="shared" si="239"/>
        <v>-0.64721659189782277</v>
      </c>
      <c r="BO99" s="1437">
        <f t="shared" si="239"/>
        <v>-0.54230213643508707</v>
      </c>
      <c r="BP99" s="162">
        <f t="shared" si="239"/>
        <v>-0.40013976840934029</v>
      </c>
      <c r="BQ99" s="162">
        <f t="shared" si="239"/>
        <v>-0.12444833563799496</v>
      </c>
      <c r="BR99" s="162">
        <f t="shared" si="239"/>
        <v>-0.36565773206816454</v>
      </c>
      <c r="BS99" s="161">
        <f t="shared" si="239"/>
        <v>0.30118741571191521</v>
      </c>
      <c r="BT99" s="1437">
        <f t="shared" si="239"/>
        <v>-0.16763566977527977</v>
      </c>
      <c r="BU99" s="162">
        <f t="shared" ref="BU99:CF99" si="240">BU98/BP98-1</f>
        <v>0.60931924094344825</v>
      </c>
      <c r="BV99" s="162">
        <f t="shared" si="240"/>
        <v>0.59317259032418823</v>
      </c>
      <c r="BW99" s="162">
        <f t="shared" si="240"/>
        <v>2.1018285592573895</v>
      </c>
      <c r="BX99" s="161">
        <f t="shared" si="240"/>
        <v>1.1813194083154315</v>
      </c>
      <c r="BY99" s="1437">
        <f t="shared" si="240"/>
        <v>1.0603782685125203</v>
      </c>
      <c r="BZ99" s="162">
        <f t="shared" si="240"/>
        <v>1.5699511789630267</v>
      </c>
      <c r="CA99" s="162">
        <f t="shared" si="240"/>
        <v>0.51975034802708686</v>
      </c>
      <c r="CB99" s="162">
        <f t="shared" si="240"/>
        <v>0.45071677147677724</v>
      </c>
      <c r="CC99" s="162">
        <f t="shared" si="240"/>
        <v>0.71348494874718105</v>
      </c>
      <c r="CD99" s="1437">
        <f t="shared" si="240"/>
        <v>0.72145806639541776</v>
      </c>
      <c r="CE99" s="162">
        <f t="shared" si="240"/>
        <v>0.540846611330984</v>
      </c>
      <c r="CF99" s="162">
        <f t="shared" si="240"/>
        <v>0.53584460809778123</v>
      </c>
      <c r="CG99" s="162">
        <f t="shared" ref="CG99:CN99" si="241">CG98/CB98-1</f>
        <v>0.55219688853190618</v>
      </c>
      <c r="CH99" s="162">
        <f t="shared" si="241"/>
        <v>0.25951461573535717</v>
      </c>
      <c r="CI99" s="1437">
        <f t="shared" si="241"/>
        <v>0.44823488045951487</v>
      </c>
      <c r="CJ99" s="162">
        <f t="shared" si="241"/>
        <v>0.44462159639084242</v>
      </c>
      <c r="CK99" s="168">
        <f t="shared" si="241"/>
        <v>0.60207487167513452</v>
      </c>
      <c r="CL99" s="168">
        <f t="shared" si="241"/>
        <v>0.51963507844934176</v>
      </c>
      <c r="CM99" s="169">
        <f t="shared" si="241"/>
        <v>0.36678980057040422</v>
      </c>
      <c r="CN99" s="1018">
        <f t="shared" si="241"/>
        <v>0.47527089275142731</v>
      </c>
      <c r="CO99" s="168">
        <f t="shared" ref="CO99:CX99" si="242">CO98/CJ98-1</f>
        <v>0.20540538559973998</v>
      </c>
      <c r="CP99" s="168">
        <f t="shared" si="242"/>
        <v>0.16135831540355361</v>
      </c>
      <c r="CQ99" s="168">
        <f t="shared" si="242"/>
        <v>0.14625142964792515</v>
      </c>
      <c r="CR99" s="169">
        <f t="shared" si="242"/>
        <v>0.14579330914160238</v>
      </c>
      <c r="CS99" s="1018">
        <f t="shared" si="242"/>
        <v>0.16346938214073181</v>
      </c>
      <c r="CT99" s="168">
        <f t="shared" si="242"/>
        <v>0.21090675587130714</v>
      </c>
      <c r="CU99" s="168">
        <f t="shared" si="242"/>
        <v>0.21734035654450401</v>
      </c>
      <c r="CV99" s="168">
        <f t="shared" si="242"/>
        <v>0.20637637724817637</v>
      </c>
      <c r="CW99" s="169">
        <f t="shared" si="242"/>
        <v>0.19485198872069032</v>
      </c>
      <c r="CX99" s="1018">
        <f t="shared" si="242"/>
        <v>0.20701534742184857</v>
      </c>
      <c r="DA99" s="323"/>
      <c r="DB99" s="334"/>
      <c r="DC99" s="334"/>
    </row>
    <row r="100" spans="1:107" ht="8.25" customHeight="1" outlineLevel="1">
      <c r="A100" s="114"/>
      <c r="B100" s="293"/>
      <c r="C100" s="116"/>
      <c r="D100" s="117"/>
      <c r="E100" s="117"/>
      <c r="F100" s="118"/>
      <c r="G100" s="119"/>
      <c r="H100" s="117"/>
      <c r="I100" s="117"/>
      <c r="J100" s="117"/>
      <c r="K100" s="118"/>
      <c r="L100" s="118"/>
      <c r="M100" s="117"/>
      <c r="N100" s="117"/>
      <c r="O100" s="117"/>
      <c r="P100" s="118"/>
      <c r="Q100" s="119"/>
      <c r="R100" s="117"/>
      <c r="S100" s="117"/>
      <c r="T100" s="117"/>
      <c r="U100" s="118"/>
      <c r="V100" s="119"/>
      <c r="W100" s="117"/>
      <c r="X100" s="117"/>
      <c r="Y100" s="117"/>
      <c r="Z100" s="118"/>
      <c r="AA100" s="120"/>
      <c r="AB100" s="121"/>
      <c r="AC100" s="121"/>
      <c r="AD100" s="121"/>
      <c r="AE100" s="122"/>
      <c r="AF100" s="120"/>
      <c r="AG100" s="121"/>
      <c r="AH100" s="121"/>
      <c r="AI100" s="121"/>
      <c r="AJ100" s="122"/>
      <c r="AK100" s="120"/>
      <c r="AL100" s="121"/>
      <c r="AM100" s="121"/>
      <c r="AN100" s="121"/>
      <c r="AO100" s="122"/>
      <c r="AP100" s="120"/>
      <c r="AQ100" s="121"/>
      <c r="AR100" s="121"/>
      <c r="AS100" s="121"/>
      <c r="AT100" s="122"/>
      <c r="AU100" s="120"/>
      <c r="AV100" s="121"/>
      <c r="AW100" s="121"/>
      <c r="AX100" s="121"/>
      <c r="AY100" s="122"/>
      <c r="AZ100" s="120"/>
      <c r="BA100" s="121"/>
      <c r="BB100" s="121"/>
      <c r="BC100" s="121"/>
      <c r="BD100" s="121"/>
      <c r="BE100" s="120"/>
      <c r="BF100" s="121"/>
      <c r="BG100" s="121"/>
      <c r="BH100" s="121"/>
      <c r="BI100" s="121"/>
      <c r="BJ100" s="120"/>
      <c r="BK100" s="121"/>
      <c r="BL100" s="121"/>
      <c r="BM100" s="121"/>
      <c r="BN100" s="122"/>
      <c r="BO100" s="1441"/>
      <c r="BP100" s="121"/>
      <c r="BQ100" s="121"/>
      <c r="BR100" s="121"/>
      <c r="BS100" s="122"/>
      <c r="BT100" s="1441"/>
      <c r="BU100" s="121"/>
      <c r="BV100" s="121"/>
      <c r="BW100" s="121"/>
      <c r="BX100" s="122"/>
      <c r="BY100" s="1441"/>
      <c r="BZ100" s="121"/>
      <c r="CA100" s="121"/>
      <c r="CB100" s="123"/>
      <c r="CC100" s="122"/>
      <c r="CD100" s="1441"/>
      <c r="CE100" s="121"/>
      <c r="CF100" s="121"/>
      <c r="CG100" s="121"/>
      <c r="CH100" s="122"/>
      <c r="CI100" s="1441"/>
      <c r="CJ100" s="121"/>
      <c r="CK100" s="123"/>
      <c r="CL100" s="123"/>
      <c r="CM100" s="124"/>
      <c r="CN100" s="949"/>
      <c r="CO100" s="123"/>
      <c r="CP100" s="123"/>
      <c r="CQ100" s="123"/>
      <c r="CR100" s="124"/>
      <c r="CS100" s="949"/>
      <c r="CT100" s="123"/>
      <c r="CU100" s="123"/>
      <c r="CV100" s="123"/>
      <c r="CW100" s="124"/>
      <c r="CX100" s="949"/>
      <c r="DA100" s="323"/>
      <c r="DB100" s="117"/>
      <c r="DC100" s="117"/>
    </row>
    <row r="101" spans="1:107" outlineLevel="1">
      <c r="A101" s="127" t="s">
        <v>438</v>
      </c>
      <c r="B101" s="272"/>
      <c r="C101" s="205"/>
      <c r="D101" s="206"/>
      <c r="E101" s="206"/>
      <c r="F101" s="207"/>
      <c r="G101" s="208"/>
      <c r="H101" s="206"/>
      <c r="I101" s="206"/>
      <c r="J101" s="206"/>
      <c r="K101" s="207"/>
      <c r="L101" s="207"/>
      <c r="M101" s="206"/>
      <c r="N101" s="206"/>
      <c r="O101" s="206"/>
      <c r="P101" s="207"/>
      <c r="Q101" s="208"/>
      <c r="R101" s="206"/>
      <c r="S101" s="206"/>
      <c r="T101" s="206"/>
      <c r="U101" s="207"/>
      <c r="V101" s="208"/>
      <c r="W101" s="206"/>
      <c r="X101" s="206"/>
      <c r="Y101" s="206"/>
      <c r="Z101" s="207"/>
      <c r="AA101" s="208"/>
      <c r="AB101" s="206"/>
      <c r="AC101" s="206"/>
      <c r="AD101" s="206"/>
      <c r="AE101" s="207"/>
      <c r="AF101" s="208"/>
      <c r="AG101" s="206"/>
      <c r="AH101" s="202"/>
      <c r="AI101" s="202"/>
      <c r="AJ101" s="203"/>
      <c r="AK101" s="204"/>
      <c r="AL101" s="206"/>
      <c r="AM101" s="206"/>
      <c r="AN101" s="202"/>
      <c r="AO101" s="203"/>
      <c r="AP101" s="204"/>
      <c r="AQ101" s="206"/>
      <c r="AR101" s="206"/>
      <c r="AS101" s="206"/>
      <c r="AT101" s="207"/>
      <c r="AU101" s="208"/>
      <c r="AV101" s="206"/>
      <c r="AW101" s="206"/>
      <c r="AX101" s="206"/>
      <c r="AY101" s="207"/>
      <c r="AZ101" s="208"/>
      <c r="BA101" s="206"/>
      <c r="BB101" s="206"/>
      <c r="BC101" s="206"/>
      <c r="BD101" s="206"/>
      <c r="BE101" s="208"/>
      <c r="BF101" s="206"/>
      <c r="BG101" s="206"/>
      <c r="BH101" s="206"/>
      <c r="BI101" s="206"/>
      <c r="BJ101" s="208"/>
      <c r="BK101" s="206"/>
      <c r="BL101" s="206"/>
      <c r="BM101" s="206"/>
      <c r="BN101" s="207"/>
      <c r="BO101" s="1442"/>
      <c r="BP101" s="206"/>
      <c r="BQ101" s="206"/>
      <c r="BR101" s="206"/>
      <c r="BS101" s="207"/>
      <c r="BT101" s="1442"/>
      <c r="BU101" s="206"/>
      <c r="BV101" s="206"/>
      <c r="BW101" s="206"/>
      <c r="BX101" s="207"/>
      <c r="BY101" s="1442"/>
      <c r="BZ101" s="206"/>
      <c r="CA101" s="206"/>
      <c r="CB101" s="212"/>
      <c r="CC101" s="207"/>
      <c r="CD101" s="1442"/>
      <c r="CE101" s="206"/>
      <c r="CF101" s="206"/>
      <c r="CG101" s="206"/>
      <c r="CH101" s="207"/>
      <c r="CI101" s="1442"/>
      <c r="CJ101" s="206"/>
      <c r="CK101" s="212"/>
      <c r="CL101" s="212"/>
      <c r="CM101" s="213"/>
      <c r="CN101" s="1022"/>
      <c r="CO101" s="212"/>
      <c r="CP101" s="212"/>
      <c r="CQ101" s="212"/>
      <c r="CR101" s="213"/>
      <c r="CS101" s="1022"/>
      <c r="CT101" s="212"/>
      <c r="CU101" s="212"/>
      <c r="CV101" s="212"/>
      <c r="CW101" s="213"/>
      <c r="CX101" s="1022"/>
      <c r="DA101" s="201"/>
      <c r="DB101" s="200"/>
      <c r="DC101" s="200"/>
    </row>
    <row r="102" spans="1:107" outlineLevel="1">
      <c r="A102" s="135" t="s">
        <v>439</v>
      </c>
      <c r="B102" s="115"/>
      <c r="C102" s="136">
        <f>C67-C56</f>
        <v>115.45399999999998</v>
      </c>
      <c r="D102" s="137">
        <f>D67-D56</f>
        <v>117.89900000000004</v>
      </c>
      <c r="E102" s="137">
        <f>E67-E56</f>
        <v>92.843000000000004</v>
      </c>
      <c r="F102" s="138">
        <f>F67-F56</f>
        <v>52.26099999999991</v>
      </c>
      <c r="G102" s="139">
        <f>SUM(C102:F102)</f>
        <v>378.45699999999994</v>
      </c>
      <c r="H102" s="137">
        <f>H67-H56</f>
        <v>63.785000000000004</v>
      </c>
      <c r="I102" s="137">
        <f>I67-I56</f>
        <v>90.848000000000056</v>
      </c>
      <c r="J102" s="137">
        <f>J67-J56</f>
        <v>69.470000000000027</v>
      </c>
      <c r="K102" s="138">
        <f>K67-K56</f>
        <v>62.924000000000007</v>
      </c>
      <c r="L102" s="138">
        <f>SUM(H102:K102)</f>
        <v>287.0270000000001</v>
      </c>
      <c r="M102" s="137">
        <f>M67-M56</f>
        <v>80.507999999999953</v>
      </c>
      <c r="N102" s="137">
        <f>N67-N56</f>
        <v>91.460999999999956</v>
      </c>
      <c r="O102" s="137">
        <f>O67-O56</f>
        <v>92.214999999999975</v>
      </c>
      <c r="P102" s="138">
        <f>P67-P56</f>
        <v>115.26299999999996</v>
      </c>
      <c r="Q102" s="139">
        <f>SUM(M102:P102)</f>
        <v>379.44699999999983</v>
      </c>
      <c r="R102" s="233">
        <f>R67-R56</f>
        <v>163.26199999999997</v>
      </c>
      <c r="S102" s="137">
        <f>S67-S56</f>
        <v>141.83899999999997</v>
      </c>
      <c r="T102" s="137">
        <f>T67-T56</f>
        <v>140.31399999999996</v>
      </c>
      <c r="U102" s="138">
        <f>U67-U56</f>
        <v>146.37899999999996</v>
      </c>
      <c r="V102" s="139">
        <f>SUM(R102:U102)</f>
        <v>591.79399999999987</v>
      </c>
      <c r="W102" s="137">
        <f>W67-W56</f>
        <v>170.71199999999999</v>
      </c>
      <c r="X102" s="137">
        <f>X67-X56</f>
        <v>182.20399999999995</v>
      </c>
      <c r="Y102" s="137">
        <f>Y67-Y56</f>
        <v>183.58799999999997</v>
      </c>
      <c r="Z102" s="138">
        <f>Z67-Z56</f>
        <v>191.93000000000018</v>
      </c>
      <c r="AA102" s="139">
        <f>SUM(W102:Z102)</f>
        <v>728.43400000000008</v>
      </c>
      <c r="AB102" s="137">
        <f>AB67-AB56</f>
        <v>129.98000000000008</v>
      </c>
      <c r="AC102" s="137">
        <f>AC67-AC56</f>
        <v>147.90800000000002</v>
      </c>
      <c r="AD102" s="137">
        <f>AD67-AD56</f>
        <v>110.03299999999996</v>
      </c>
      <c r="AE102" s="138">
        <f>AE67-AE56</f>
        <v>161.49199999999999</v>
      </c>
      <c r="AF102" s="139">
        <f>SUM(AB102:AE102)</f>
        <v>549.41300000000001</v>
      </c>
      <c r="AG102" s="137">
        <f>AG67-AG56</f>
        <v>146.3370000000001</v>
      </c>
      <c r="AH102" s="137">
        <f>AH67-AH56</f>
        <v>180.39100000000002</v>
      </c>
      <c r="AI102" s="137">
        <f>AI67-AI56</f>
        <v>255.02499999999992</v>
      </c>
      <c r="AJ102" s="138">
        <f>AJ67-AJ56</f>
        <v>275.83199999999999</v>
      </c>
      <c r="AK102" s="139">
        <f>SUM(AG102:AJ102)</f>
        <v>857.58500000000004</v>
      </c>
      <c r="AL102" s="137">
        <f>AL67-AL56</f>
        <v>275.40499999999992</v>
      </c>
      <c r="AM102" s="233">
        <f>AM67-AM56</f>
        <v>260.178</v>
      </c>
      <c r="AN102" s="137">
        <f>AN67-AN56</f>
        <v>219.46899999999999</v>
      </c>
      <c r="AO102" s="138">
        <f>AO67-AO56</f>
        <v>273.19300000000004</v>
      </c>
      <c r="AP102" s="139">
        <f>SUM(AL102:AO102)</f>
        <v>1028.2449999999999</v>
      </c>
      <c r="AQ102" s="137">
        <f>AQ67-AQ56</f>
        <v>207.91599999999991</v>
      </c>
      <c r="AR102" s="137">
        <f>AR67-AR56</f>
        <v>161.35300000000001</v>
      </c>
      <c r="AS102" s="137">
        <f>AS67-AS56</f>
        <v>167.60200000000012</v>
      </c>
      <c r="AT102" s="138">
        <f>AT67-AT56</f>
        <v>153.64199999999997</v>
      </c>
      <c r="AU102" s="139">
        <f>SUM(AQ102:AT102)</f>
        <v>690.51299999999992</v>
      </c>
      <c r="AV102" s="147">
        <f>AV67-AV56</f>
        <v>176.83299999999997</v>
      </c>
      <c r="AW102" s="137">
        <f>AW67-AW56</f>
        <v>227.28499999999991</v>
      </c>
      <c r="AX102" s="137">
        <v>302.01299999999998</v>
      </c>
      <c r="AY102" s="138">
        <f>AY67-AY56</f>
        <v>286.94299999999987</v>
      </c>
      <c r="AZ102" s="139">
        <f>SUM(AV102:AY102)</f>
        <v>993.07399999999973</v>
      </c>
      <c r="BA102" s="147">
        <f>BA67-BA56</f>
        <v>302.38300000000015</v>
      </c>
      <c r="BB102" s="137">
        <f>BB67-BB56</f>
        <v>276.72399999999993</v>
      </c>
      <c r="BC102" s="137">
        <f>BC67-BC56</f>
        <v>274.11</v>
      </c>
      <c r="BD102" s="137">
        <f>BD67-BD56</f>
        <v>266.8309999999999</v>
      </c>
      <c r="BE102" s="139">
        <f>SUM(BA102:BD102)</f>
        <v>1120.048</v>
      </c>
      <c r="BF102" s="147">
        <f>BF67-BF56</f>
        <v>289.00799999999998</v>
      </c>
      <c r="BG102" s="137">
        <f>BG67-BG56</f>
        <v>305.13400000000007</v>
      </c>
      <c r="BH102" s="137">
        <f>BH67-BH56</f>
        <v>278.5089999999999</v>
      </c>
      <c r="BI102" s="137">
        <f>BI67-BI56</f>
        <v>307.1149999999999</v>
      </c>
      <c r="BJ102" s="139">
        <f>SUM(BF102:BI102)</f>
        <v>1179.7659999999998</v>
      </c>
      <c r="BK102" s="147">
        <f>BK67-BK56</f>
        <v>98.223999999999961</v>
      </c>
      <c r="BL102" s="137">
        <f>BL67-BL56</f>
        <v>111.3179999999999</v>
      </c>
      <c r="BM102" s="137">
        <f>BM67-BM56</f>
        <v>110.35399999999993</v>
      </c>
      <c r="BN102" s="138">
        <f>BN67-BN56</f>
        <v>107.3889999999999</v>
      </c>
      <c r="BO102" s="1440">
        <f>SUM(BK102:BN102)</f>
        <v>427.28499999999968</v>
      </c>
      <c r="BP102" s="147">
        <f>BP67-BP56</f>
        <v>79.960999999999913</v>
      </c>
      <c r="BQ102" s="137">
        <f>BQ67-BQ56</f>
        <v>135.27500000000015</v>
      </c>
      <c r="BR102" s="137">
        <f>BR67-BR56</f>
        <v>74.222000000000108</v>
      </c>
      <c r="BS102" s="138">
        <f>BS67-BS56</f>
        <v>105.00200000000001</v>
      </c>
      <c r="BT102" s="1440">
        <f>SUM(BP102:BS102)</f>
        <v>394.46000000000015</v>
      </c>
      <c r="BU102" s="147">
        <f>BU67-BU56</f>
        <v>173.02500000000006</v>
      </c>
      <c r="BV102" s="137">
        <f>BV67-BV56</f>
        <v>193.61799999999994</v>
      </c>
      <c r="BW102" s="137">
        <f>BW67-BW56</f>
        <v>246.02399999999994</v>
      </c>
      <c r="BX102" s="138">
        <f>BX67-BX56</f>
        <v>290.3009999999997</v>
      </c>
      <c r="BY102" s="1440">
        <f>SUM(BU102:BX102)</f>
        <v>902.96799999999962</v>
      </c>
      <c r="BZ102" s="147">
        <f>BZ67-BZ56</f>
        <v>307.78800000000007</v>
      </c>
      <c r="CA102" s="147">
        <f>CA67-CA56</f>
        <v>344.25400000000019</v>
      </c>
      <c r="CB102" s="137">
        <f>CB67-CB56</f>
        <v>369.32500000000016</v>
      </c>
      <c r="CC102" s="137">
        <f>CC67-CC56</f>
        <v>472.25299999999993</v>
      </c>
      <c r="CD102" s="1440">
        <f>SUM(BZ102:CC102)</f>
        <v>1493.6200000000003</v>
      </c>
      <c r="CE102" s="137">
        <f>CE67-CE56</f>
        <v>468.9849999999999</v>
      </c>
      <c r="CF102" s="147">
        <f>CF67-CF56</f>
        <v>504.15200000000004</v>
      </c>
      <c r="CG102" s="147">
        <f>CG67-CG56</f>
        <v>546.654</v>
      </c>
      <c r="CH102" s="137">
        <f>CH67-CH56</f>
        <v>649.68799999999976</v>
      </c>
      <c r="CI102" s="1440">
        <f>SUM(CE102:CH102)</f>
        <v>2169.4789999999998</v>
      </c>
      <c r="CJ102" s="137">
        <f>CJ67-CJ56</f>
        <v>702.56781999999998</v>
      </c>
      <c r="CK102" s="140">
        <f>CK67-CK56</f>
        <v>707.3187121879148</v>
      </c>
      <c r="CL102" s="140">
        <f>CL67-CL56</f>
        <v>736.24050369828751</v>
      </c>
      <c r="CM102" s="141">
        <f>CM67-CM56</f>
        <v>783.55243323251341</v>
      </c>
      <c r="CN102" s="1016">
        <f>SUM(CJ102:CM102)</f>
        <v>2929.6794691187156</v>
      </c>
      <c r="CO102" s="140">
        <f>CO67-CO56</f>
        <v>866.61470564443516</v>
      </c>
      <c r="CP102" s="140">
        <f>CP67-CP56</f>
        <v>873.63816241151426</v>
      </c>
      <c r="CQ102" s="140">
        <f>CQ67-CQ56</f>
        <v>913.09398096121765</v>
      </c>
      <c r="CR102" s="141">
        <f>CR67-CR56</f>
        <v>970.28997739599276</v>
      </c>
      <c r="CS102" s="1016">
        <f>SUM(CO102:CR102)</f>
        <v>3623.6368264131597</v>
      </c>
      <c r="CT102" s="140">
        <f>CT67-CT56</f>
        <v>1043.8030873958842</v>
      </c>
      <c r="CU102" s="140">
        <f>CU67-CU56</f>
        <v>1057.8790175177551</v>
      </c>
      <c r="CV102" s="140">
        <f>CV67-CV56</f>
        <v>1095.6748620574572</v>
      </c>
      <c r="CW102" s="141">
        <f>CW67-CW56</f>
        <v>1153.1821660452842</v>
      </c>
      <c r="CX102" s="1016">
        <f>SUM(CT102:CW102)</f>
        <v>4350.5391330163802</v>
      </c>
      <c r="DA102" s="254"/>
      <c r="DB102" s="243"/>
      <c r="DC102" s="243"/>
    </row>
    <row r="103" spans="1:107" outlineLevel="1">
      <c r="A103" s="234" t="s">
        <v>158</v>
      </c>
      <c r="B103" s="272"/>
      <c r="C103" s="216">
        <f t="shared" ref="C103:AH103" si="243">C102/C24</f>
        <v>0.3509570810623493</v>
      </c>
      <c r="D103" s="162">
        <f t="shared" si="243"/>
        <v>0.34263701964294546</v>
      </c>
      <c r="E103" s="162">
        <f t="shared" si="243"/>
        <v>0.31782704249652538</v>
      </c>
      <c r="F103" s="161">
        <f t="shared" si="243"/>
        <v>0.19755424510470976</v>
      </c>
      <c r="G103" s="163">
        <f t="shared" si="243"/>
        <v>0.30775867677194801</v>
      </c>
      <c r="H103" s="162">
        <f t="shared" si="243"/>
        <v>0.23809612685519754</v>
      </c>
      <c r="I103" s="162">
        <f t="shared" si="243"/>
        <v>0.28626256069624634</v>
      </c>
      <c r="J103" s="162">
        <f t="shared" si="243"/>
        <v>0.24385791862510056</v>
      </c>
      <c r="K103" s="161">
        <f t="shared" si="243"/>
        <v>0.21355216626959081</v>
      </c>
      <c r="L103" s="161">
        <f t="shared" si="243"/>
        <v>0.24641994938134673</v>
      </c>
      <c r="M103" s="162">
        <f t="shared" si="243"/>
        <v>0.2711665740413276</v>
      </c>
      <c r="N103" s="162">
        <f t="shared" si="243"/>
        <v>0.28568528109050234</v>
      </c>
      <c r="O103" s="162">
        <f t="shared" si="243"/>
        <v>0.28896472195586637</v>
      </c>
      <c r="P103" s="161">
        <f t="shared" si="243"/>
        <v>0.32143753520773261</v>
      </c>
      <c r="Q103" s="163">
        <f t="shared" si="243"/>
        <v>0.2930660691763422</v>
      </c>
      <c r="R103" s="162">
        <f t="shared" si="243"/>
        <v>0.38570594947564379</v>
      </c>
      <c r="S103" s="162">
        <f t="shared" si="243"/>
        <v>0.34587707426509134</v>
      </c>
      <c r="T103" s="162">
        <f t="shared" si="243"/>
        <v>0.3475587855729193</v>
      </c>
      <c r="U103" s="161">
        <f t="shared" si="243"/>
        <v>0.34081098574628288</v>
      </c>
      <c r="V103" s="163">
        <f t="shared" si="243"/>
        <v>0.35509465186510575</v>
      </c>
      <c r="W103" s="162">
        <f t="shared" si="243"/>
        <v>0.36100337927855147</v>
      </c>
      <c r="X103" s="162">
        <f t="shared" si="243"/>
        <v>0.36732529751284693</v>
      </c>
      <c r="Y103" s="162">
        <f t="shared" si="243"/>
        <v>0.37694722599216895</v>
      </c>
      <c r="Z103" s="161">
        <f t="shared" si="243"/>
        <v>0.37605976828620774</v>
      </c>
      <c r="AA103" s="163">
        <f t="shared" si="243"/>
        <v>0.37045528171646447</v>
      </c>
      <c r="AB103" s="162">
        <f t="shared" si="243"/>
        <v>0.19829803593713299</v>
      </c>
      <c r="AC103" s="162">
        <f t="shared" si="243"/>
        <v>0.2327588377480109</v>
      </c>
      <c r="AD103" s="162">
        <f t="shared" si="243"/>
        <v>0.1827210967948707</v>
      </c>
      <c r="AE103" s="161">
        <f t="shared" si="243"/>
        <v>0.23673104408692786</v>
      </c>
      <c r="AF103" s="163">
        <f t="shared" si="243"/>
        <v>0.21333941676697862</v>
      </c>
      <c r="AG103" s="162">
        <f t="shared" si="243"/>
        <v>0.22533942504469476</v>
      </c>
      <c r="AH103" s="162">
        <f t="shared" si="243"/>
        <v>0.24194818241442537</v>
      </c>
      <c r="AI103" s="162">
        <f t="shared" ref="AI103:BN103" si="244">AI102/AI24</f>
        <v>0.29943547269768428</v>
      </c>
      <c r="AJ103" s="161">
        <f t="shared" si="244"/>
        <v>0.3027092517539845</v>
      </c>
      <c r="AK103" s="163">
        <f t="shared" si="244"/>
        <v>0.27156976466180965</v>
      </c>
      <c r="AL103" s="162">
        <f t="shared" si="244"/>
        <v>0.30928917563690056</v>
      </c>
      <c r="AM103" s="162">
        <f t="shared" si="244"/>
        <v>0.29336126627323011</v>
      </c>
      <c r="AN103" s="162">
        <f t="shared" si="244"/>
        <v>0.24735674105698802</v>
      </c>
      <c r="AO103" s="161">
        <f t="shared" si="244"/>
        <v>0.29847339836840564</v>
      </c>
      <c r="AP103" s="163">
        <f t="shared" si="244"/>
        <v>0.28722817942120549</v>
      </c>
      <c r="AQ103" s="162">
        <f t="shared" si="244"/>
        <v>0.26439298566868846</v>
      </c>
      <c r="AR103" s="162">
        <f t="shared" si="244"/>
        <v>0.22897570930062597</v>
      </c>
      <c r="AS103" s="162">
        <f t="shared" si="244"/>
        <v>0.24028719425038042</v>
      </c>
      <c r="AT103" s="161">
        <f t="shared" si="244"/>
        <v>0.20288584320524819</v>
      </c>
      <c r="AU103" s="163">
        <f t="shared" si="244"/>
        <v>0.23440171658259934</v>
      </c>
      <c r="AV103" s="162">
        <f t="shared" si="244"/>
        <v>0.20593105857691854</v>
      </c>
      <c r="AW103" s="162">
        <f t="shared" si="244"/>
        <v>0.24101438440778966</v>
      </c>
      <c r="AX103" s="162">
        <f t="shared" si="244"/>
        <v>0.30496536974449645</v>
      </c>
      <c r="AY103" s="161">
        <f t="shared" si="244"/>
        <v>0.28468092536703343</v>
      </c>
      <c r="AZ103" s="163">
        <f t="shared" si="244"/>
        <v>0.26133526315789468</v>
      </c>
      <c r="BA103" s="162">
        <f t="shared" si="244"/>
        <v>0.294231034945792</v>
      </c>
      <c r="BB103" s="162">
        <f t="shared" si="244"/>
        <v>0.2704551207559967</v>
      </c>
      <c r="BC103" s="162">
        <f t="shared" si="244"/>
        <v>0.27053568256199101</v>
      </c>
      <c r="BD103" s="162">
        <f t="shared" si="244"/>
        <v>0.23159176538695542</v>
      </c>
      <c r="BE103" s="163">
        <f t="shared" si="244"/>
        <v>0.26564977759899894</v>
      </c>
      <c r="BF103" s="162">
        <f t="shared" si="244"/>
        <v>0.2765044679588986</v>
      </c>
      <c r="BG103" s="162">
        <f t="shared" si="244"/>
        <v>0.27136312985293248</v>
      </c>
      <c r="BH103" s="162">
        <f t="shared" si="244"/>
        <v>0.25774028762331336</v>
      </c>
      <c r="BI103" s="162">
        <f t="shared" si="244"/>
        <v>0.26626282698183151</v>
      </c>
      <c r="BJ103" s="163">
        <f t="shared" si="244"/>
        <v>0.26790475323235557</v>
      </c>
      <c r="BK103" s="162">
        <f t="shared" si="244"/>
        <v>9.7456723218103836E-2</v>
      </c>
      <c r="BL103" s="162">
        <f t="shared" si="244"/>
        <v>0.11015596472808335</v>
      </c>
      <c r="BM103" s="162">
        <f t="shared" si="244"/>
        <v>0.11089527986100148</v>
      </c>
      <c r="BN103" s="161">
        <f t="shared" si="244"/>
        <v>0.10309024007894786</v>
      </c>
      <c r="BO103" s="1437">
        <f t="shared" ref="BO103:CN103" si="245">BO102/BO24</f>
        <v>0.10536614355747125</v>
      </c>
      <c r="BP103" s="162">
        <f t="shared" si="245"/>
        <v>7.9951405831300157E-2</v>
      </c>
      <c r="BQ103" s="162">
        <f t="shared" si="245"/>
        <v>0.126637321570331</v>
      </c>
      <c r="BR103" s="162">
        <f t="shared" si="245"/>
        <v>7.3822693053274935E-2</v>
      </c>
      <c r="BS103" s="161">
        <f t="shared" si="245"/>
        <v>9.7828436414590894E-2</v>
      </c>
      <c r="BT103" s="1437">
        <f t="shared" si="245"/>
        <v>9.5117872519480687E-2</v>
      </c>
      <c r="BU103" s="162">
        <f t="shared" si="245"/>
        <v>0.15599347626762455</v>
      </c>
      <c r="BV103" s="162">
        <f t="shared" si="245"/>
        <v>0.16660213155181994</v>
      </c>
      <c r="BW103" s="162">
        <f t="shared" si="245"/>
        <v>0.20202862942695154</v>
      </c>
      <c r="BX103" s="161">
        <f t="shared" si="245"/>
        <v>0.22221380216227121</v>
      </c>
      <c r="BY103" s="1437">
        <f t="shared" si="245"/>
        <v>0.18829442785138012</v>
      </c>
      <c r="BZ103" s="162">
        <f>BZ102/BZ24</f>
        <v>0.22249708132881771</v>
      </c>
      <c r="CA103" s="162">
        <f>CA102/CA24</f>
        <v>0.24612267455203346</v>
      </c>
      <c r="CB103" s="162">
        <f t="shared" si="245"/>
        <v>0.25227686143198591</v>
      </c>
      <c r="CC103" s="162">
        <f t="shared" si="245"/>
        <v>0.2936131692052879</v>
      </c>
      <c r="CD103" s="1437">
        <f t="shared" si="245"/>
        <v>0.25512645979198662</v>
      </c>
      <c r="CE103" s="162">
        <f t="shared" si="245"/>
        <v>0.2788844976885741</v>
      </c>
      <c r="CF103" s="162">
        <f>CF102/CF24</f>
        <v>0.28447965511598644</v>
      </c>
      <c r="CG103" s="162">
        <f>CG102/CG24</f>
        <v>0.29692125357264293</v>
      </c>
      <c r="CH103" s="162">
        <f>CH102/CH24</f>
        <v>0.32377634749413797</v>
      </c>
      <c r="CI103" s="1437">
        <f t="shared" si="245"/>
        <v>0.29712764697141203</v>
      </c>
      <c r="CJ103" s="162">
        <f t="shared" ref="CJ103" si="246">CJ102/CJ24</f>
        <v>0.33794407457236764</v>
      </c>
      <c r="CK103" s="168">
        <f t="shared" si="245"/>
        <v>0.32520374954944625</v>
      </c>
      <c r="CL103" s="168">
        <f t="shared" si="245"/>
        <v>0.32555754480714544</v>
      </c>
      <c r="CM103" s="169">
        <f t="shared" si="245"/>
        <v>0.32925076004852455</v>
      </c>
      <c r="CN103" s="1018">
        <f t="shared" si="245"/>
        <v>0.32935402535564179</v>
      </c>
      <c r="CO103" s="168">
        <f t="shared" ref="CO103:CX103" si="247">CO102/CO24</f>
        <v>0.35107601961378415</v>
      </c>
      <c r="CP103" s="168">
        <f t="shared" si="247"/>
        <v>0.33981038294052207</v>
      </c>
      <c r="CQ103" s="168">
        <f t="shared" si="247"/>
        <v>0.34094440269690401</v>
      </c>
      <c r="CR103" s="169">
        <f t="shared" si="247"/>
        <v>0.34447735726874096</v>
      </c>
      <c r="CS103" s="1018">
        <f t="shared" si="247"/>
        <v>0.34398640391091861</v>
      </c>
      <c r="CT103" s="168">
        <f t="shared" si="247"/>
        <v>0.3593798939475587</v>
      </c>
      <c r="CU103" s="168">
        <f t="shared" si="247"/>
        <v>0.35216894870376281</v>
      </c>
      <c r="CV103" s="168">
        <f t="shared" si="247"/>
        <v>0.35286647749821226</v>
      </c>
      <c r="CW103" s="169">
        <f t="shared" si="247"/>
        <v>0.35573612433569451</v>
      </c>
      <c r="CX103" s="1018">
        <f t="shared" si="247"/>
        <v>0.35499825116666572</v>
      </c>
      <c r="DA103" s="171"/>
      <c r="DB103" s="170"/>
      <c r="DC103" s="170"/>
    </row>
    <row r="104" spans="1:107" outlineLevel="1">
      <c r="A104" s="135" t="s">
        <v>534</v>
      </c>
      <c r="B104" s="115"/>
      <c r="C104" s="137">
        <f>C76+C77</f>
        <v>-11.341000000000001</v>
      </c>
      <c r="D104" s="137">
        <f>D76+D77</f>
        <v>-26.399000000000001</v>
      </c>
      <c r="E104" s="137">
        <f>E76+E77</f>
        <v>-32.703000000000003</v>
      </c>
      <c r="F104" s="137">
        <f>F76+F77</f>
        <v>-1.0829999999999949</v>
      </c>
      <c r="G104" s="139">
        <f>SUM(C104:F104)</f>
        <v>-71.52600000000001</v>
      </c>
      <c r="H104" s="137">
        <f>H76+H77</f>
        <v>9.4619999999999997</v>
      </c>
      <c r="I104" s="137">
        <f>I76+I77</f>
        <v>-10.993</v>
      </c>
      <c r="J104" s="137">
        <f>J76+J77</f>
        <v>-5.7000000000000384E-2</v>
      </c>
      <c r="K104" s="137">
        <f>K76+K77</f>
        <v>-0.74999999999999822</v>
      </c>
      <c r="L104" s="138">
        <f>SUM(H104:K104)</f>
        <v>-2.3379999999999992</v>
      </c>
      <c r="M104" s="137">
        <f>M76+M77</f>
        <v>-3.0430000000000001</v>
      </c>
      <c r="N104" s="137">
        <f>N76+N77</f>
        <v>0.31899999999999995</v>
      </c>
      <c r="O104" s="137">
        <f>O76+O77</f>
        <v>-3.7999999999999812E-2</v>
      </c>
      <c r="P104" s="137">
        <f>P76+P77</f>
        <v>3.8069999999999986</v>
      </c>
      <c r="Q104" s="139">
        <f>SUM(M104:P104)</f>
        <v>1.0449999999999986</v>
      </c>
      <c r="R104" s="137">
        <f>R76+R77</f>
        <v>3.0010000000000003</v>
      </c>
      <c r="S104" s="137">
        <f>S76+S77</f>
        <v>6</v>
      </c>
      <c r="T104" s="137">
        <f>T76+T77</f>
        <v>0.84899999999999998</v>
      </c>
      <c r="U104" s="137">
        <f>U76+U77</f>
        <v>7.0010000000000021</v>
      </c>
      <c r="V104" s="139">
        <f>SUM(R104:U104)</f>
        <v>16.851000000000003</v>
      </c>
      <c r="W104" s="137">
        <f>W76+W77</f>
        <v>6.0729999999999995</v>
      </c>
      <c r="X104" s="137">
        <f>X76+X77</f>
        <v>5.6039999999999992</v>
      </c>
      <c r="Y104" s="137">
        <f>Y76+Y77</f>
        <v>10.375999999999999</v>
      </c>
      <c r="Z104" s="137">
        <f>Z76+Z77</f>
        <v>15.289000000000001</v>
      </c>
      <c r="AA104" s="139">
        <f>SUM(W104:Z104)</f>
        <v>37.341999999999999</v>
      </c>
      <c r="AB104" s="137">
        <f>AB76+AB77</f>
        <v>14.276999999999999</v>
      </c>
      <c r="AC104" s="137">
        <f>AC76+AC77</f>
        <v>16.588999999999999</v>
      </c>
      <c r="AD104" s="137">
        <f>AD76+AD77</f>
        <v>12.978999999999999</v>
      </c>
      <c r="AE104" s="137">
        <f>AE76+AE77</f>
        <v>84.588999999999999</v>
      </c>
      <c r="AF104" s="139">
        <f>SUM(AB104:AE104)</f>
        <v>128.434</v>
      </c>
      <c r="AG104" s="137">
        <f>AG76+AG77</f>
        <v>28.064999999999998</v>
      </c>
      <c r="AH104" s="137">
        <f>AH76+AH77</f>
        <v>24.724999999999998</v>
      </c>
      <c r="AI104" s="137">
        <f>AI76+AI77</f>
        <v>21.970000000000002</v>
      </c>
      <c r="AJ104" s="137">
        <f>AJ76+AJ77</f>
        <v>14.845000000000001</v>
      </c>
      <c r="AK104" s="139">
        <f>SUM(AG104:AJ104)</f>
        <v>89.60499999999999</v>
      </c>
      <c r="AL104" s="137">
        <f>AL76+AL77</f>
        <v>20.131999999999998</v>
      </c>
      <c r="AM104" s="137">
        <f>AM76+AM77</f>
        <v>17.828000000000003</v>
      </c>
      <c r="AN104" s="137">
        <f>AN76+AN77</f>
        <v>9.0449999999999982</v>
      </c>
      <c r="AO104" s="380">
        <f>AO76+AO77</f>
        <v>3.1510000000000007</v>
      </c>
      <c r="AP104" s="139">
        <f>SUM(AL104:AO104)</f>
        <v>50.155999999999999</v>
      </c>
      <c r="AQ104" s="137">
        <f>AQ76+AQ77</f>
        <v>-4.7539999999999978</v>
      </c>
      <c r="AR104" s="137">
        <f>AR76+AR77</f>
        <v>2.3769999999999998</v>
      </c>
      <c r="AS104" s="137">
        <f>AS76+AS77</f>
        <v>6.8140000000000001</v>
      </c>
      <c r="AT104" s="137">
        <f>AT76+AT77</f>
        <v>6.5699999999999994</v>
      </c>
      <c r="AU104" s="139">
        <f>SUM(AQ104:AT104)</f>
        <v>11.007000000000001</v>
      </c>
      <c r="AV104" s="137">
        <f>AV76+AV77</f>
        <v>-10.618</v>
      </c>
      <c r="AW104" s="137">
        <f>AW76+AW77</f>
        <v>-33.112000000000002</v>
      </c>
      <c r="AX104" s="137">
        <f>AX76+AX77</f>
        <v>-5.2610000000000001</v>
      </c>
      <c r="AY104" s="137">
        <f>AY76+AY77</f>
        <v>-0.93200000000000127</v>
      </c>
      <c r="AZ104" s="139">
        <f>SUM(AV104:AY104)</f>
        <v>-49.923000000000009</v>
      </c>
      <c r="BA104" s="137">
        <f>BA76+BA77</f>
        <v>-16.247</v>
      </c>
      <c r="BB104" s="137">
        <f>BB76+BB77</f>
        <v>-17.48</v>
      </c>
      <c r="BC104" s="137">
        <f>BC76+BC77</f>
        <v>-17.390999999999998</v>
      </c>
      <c r="BD104" s="137">
        <f>BD76+BD77</f>
        <v>-12.951000000000001</v>
      </c>
      <c r="BE104" s="139">
        <f>SUM(BA104:BD104)</f>
        <v>-64.069000000000003</v>
      </c>
      <c r="BF104" s="137">
        <f>BF76+BF77</f>
        <v>-18.602</v>
      </c>
      <c r="BG104" s="137">
        <f>BG76+BG77</f>
        <v>-10.569000000000003</v>
      </c>
      <c r="BH104" s="137">
        <f>BH76+BH77</f>
        <v>-15.092000000000002</v>
      </c>
      <c r="BI104" s="137">
        <f>BI76+BI77</f>
        <v>-17.134</v>
      </c>
      <c r="BJ104" s="139">
        <f>SUM(BF104:BI104)</f>
        <v>-61.397000000000006</v>
      </c>
      <c r="BK104" s="137">
        <f>BK76+BK77</f>
        <v>-14.739999999999998</v>
      </c>
      <c r="BL104" s="137">
        <f>BL76+BL77</f>
        <v>-17.094000000000001</v>
      </c>
      <c r="BM104" s="137">
        <f>BM76+BM77</f>
        <v>-17.094000000000001</v>
      </c>
      <c r="BN104" s="137">
        <f>BN76+BN77</f>
        <v>-14.566000000000001</v>
      </c>
      <c r="BO104" s="1440">
        <f>SUM(BK104:BN104)</f>
        <v>-63.494</v>
      </c>
      <c r="BP104" s="137">
        <f>BP76+BP77</f>
        <v>-13.854000000000001</v>
      </c>
      <c r="BQ104" s="137">
        <f>BQ76+BQ77</f>
        <v>-14.007000000000001</v>
      </c>
      <c r="BR104" s="137">
        <f>BR76+BR77</f>
        <v>-11.238</v>
      </c>
      <c r="BS104" s="137">
        <f>BS76+BS77</f>
        <v>-12.23</v>
      </c>
      <c r="BT104" s="1440">
        <f>SUM(BP104:BS104)</f>
        <v>-51.329000000000008</v>
      </c>
      <c r="BU104" s="137">
        <f>BU76+BU77</f>
        <v>-9.777000000000001</v>
      </c>
      <c r="BV104" s="137">
        <f>BV76+BV77</f>
        <v>-12.642999999999999</v>
      </c>
      <c r="BW104" s="137">
        <f>BW76+BW77</f>
        <v>-13.399999999999999</v>
      </c>
      <c r="BX104" s="137">
        <f>BX76+BX77</f>
        <v>6.5060000000000002</v>
      </c>
      <c r="BY104" s="1440">
        <f>SUM(BU104:BX104)</f>
        <v>-29.314</v>
      </c>
      <c r="BZ104" s="137">
        <f>BZ76+BZ77</f>
        <v>-15.451000000000001</v>
      </c>
      <c r="CA104" s="137">
        <f>CA76+CA77</f>
        <v>-14.408999999999999</v>
      </c>
      <c r="CB104" s="137">
        <f>CB76+CB77</f>
        <v>-13.023999999999999</v>
      </c>
      <c r="CC104" s="137">
        <f>CC76+CC77</f>
        <v>-15.6</v>
      </c>
      <c r="CD104" s="1440">
        <f>SUM(BZ104:CC104)</f>
        <v>-58.484000000000002</v>
      </c>
      <c r="CE104" s="137">
        <f>CE76+CE77</f>
        <v>-8.3669999999999991</v>
      </c>
      <c r="CF104" s="137">
        <f>CF76+CF77</f>
        <v>-11.464000000000002</v>
      </c>
      <c r="CG104" s="137">
        <f>CG76+CG77</f>
        <v>-4.2950000000000017</v>
      </c>
      <c r="CH104" s="137">
        <f>CH76+CH77</f>
        <v>-6.3279999999999994</v>
      </c>
      <c r="CI104" s="1440">
        <f>SUM(CE104:CH104)</f>
        <v>-30.454000000000004</v>
      </c>
      <c r="CJ104" s="137">
        <f>CJ76+CJ77</f>
        <v>-0.23100000000000032</v>
      </c>
      <c r="CK104" s="140">
        <f>CK76+CK77</f>
        <v>-2.5359999999999978</v>
      </c>
      <c r="CL104" s="140">
        <f>CL76+CL77</f>
        <v>-1.7634793547357859</v>
      </c>
      <c r="CM104" s="140">
        <f>CM76+CM77</f>
        <v>-5.7582391441494938</v>
      </c>
      <c r="CN104" s="1016">
        <f>SUM(CJ104:CM104)</f>
        <v>-10.288718498885277</v>
      </c>
      <c r="CO104" s="140">
        <f>CO76+CO77</f>
        <v>-11.439153227213632</v>
      </c>
      <c r="CP104" s="140">
        <f>CP76+CP77</f>
        <v>-10.837754632270711</v>
      </c>
      <c r="CQ104" s="140">
        <f>CQ76+CQ77</f>
        <v>-10.265684910196642</v>
      </c>
      <c r="CR104" s="140">
        <f>CR76+CR77</f>
        <v>-9.6536958761477489</v>
      </c>
      <c r="CS104" s="1016">
        <f>SUM(CO104:CR104)</f>
        <v>-42.196288645828737</v>
      </c>
      <c r="CT104" s="140">
        <f>CT76+CT77</f>
        <v>-8.731112472436191</v>
      </c>
      <c r="CU104" s="140">
        <f>CU76+CU77</f>
        <v>-7.9680641814865467</v>
      </c>
      <c r="CV104" s="140">
        <f>CV76+CV77</f>
        <v>-7.2845046650701839</v>
      </c>
      <c r="CW104" s="140">
        <f>CW76+CW77</f>
        <v>-6.5631111014807697</v>
      </c>
      <c r="CX104" s="1016">
        <f>SUM(CT104:CW104)</f>
        <v>-30.546792420473693</v>
      </c>
      <c r="DA104" s="254"/>
      <c r="DB104" s="243"/>
      <c r="DC104" s="243"/>
    </row>
    <row r="105" spans="1:107" outlineLevel="1">
      <c r="A105" s="135" t="s">
        <v>535</v>
      </c>
      <c r="B105" s="115"/>
      <c r="C105" s="136">
        <f>C102+C104</f>
        <v>104.11299999999997</v>
      </c>
      <c r="D105" s="137">
        <f>D102+D104</f>
        <v>91.500000000000043</v>
      </c>
      <c r="E105" s="137">
        <f>E102+E104</f>
        <v>60.14</v>
      </c>
      <c r="F105" s="138">
        <f>F102+F104</f>
        <v>51.177999999999912</v>
      </c>
      <c r="G105" s="139">
        <f>SUM(C105:F105)</f>
        <v>306.93099999999993</v>
      </c>
      <c r="H105" s="137">
        <f>H102+H104</f>
        <v>73.247</v>
      </c>
      <c r="I105" s="137">
        <f>I102+I104</f>
        <v>79.855000000000061</v>
      </c>
      <c r="J105" s="137">
        <f>J102+J104</f>
        <v>69.413000000000025</v>
      </c>
      <c r="K105" s="138">
        <f>K102+K104</f>
        <v>62.174000000000007</v>
      </c>
      <c r="L105" s="138">
        <f>SUM(H105:K105)</f>
        <v>284.68900000000008</v>
      </c>
      <c r="M105" s="137">
        <f>M102+M104</f>
        <v>77.464999999999947</v>
      </c>
      <c r="N105" s="137">
        <f>N102+N104</f>
        <v>91.779999999999959</v>
      </c>
      <c r="O105" s="137">
        <f>O102+O104</f>
        <v>92.176999999999978</v>
      </c>
      <c r="P105" s="138">
        <f>P102+P104</f>
        <v>119.06999999999996</v>
      </c>
      <c r="Q105" s="1013">
        <f>SUM(M105:P105)</f>
        <v>380.49199999999985</v>
      </c>
      <c r="R105" s="233">
        <f>R102+R104</f>
        <v>166.26299999999998</v>
      </c>
      <c r="S105" s="137">
        <f>S102+S104</f>
        <v>147.83899999999997</v>
      </c>
      <c r="T105" s="137">
        <f>T102+T104</f>
        <v>141.16299999999995</v>
      </c>
      <c r="U105" s="138">
        <f>U102+U104</f>
        <v>153.37999999999997</v>
      </c>
      <c r="V105" s="1013">
        <f>SUM(R105:U105)</f>
        <v>608.64499999999987</v>
      </c>
      <c r="W105" s="137">
        <f>W102+W104</f>
        <v>176.785</v>
      </c>
      <c r="X105" s="233">
        <f>X102+X104</f>
        <v>187.80799999999994</v>
      </c>
      <c r="Y105" s="137">
        <f>Y102+Y104</f>
        <v>193.96399999999997</v>
      </c>
      <c r="Z105" s="138">
        <f>Z102+Z104</f>
        <v>207.21900000000016</v>
      </c>
      <c r="AA105" s="1013">
        <f>SUM(W105:Z105)</f>
        <v>765.77600000000007</v>
      </c>
      <c r="AB105" s="233">
        <f>AB102+AB104</f>
        <v>144.25700000000006</v>
      </c>
      <c r="AC105" s="233">
        <f>AC102+AC104</f>
        <v>164.49700000000001</v>
      </c>
      <c r="AD105" s="137">
        <f>AD102+AD104</f>
        <v>123.01199999999996</v>
      </c>
      <c r="AE105" s="138">
        <f>AE102+AE104</f>
        <v>246.08099999999999</v>
      </c>
      <c r="AF105" s="139">
        <f>SUM(AB105:AE105)</f>
        <v>677.84699999999998</v>
      </c>
      <c r="AG105" s="137">
        <f>AG102+AG104</f>
        <v>174.4020000000001</v>
      </c>
      <c r="AH105" s="137">
        <f>AH102+AH104</f>
        <v>205.11600000000001</v>
      </c>
      <c r="AI105" s="137">
        <f>AI102+AI104</f>
        <v>276.99499999999995</v>
      </c>
      <c r="AJ105" s="138">
        <f>AJ102+AJ104</f>
        <v>290.67700000000002</v>
      </c>
      <c r="AK105" s="139">
        <f>SUM(AG105:AJ105)</f>
        <v>947.19000000000017</v>
      </c>
      <c r="AL105" s="137">
        <f>AL102+AL104</f>
        <v>295.53699999999992</v>
      </c>
      <c r="AM105" s="137">
        <f>AM102+AM104</f>
        <v>278.00599999999997</v>
      </c>
      <c r="AN105" s="137">
        <f>AN102+AN104</f>
        <v>228.51399999999998</v>
      </c>
      <c r="AO105" s="138">
        <f>AO102+AO104</f>
        <v>276.34400000000005</v>
      </c>
      <c r="AP105" s="139">
        <f>SUM(AL105:AO105)</f>
        <v>1078.4009999999998</v>
      </c>
      <c r="AQ105" s="137">
        <f>AQ102+AQ104</f>
        <v>203.16199999999992</v>
      </c>
      <c r="AR105" s="137">
        <f>AR102+AR104</f>
        <v>163.73000000000002</v>
      </c>
      <c r="AS105" s="137">
        <f>AS102+AS104</f>
        <v>174.41600000000011</v>
      </c>
      <c r="AT105" s="138">
        <f>AT102+AT104</f>
        <v>160.21199999999996</v>
      </c>
      <c r="AU105" s="139">
        <f>SUM(AQ105:AT105)</f>
        <v>701.52</v>
      </c>
      <c r="AV105" s="137">
        <f>AV102+AV104</f>
        <v>166.21499999999997</v>
      </c>
      <c r="AW105" s="137">
        <f>AW102+AW104</f>
        <v>194.17299999999992</v>
      </c>
      <c r="AX105" s="137">
        <f>AX102+AX104</f>
        <v>296.75199999999995</v>
      </c>
      <c r="AY105" s="138">
        <f>AY102+AY104</f>
        <v>286.01099999999985</v>
      </c>
      <c r="AZ105" s="139">
        <f>SUM(AV105:AY105)</f>
        <v>943.15099999999973</v>
      </c>
      <c r="BA105" s="137">
        <f>BA102+BA104</f>
        <v>286.13600000000014</v>
      </c>
      <c r="BB105" s="137">
        <f>BB102+BB104</f>
        <v>259.24399999999991</v>
      </c>
      <c r="BC105" s="137">
        <f>BC102+BC104</f>
        <v>256.71899999999999</v>
      </c>
      <c r="BD105" s="137">
        <f>BD102+BD104</f>
        <v>253.87999999999991</v>
      </c>
      <c r="BE105" s="139">
        <f>SUM(BA105:BD105)</f>
        <v>1055.979</v>
      </c>
      <c r="BF105" s="137">
        <f>BF102+BF104</f>
        <v>270.40600000000001</v>
      </c>
      <c r="BG105" s="137">
        <f>BG102+BG104</f>
        <v>294.56500000000005</v>
      </c>
      <c r="BH105" s="137">
        <f>BH102+BH104</f>
        <v>263.41699999999992</v>
      </c>
      <c r="BI105" s="137">
        <f>BI102+BI104</f>
        <v>289.98099999999988</v>
      </c>
      <c r="BJ105" s="139">
        <f>SUM(BF105:BI105)</f>
        <v>1118.3689999999997</v>
      </c>
      <c r="BK105" s="137">
        <f>BK102+BK104</f>
        <v>83.483999999999966</v>
      </c>
      <c r="BL105" s="137">
        <f>BL102+BL104</f>
        <v>94.223999999999904</v>
      </c>
      <c r="BM105" s="137">
        <f>BM102+BM104</f>
        <v>93.259999999999934</v>
      </c>
      <c r="BN105" s="138">
        <f>BN102+BN104</f>
        <v>92.822999999999894</v>
      </c>
      <c r="BO105" s="1440">
        <f>SUM(BK105:BN105)</f>
        <v>363.79099999999971</v>
      </c>
      <c r="BP105" s="137">
        <f>BP102+BP104</f>
        <v>66.106999999999914</v>
      </c>
      <c r="BQ105" s="137">
        <f>BQ102+BQ104</f>
        <v>121.26800000000014</v>
      </c>
      <c r="BR105" s="137">
        <f>BR102+BR104</f>
        <v>62.984000000000108</v>
      </c>
      <c r="BS105" s="138">
        <f>BS102+BS104</f>
        <v>92.772000000000006</v>
      </c>
      <c r="BT105" s="1440">
        <f>SUM(BP105:BS105)</f>
        <v>343.13100000000014</v>
      </c>
      <c r="BU105" s="137">
        <f>BU102+BU104</f>
        <v>163.24800000000005</v>
      </c>
      <c r="BV105" s="137">
        <f>BV102+BV104</f>
        <v>180.97499999999994</v>
      </c>
      <c r="BW105" s="137">
        <f>BW102+BW104</f>
        <v>232.62399999999994</v>
      </c>
      <c r="BX105" s="138">
        <f>BX102+BX104</f>
        <v>296.80699999999968</v>
      </c>
      <c r="BY105" s="1440">
        <f>SUM(BU105:BX105)</f>
        <v>873.65399999999954</v>
      </c>
      <c r="BZ105" s="137">
        <f>BZ102+BZ104</f>
        <v>292.33700000000005</v>
      </c>
      <c r="CA105" s="137">
        <f>CA102+CA104</f>
        <v>329.8450000000002</v>
      </c>
      <c r="CB105" s="137">
        <f>CB102+CB104</f>
        <v>356.30100000000016</v>
      </c>
      <c r="CC105" s="137">
        <f>CC102+CC104</f>
        <v>456.65299999999991</v>
      </c>
      <c r="CD105" s="1440">
        <f>SUM(BZ105:CC105)</f>
        <v>1435.1360000000004</v>
      </c>
      <c r="CE105" s="137">
        <f>CE102+CE104</f>
        <v>460.61799999999988</v>
      </c>
      <c r="CF105" s="137">
        <f>CF102+CF104</f>
        <v>492.68800000000005</v>
      </c>
      <c r="CG105" s="137">
        <f>CG102+CG104</f>
        <v>542.35900000000004</v>
      </c>
      <c r="CH105" s="137">
        <f>CH102+CH104</f>
        <v>643.35999999999979</v>
      </c>
      <c r="CI105" s="1440">
        <f>SUM(CE105:CH105)</f>
        <v>2139.0249999999996</v>
      </c>
      <c r="CJ105" s="137">
        <f>CJ102+CJ104</f>
        <v>702.33681999999999</v>
      </c>
      <c r="CK105" s="140">
        <f>CK102+CK104</f>
        <v>704.78271218791485</v>
      </c>
      <c r="CL105" s="140">
        <f>CL102+CL104</f>
        <v>734.47702434355176</v>
      </c>
      <c r="CM105" s="141">
        <f>CM102+CM104</f>
        <v>777.79419408836395</v>
      </c>
      <c r="CN105" s="1016">
        <f>SUM(CJ105:CM105)</f>
        <v>2919.3907506198307</v>
      </c>
      <c r="CO105" s="140">
        <f>CO102+CO104</f>
        <v>855.17555241722152</v>
      </c>
      <c r="CP105" s="140">
        <f>CP102+CP104</f>
        <v>862.80040777924353</v>
      </c>
      <c r="CQ105" s="140">
        <f>CQ102+CQ104</f>
        <v>902.82829605102097</v>
      </c>
      <c r="CR105" s="141">
        <f>CR102+CR104</f>
        <v>960.63628151984506</v>
      </c>
      <c r="CS105" s="1016">
        <f>SUM(CO105:CR105)</f>
        <v>3581.4405377673311</v>
      </c>
      <c r="CT105" s="140">
        <f>CT102+CT104</f>
        <v>1035.0719749234479</v>
      </c>
      <c r="CU105" s="140">
        <f>CU102+CU104</f>
        <v>1049.9109533362684</v>
      </c>
      <c r="CV105" s="140">
        <f>CV102+CV104</f>
        <v>1088.3903573923869</v>
      </c>
      <c r="CW105" s="141">
        <f>CW102+CW104</f>
        <v>1146.6190549438036</v>
      </c>
      <c r="CX105" s="1016">
        <f>SUM(CT105:CW105)</f>
        <v>4319.9923405959071</v>
      </c>
      <c r="DA105" s="254"/>
      <c r="DB105" s="243"/>
      <c r="DC105" s="243"/>
    </row>
    <row r="106" spans="1:107" outlineLevel="1">
      <c r="A106" s="135" t="s">
        <v>536</v>
      </c>
      <c r="B106" s="115"/>
      <c r="C106" s="136">
        <f>C81</f>
        <v>41.161999999999999</v>
      </c>
      <c r="D106" s="137">
        <f>D81</f>
        <v>41.616999999999997</v>
      </c>
      <c r="E106" s="137">
        <f>E81</f>
        <v>34.040999999999997</v>
      </c>
      <c r="F106" s="138">
        <f>F81</f>
        <v>23.986999999999998</v>
      </c>
      <c r="G106" s="139">
        <f>SUM(C106:F106)</f>
        <v>140.80699999999999</v>
      </c>
      <c r="H106" s="137">
        <v>23.439</v>
      </c>
      <c r="I106" s="137">
        <v>25.553999999999998</v>
      </c>
      <c r="J106" s="137">
        <v>22.212</v>
      </c>
      <c r="K106" s="138">
        <f>93.29-J106-I106-H106</f>
        <v>22.085000000000001</v>
      </c>
      <c r="L106" s="138">
        <f>SUM(H106:K106)</f>
        <v>93.289999999999992</v>
      </c>
      <c r="M106" s="137">
        <v>23.24</v>
      </c>
      <c r="N106" s="137">
        <v>27.533999999999999</v>
      </c>
      <c r="O106" s="137">
        <v>27.652999999999999</v>
      </c>
      <c r="P106" s="138">
        <f>114.148-O106-N106-M106</f>
        <v>35.721000000000004</v>
      </c>
      <c r="Q106" s="139">
        <f>SUM(M106:P106)</f>
        <v>114.148</v>
      </c>
      <c r="R106" s="137">
        <v>43.228000000000002</v>
      </c>
      <c r="S106" s="137">
        <v>38.438000000000002</v>
      </c>
      <c r="T106" s="137">
        <v>36.701999999999998</v>
      </c>
      <c r="U106" s="138">
        <v>39.878999999999998</v>
      </c>
      <c r="V106" s="139">
        <f>SUM(R106:U106)</f>
        <v>158.24699999999999</v>
      </c>
      <c r="W106" s="210">
        <v>24.890999999999998</v>
      </c>
      <c r="X106" s="210">
        <v>38.03</v>
      </c>
      <c r="Y106" s="210">
        <v>49.048000000000002</v>
      </c>
      <c r="Z106" s="211">
        <v>50.968000000000004</v>
      </c>
      <c r="AA106" s="139">
        <f>SUM(W106:Z106)</f>
        <v>162.93700000000001</v>
      </c>
      <c r="AB106" s="380">
        <v>39.185000000000002</v>
      </c>
      <c r="AC106" s="137">
        <v>41.4</v>
      </c>
      <c r="AD106" s="137">
        <v>28.616</v>
      </c>
      <c r="AE106" s="138">
        <v>64.716999999999999</v>
      </c>
      <c r="AF106" s="1013">
        <f>SUM(AB106:AE106)</f>
        <v>173.91800000000001</v>
      </c>
      <c r="AG106" s="137">
        <v>30.550999999999998</v>
      </c>
      <c r="AH106" s="137">
        <v>52.610999999999997</v>
      </c>
      <c r="AI106" s="137">
        <v>71.751999999999995</v>
      </c>
      <c r="AJ106" s="138">
        <f>68.469</f>
        <v>68.468999999999994</v>
      </c>
      <c r="AK106" s="139">
        <f>SUM(AG106:AJ106)</f>
        <v>223.38299999999998</v>
      </c>
      <c r="AL106" s="137">
        <v>76.265000000000001</v>
      </c>
      <c r="AM106" s="137">
        <v>63.095999999999997</v>
      </c>
      <c r="AN106" s="137">
        <v>36.905999999999999</v>
      </c>
      <c r="AO106" s="138">
        <v>30.427</v>
      </c>
      <c r="AP106" s="139">
        <f>SUM(AL106:AO106)</f>
        <v>206.69399999999999</v>
      </c>
      <c r="AQ106" s="137">
        <v>46.726999999999997</v>
      </c>
      <c r="AR106" s="137">
        <v>37.658999999999999</v>
      </c>
      <c r="AS106" s="137">
        <v>38.371000000000002</v>
      </c>
      <c r="AT106" s="138">
        <v>192.255</v>
      </c>
      <c r="AU106" s="139">
        <f>SUM(AQ106:AT106)</f>
        <v>315.012</v>
      </c>
      <c r="AV106" s="137">
        <v>39.061</v>
      </c>
      <c r="AW106" s="137">
        <v>45.561999999999998</v>
      </c>
      <c r="AX106" s="137">
        <v>66.686999999999998</v>
      </c>
      <c r="AY106" s="138">
        <f>17.161</f>
        <v>17.161000000000001</v>
      </c>
      <c r="AZ106" s="139">
        <f>SUM(AV106:AY106)</f>
        <v>168.471</v>
      </c>
      <c r="BA106" s="137">
        <v>51.496000000000002</v>
      </c>
      <c r="BB106" s="137">
        <v>29.808</v>
      </c>
      <c r="BC106" s="137">
        <v>61.618000000000002</v>
      </c>
      <c r="BD106" s="138">
        <f>59.461</f>
        <v>59.460999999999999</v>
      </c>
      <c r="BE106" s="139">
        <f>SUM(BA106:BD106)</f>
        <v>202.38299999999998</v>
      </c>
      <c r="BF106" s="137">
        <f>85.168</f>
        <v>85.168000000000006</v>
      </c>
      <c r="BG106" s="137">
        <v>70.697999999999993</v>
      </c>
      <c r="BH106" s="137">
        <v>61.854999999999997</v>
      </c>
      <c r="BI106" s="137">
        <v>68.3</v>
      </c>
      <c r="BJ106" s="139">
        <f>SUM(BF106:BI106)</f>
        <v>286.02099999999996</v>
      </c>
      <c r="BK106" s="137">
        <v>18.367000000000001</v>
      </c>
      <c r="BL106" s="137">
        <v>14.6</v>
      </c>
      <c r="BM106" s="137">
        <v>10.257999999999999</v>
      </c>
      <c r="BN106" s="138">
        <v>22.95</v>
      </c>
      <c r="BO106" s="1440">
        <f>SUM(BK106:BN106)</f>
        <v>66.174999999999997</v>
      </c>
      <c r="BP106" s="137">
        <v>17.846</v>
      </c>
      <c r="BQ106" s="137">
        <v>32.744</v>
      </c>
      <c r="BR106" s="137">
        <v>18.251999999999999</v>
      </c>
      <c r="BS106" s="138">
        <v>19.483000000000001</v>
      </c>
      <c r="BT106" s="1440">
        <f>SUM(BP106:BS106)</f>
        <v>88.325000000000003</v>
      </c>
      <c r="BU106" s="137">
        <v>78.36</v>
      </c>
      <c r="BV106" s="137">
        <v>33.481000000000002</v>
      </c>
      <c r="BW106" s="137">
        <v>58.154000000000003</v>
      </c>
      <c r="BX106" s="138">
        <v>74.234999999999999</v>
      </c>
      <c r="BY106" s="1440">
        <f>SUM(BU106:BX106)</f>
        <v>244.23000000000002</v>
      </c>
      <c r="BZ106" s="137">
        <v>38</v>
      </c>
      <c r="CA106" s="137">
        <v>85.756</v>
      </c>
      <c r="CB106" s="137">
        <v>85.513000000000005</v>
      </c>
      <c r="CC106" s="137">
        <v>57.087000000000003</v>
      </c>
      <c r="CD106" s="1440">
        <f>SUM(BZ106:CC106)</f>
        <v>266.35599999999999</v>
      </c>
      <c r="CE106" s="137">
        <v>62.186</v>
      </c>
      <c r="CF106" s="137">
        <v>118.22799999999999</v>
      </c>
      <c r="CG106" s="137">
        <v>121.81</v>
      </c>
      <c r="CH106" s="137">
        <v>141.46299999999999</v>
      </c>
      <c r="CI106" s="1440">
        <f>SUM(CE106:CH106)</f>
        <v>443.68700000000001</v>
      </c>
      <c r="CJ106" s="137">
        <v>119.426</v>
      </c>
      <c r="CK106" s="140">
        <f>CK105*CK107</f>
        <v>95.121176245000171</v>
      </c>
      <c r="CL106" s="140">
        <f>CL105*CL107</f>
        <v>87.838263527412437</v>
      </c>
      <c r="CM106" s="141">
        <f>CM105*CM107</f>
        <v>89.354209841938939</v>
      </c>
      <c r="CN106" s="1016">
        <f>SUM(CJ106:CM106)</f>
        <v>391.73964961435155</v>
      </c>
      <c r="CO106" s="140">
        <f>CO105*CO107</f>
        <v>153.93159943509986</v>
      </c>
      <c r="CP106" s="140">
        <f>CP105*CP107</f>
        <v>155.30407340026383</v>
      </c>
      <c r="CQ106" s="140">
        <f>CQ105*CQ107</f>
        <v>162.50909328918377</v>
      </c>
      <c r="CR106" s="141">
        <f>CR105*CR107</f>
        <v>172.9145306735721</v>
      </c>
      <c r="CS106" s="1016">
        <f>SUM(CO106:CR106)</f>
        <v>644.65929679811961</v>
      </c>
      <c r="CT106" s="140">
        <f>CT105*CT107</f>
        <v>186.3129554862206</v>
      </c>
      <c r="CU106" s="140">
        <f>CU105*CU107</f>
        <v>188.98397160052832</v>
      </c>
      <c r="CV106" s="140">
        <f>CV105*CV107</f>
        <v>195.91026433062964</v>
      </c>
      <c r="CW106" s="141">
        <f>CW105*CW107</f>
        <v>206.39142988988465</v>
      </c>
      <c r="CX106" s="1016">
        <f>SUM(CT106:CW106)</f>
        <v>777.59862130726322</v>
      </c>
      <c r="DA106" s="254"/>
      <c r="DB106" s="243"/>
      <c r="DC106" s="243"/>
    </row>
    <row r="107" spans="1:107" outlineLevel="1">
      <c r="A107" s="234" t="s">
        <v>537</v>
      </c>
      <c r="B107" s="272"/>
      <c r="C107" s="216">
        <f t="shared" ref="C107:AQ107" si="248">C106/C105</f>
        <v>0.39535888889956117</v>
      </c>
      <c r="D107" s="162">
        <f t="shared" si="248"/>
        <v>0.45483060109289591</v>
      </c>
      <c r="E107" s="162">
        <f t="shared" si="248"/>
        <v>0.56602926504822071</v>
      </c>
      <c r="F107" s="161">
        <f t="shared" si="248"/>
        <v>0.4686974872015327</v>
      </c>
      <c r="G107" s="163">
        <f t="shared" si="248"/>
        <v>0.45875783156474914</v>
      </c>
      <c r="H107" s="162">
        <f t="shared" si="248"/>
        <v>0.31999945390254891</v>
      </c>
      <c r="I107" s="162">
        <f t="shared" si="248"/>
        <v>0.32000500907895535</v>
      </c>
      <c r="J107" s="162">
        <f t="shared" si="248"/>
        <v>0.31999769495627606</v>
      </c>
      <c r="K107" s="161">
        <f t="shared" si="248"/>
        <v>0.35521278991218191</v>
      </c>
      <c r="L107" s="161">
        <f t="shared" si="248"/>
        <v>0.32769091886233737</v>
      </c>
      <c r="M107" s="162">
        <f t="shared" si="248"/>
        <v>0.30000645452785146</v>
      </c>
      <c r="N107" s="162">
        <f t="shared" si="248"/>
        <v>0.3000000000000001</v>
      </c>
      <c r="O107" s="162">
        <f t="shared" si="248"/>
        <v>0.29999891513067256</v>
      </c>
      <c r="P107" s="161">
        <f t="shared" si="248"/>
        <v>0.3000000000000001</v>
      </c>
      <c r="Q107" s="163">
        <f t="shared" si="248"/>
        <v>0.30000105127046045</v>
      </c>
      <c r="R107" s="162">
        <f t="shared" si="248"/>
        <v>0.25999771446443293</v>
      </c>
      <c r="S107" s="162">
        <f t="shared" si="248"/>
        <v>0.2599990530238977</v>
      </c>
      <c r="T107" s="162">
        <f t="shared" si="248"/>
        <v>0.25999730807647903</v>
      </c>
      <c r="U107" s="161">
        <f t="shared" si="248"/>
        <v>0.26000130395097149</v>
      </c>
      <c r="V107" s="291">
        <f t="shared" si="248"/>
        <v>0.25999884990429561</v>
      </c>
      <c r="W107" s="162">
        <f t="shared" si="248"/>
        <v>0.14079814463896823</v>
      </c>
      <c r="X107" s="162">
        <f t="shared" si="248"/>
        <v>0.20249403646277056</v>
      </c>
      <c r="Y107" s="162">
        <f t="shared" si="248"/>
        <v>0.25287166690726121</v>
      </c>
      <c r="Z107" s="161">
        <f t="shared" si="248"/>
        <v>0.24596200155391137</v>
      </c>
      <c r="AA107" s="163">
        <f t="shared" si="248"/>
        <v>0.21277370928313241</v>
      </c>
      <c r="AB107" s="162">
        <f t="shared" si="248"/>
        <v>0.27163326563009066</v>
      </c>
      <c r="AC107" s="162">
        <f t="shared" si="248"/>
        <v>0.25167632236454157</v>
      </c>
      <c r="AD107" s="162">
        <f t="shared" si="248"/>
        <v>0.23262771111761463</v>
      </c>
      <c r="AE107" s="161">
        <f t="shared" si="248"/>
        <v>0.26299064129290761</v>
      </c>
      <c r="AF107" s="163">
        <f t="shared" si="248"/>
        <v>0.25657412365917387</v>
      </c>
      <c r="AG107" s="162">
        <f t="shared" si="248"/>
        <v>0.17517574339743799</v>
      </c>
      <c r="AH107" s="162">
        <f t="shared" si="248"/>
        <v>0.25649388638623993</v>
      </c>
      <c r="AI107" s="185">
        <f t="shared" si="248"/>
        <v>0.25903716673586169</v>
      </c>
      <c r="AJ107" s="186">
        <f t="shared" si="248"/>
        <v>0.23555011232398845</v>
      </c>
      <c r="AK107" s="163">
        <f t="shared" si="248"/>
        <v>0.2358375827447502</v>
      </c>
      <c r="AL107" s="185">
        <f t="shared" si="248"/>
        <v>0.25805567492395204</v>
      </c>
      <c r="AM107" s="185">
        <f t="shared" si="248"/>
        <v>0.22695913037848106</v>
      </c>
      <c r="AN107" s="185">
        <f t="shared" si="248"/>
        <v>0.16150432796240055</v>
      </c>
      <c r="AO107" s="186">
        <f t="shared" si="248"/>
        <v>0.11010552065541497</v>
      </c>
      <c r="AP107" s="163">
        <f>AP106/AP105</f>
        <v>0.19166710713361729</v>
      </c>
      <c r="AQ107" s="1071">
        <f t="shared" si="248"/>
        <v>0.22999872023311455</v>
      </c>
      <c r="AR107" s="162">
        <f>AR82</f>
        <v>0.23499863567583654</v>
      </c>
      <c r="AS107" s="162">
        <f>AS82</f>
        <v>0.23500180849664595</v>
      </c>
      <c r="AT107" s="162">
        <f>AT82</f>
        <v>0.23499877903491959</v>
      </c>
      <c r="AU107" s="163">
        <f t="shared" ref="AU107:BD107" si="249">AU106/AU105</f>
        <v>0.44904208005473828</v>
      </c>
      <c r="AV107" s="1071">
        <f t="shared" si="249"/>
        <v>0.23500285774448759</v>
      </c>
      <c r="AW107" s="162">
        <f t="shared" si="249"/>
        <v>0.23464642355013321</v>
      </c>
      <c r="AX107" s="162">
        <f t="shared" si="249"/>
        <v>0.22472300102442447</v>
      </c>
      <c r="AY107" s="162">
        <f t="shared" si="249"/>
        <v>6.0001188765467096E-2</v>
      </c>
      <c r="AZ107" s="163">
        <f t="shared" si="249"/>
        <v>0.17862569196236874</v>
      </c>
      <c r="BA107" s="162">
        <f t="shared" si="249"/>
        <v>0.17997036374311509</v>
      </c>
      <c r="BB107" s="185">
        <f t="shared" si="249"/>
        <v>0.11498048170835201</v>
      </c>
      <c r="BC107" s="185">
        <f t="shared" si="249"/>
        <v>0.24002119048453757</v>
      </c>
      <c r="BD107" s="185">
        <f t="shared" si="249"/>
        <v>0.23420907515361597</v>
      </c>
      <c r="BE107" s="163">
        <f>BE106/BE105</f>
        <v>0.19165437949050121</v>
      </c>
      <c r="BF107" s="162">
        <f>BF82</f>
        <v>0.22480605368641057</v>
      </c>
      <c r="BG107" s="185">
        <f t="shared" ref="BG107:BN107" si="250">BG106/BG105</f>
        <v>0.24000814760748895</v>
      </c>
      <c r="BH107" s="185">
        <f t="shared" si="250"/>
        <v>0.23481779839569966</v>
      </c>
      <c r="BI107" s="185">
        <f t="shared" si="250"/>
        <v>0.23553267283028897</v>
      </c>
      <c r="BJ107" s="163">
        <f t="shared" si="250"/>
        <v>0.25574832635740086</v>
      </c>
      <c r="BK107" s="162">
        <f t="shared" si="250"/>
        <v>0.220006228738441</v>
      </c>
      <c r="BL107" s="185">
        <f t="shared" si="250"/>
        <v>0.1549499066055359</v>
      </c>
      <c r="BM107" s="185">
        <f t="shared" si="250"/>
        <v>0.10999356637357931</v>
      </c>
      <c r="BN107" s="185">
        <f t="shared" si="250"/>
        <v>0.24724475614879959</v>
      </c>
      <c r="BO107" s="1437">
        <f t="shared" ref="BO107:CG107" si="251">BO106/BO105</f>
        <v>0.18190389536849469</v>
      </c>
      <c r="BP107" s="162">
        <f t="shared" si="251"/>
        <v>0.26995628299574964</v>
      </c>
      <c r="BQ107" s="185">
        <f t="shared" si="251"/>
        <v>0.27001352376554377</v>
      </c>
      <c r="BR107" s="185">
        <f t="shared" si="251"/>
        <v>0.28978788263685962</v>
      </c>
      <c r="BS107" s="185">
        <f t="shared" si="251"/>
        <v>0.21000948562066141</v>
      </c>
      <c r="BT107" s="1437">
        <f t="shared" si="251"/>
        <v>0.25740897791222583</v>
      </c>
      <c r="BU107" s="162">
        <f t="shared" si="251"/>
        <v>0.48000588062334593</v>
      </c>
      <c r="BV107" s="185">
        <f t="shared" si="251"/>
        <v>0.18500345351567904</v>
      </c>
      <c r="BW107" s="185">
        <f t="shared" si="251"/>
        <v>0.24999140243483053</v>
      </c>
      <c r="BX107" s="185">
        <f t="shared" si="251"/>
        <v>0.25011202565977247</v>
      </c>
      <c r="BY107" s="1437">
        <f>BY106/BY105</f>
        <v>0.27955002781421495</v>
      </c>
      <c r="BZ107" s="162">
        <f t="shared" si="251"/>
        <v>0.12998696709619376</v>
      </c>
      <c r="CA107" s="162">
        <f t="shared" si="251"/>
        <v>0.25998878261001362</v>
      </c>
      <c r="CB107" s="162">
        <f t="shared" si="251"/>
        <v>0.24000213302797344</v>
      </c>
      <c r="CC107" s="162">
        <f t="shared" si="251"/>
        <v>0.12501177042524633</v>
      </c>
      <c r="CD107" s="1437">
        <f>CD106/CD105</f>
        <v>0.18559634766321792</v>
      </c>
      <c r="CE107" s="162">
        <f t="shared" si="251"/>
        <v>0.13500557946063771</v>
      </c>
      <c r="CF107" s="162">
        <f t="shared" si="251"/>
        <v>0.23996525184295128</v>
      </c>
      <c r="CG107" s="162">
        <f t="shared" si="251"/>
        <v>0.22459293567544744</v>
      </c>
      <c r="CH107" s="162">
        <f t="shared" ref="CH107" si="252">CH106/CH105</f>
        <v>0.21988155931360365</v>
      </c>
      <c r="CI107" s="1437">
        <f>CI106/CI105</f>
        <v>0.20742487815710434</v>
      </c>
      <c r="CJ107" s="162">
        <f t="shared" ref="CJ107" si="253">CJ106/CJ105</f>
        <v>0.17004092139153407</v>
      </c>
      <c r="CK107" s="168">
        <f>CF107-0.105</f>
        <v>0.13496525184295127</v>
      </c>
      <c r="CL107" s="168">
        <f t="shared" ref="CL107:CM107" si="254">CG107-0.105</f>
        <v>0.11959293567544745</v>
      </c>
      <c r="CM107" s="168">
        <f t="shared" si="254"/>
        <v>0.11488155931360365</v>
      </c>
      <c r="CN107" s="1018">
        <f>CN106/CN105</f>
        <v>0.13418541164151435</v>
      </c>
      <c r="CO107" s="168">
        <v>0.18</v>
      </c>
      <c r="CP107" s="168">
        <f>CO107</f>
        <v>0.18</v>
      </c>
      <c r="CQ107" s="168">
        <f t="shared" ref="CQ107:CR107" si="255">CP107</f>
        <v>0.18</v>
      </c>
      <c r="CR107" s="168">
        <f t="shared" si="255"/>
        <v>0.18</v>
      </c>
      <c r="CS107" s="1018">
        <f>CS106/CS105</f>
        <v>0.18</v>
      </c>
      <c r="CT107" s="168">
        <f>CO107</f>
        <v>0.18</v>
      </c>
      <c r="CU107" s="168">
        <f t="shared" ref="CU107" si="256">CP107</f>
        <v>0.18</v>
      </c>
      <c r="CV107" s="168">
        <f t="shared" ref="CV107" si="257">CQ107</f>
        <v>0.18</v>
      </c>
      <c r="CW107" s="168">
        <f t="shared" ref="CW107" si="258">CR107</f>
        <v>0.18</v>
      </c>
      <c r="CX107" s="1018">
        <f>CX106/CX105</f>
        <v>0.18</v>
      </c>
      <c r="DA107" s="201"/>
      <c r="DB107" s="200"/>
      <c r="DC107" s="200"/>
    </row>
    <row r="108" spans="1:107" outlineLevel="1">
      <c r="A108" s="187" t="s">
        <v>357</v>
      </c>
      <c r="B108" s="305"/>
      <c r="C108" s="359"/>
      <c r="D108" s="210"/>
      <c r="E108" s="210"/>
      <c r="F108" s="211"/>
      <c r="G108" s="139">
        <f>SUM(C108:F108)</f>
        <v>0</v>
      </c>
      <c r="H108" s="210"/>
      <c r="I108" s="210"/>
      <c r="J108" s="210"/>
      <c r="K108" s="211"/>
      <c r="L108" s="138">
        <f>SUM(H108:K108)</f>
        <v>0</v>
      </c>
      <c r="M108" s="210"/>
      <c r="N108" s="210"/>
      <c r="O108" s="210"/>
      <c r="P108" s="211"/>
      <c r="Q108" s="139">
        <f>SUM(M108:P108)</f>
        <v>0</v>
      </c>
      <c r="R108" s="210"/>
      <c r="S108" s="210"/>
      <c r="T108" s="210"/>
      <c r="U108" s="211"/>
      <c r="V108" s="139">
        <f>SUM(R108:U108)</f>
        <v>0</v>
      </c>
      <c r="W108" s="137"/>
      <c r="X108" s="137"/>
      <c r="Y108" s="137"/>
      <c r="Z108" s="138">
        <f>0-SUM(W108:Y108)</f>
        <v>0</v>
      </c>
      <c r="AA108" s="139">
        <f>SUM(W108:Z108)</f>
        <v>0</v>
      </c>
      <c r="AB108" s="137"/>
      <c r="AC108" s="137"/>
      <c r="AD108" s="137"/>
      <c r="AE108" s="138">
        <f>0-SUM(AB108:AD108)</f>
        <v>0</v>
      </c>
      <c r="AF108" s="139">
        <f>SUM(AB108:AE108)</f>
        <v>0</v>
      </c>
      <c r="AG108" s="137"/>
      <c r="AH108" s="137"/>
      <c r="AI108" s="137"/>
      <c r="AJ108" s="138">
        <f>0-SUM(AG108:AI108)</f>
        <v>0</v>
      </c>
      <c r="AK108" s="139">
        <f>SUM(AG108:AJ108)</f>
        <v>0</v>
      </c>
      <c r="AL108" s="137"/>
      <c r="AM108" s="137"/>
      <c r="AN108" s="137"/>
      <c r="AO108" s="138">
        <f>0-SUM(AL108:AN108)</f>
        <v>0</v>
      </c>
      <c r="AP108" s="139">
        <f>SUM(AL108:AO108)</f>
        <v>0</v>
      </c>
      <c r="AQ108" s="137"/>
      <c r="AR108" s="140"/>
      <c r="AS108" s="137"/>
      <c r="AT108" s="138"/>
      <c r="AU108" s="139">
        <f>SUM(AQ108:AT108)</f>
        <v>0</v>
      </c>
      <c r="AV108" s="137"/>
      <c r="AW108" s="140"/>
      <c r="AX108" s="140"/>
      <c r="AY108" s="138">
        <f>0-SUM(AV108:AX108)</f>
        <v>0</v>
      </c>
      <c r="AZ108" s="139">
        <f>SUM(AV108:AY108)</f>
        <v>0</v>
      </c>
      <c r="BA108" s="137"/>
      <c r="BB108" s="140"/>
      <c r="BC108" s="137"/>
      <c r="BD108" s="138">
        <f>0-SUM(BA108:BC108)</f>
        <v>0</v>
      </c>
      <c r="BE108" s="139">
        <f>SUM(BA108:BD108)</f>
        <v>0</v>
      </c>
      <c r="BF108" s="137"/>
      <c r="BG108" s="140"/>
      <c r="BH108" s="140"/>
      <c r="BI108" s="140">
        <f>0-SUM(BF108:BH108)</f>
        <v>0</v>
      </c>
      <c r="BJ108" s="139">
        <f>SUM(BF108:BI108)</f>
        <v>0</v>
      </c>
      <c r="BK108" s="137"/>
      <c r="BL108" s="140"/>
      <c r="BM108" s="140"/>
      <c r="BN108" s="138"/>
      <c r="BO108" s="1440">
        <f>SUM(BK108:BN108)</f>
        <v>0</v>
      </c>
      <c r="BP108" s="137"/>
      <c r="BQ108" s="140"/>
      <c r="BR108" s="140"/>
      <c r="BS108" s="138"/>
      <c r="BT108" s="1440">
        <f>SUM(BP108:BS108)</f>
        <v>0</v>
      </c>
      <c r="BU108" s="137"/>
      <c r="BV108" s="140"/>
      <c r="BW108" s="140"/>
      <c r="BX108" s="138"/>
      <c r="BY108" s="1440">
        <f>SUM(BU108:BX108)</f>
        <v>0</v>
      </c>
      <c r="BZ108" s="137"/>
      <c r="CA108" s="140"/>
      <c r="CB108" s="140"/>
      <c r="CC108" s="138"/>
      <c r="CD108" s="1440">
        <f>SUM(BZ108:CC108)</f>
        <v>0</v>
      </c>
      <c r="CE108" s="137"/>
      <c r="CF108" s="137"/>
      <c r="CG108" s="137"/>
      <c r="CH108" s="138"/>
      <c r="CI108" s="1440">
        <f>SUM(CE108:CH108)</f>
        <v>0</v>
      </c>
      <c r="CJ108" s="137"/>
      <c r="CK108" s="140"/>
      <c r="CL108" s="140"/>
      <c r="CM108" s="141">
        <f>0-SUM(CJ108:CL108)</f>
        <v>0</v>
      </c>
      <c r="CN108" s="1016">
        <f>SUM(CJ108:CM108)</f>
        <v>0</v>
      </c>
      <c r="CO108" s="140"/>
      <c r="CP108" s="140"/>
      <c r="CQ108" s="140"/>
      <c r="CR108" s="141">
        <f>0-SUM(CO108:CQ108)</f>
        <v>0</v>
      </c>
      <c r="CS108" s="1016">
        <f>SUM(CO108:CR108)</f>
        <v>0</v>
      </c>
      <c r="CT108" s="140"/>
      <c r="CU108" s="140"/>
      <c r="CV108" s="140"/>
      <c r="CW108" s="141">
        <f>0-SUM(CT108:CV108)</f>
        <v>0</v>
      </c>
      <c r="CX108" s="1016">
        <f>SUM(CT108:CW108)</f>
        <v>0</v>
      </c>
      <c r="DA108" s="201"/>
      <c r="DB108" s="200"/>
      <c r="DC108" s="200"/>
    </row>
    <row r="109" spans="1:107" outlineLevel="1">
      <c r="A109" s="187" t="s">
        <v>96</v>
      </c>
      <c r="B109" s="305"/>
      <c r="C109" s="359"/>
      <c r="D109" s="210"/>
      <c r="E109" s="210"/>
      <c r="F109" s="211"/>
      <c r="G109" s="139">
        <f>SUM(C109:F109)</f>
        <v>0</v>
      </c>
      <c r="H109" s="210"/>
      <c r="I109" s="210"/>
      <c r="J109" s="210"/>
      <c r="K109" s="211"/>
      <c r="L109" s="138">
        <f>SUM(H109:K109)</f>
        <v>0</v>
      </c>
      <c r="M109" s="210"/>
      <c r="N109" s="210"/>
      <c r="O109" s="210"/>
      <c r="P109" s="211"/>
      <c r="Q109" s="139">
        <f>SUM(M109:P109)</f>
        <v>0</v>
      </c>
      <c r="R109" s="210"/>
      <c r="S109" s="210"/>
      <c r="T109" s="210"/>
      <c r="U109" s="211"/>
      <c r="V109" s="139">
        <f>SUM(R109:U109)</f>
        <v>0</v>
      </c>
      <c r="W109" s="137"/>
      <c r="X109" s="137"/>
      <c r="Y109" s="137"/>
      <c r="Z109" s="138">
        <f>0-SUM(W109:Y109)</f>
        <v>0</v>
      </c>
      <c r="AA109" s="139">
        <f>SUM(W109:Z109)</f>
        <v>0</v>
      </c>
      <c r="AB109" s="137"/>
      <c r="AC109" s="137"/>
      <c r="AD109" s="137"/>
      <c r="AE109" s="138">
        <f>0-SUM(AB109:AD109)</f>
        <v>0</v>
      </c>
      <c r="AF109" s="139">
        <f>SUM(AB109:AE109)</f>
        <v>0</v>
      </c>
      <c r="AG109" s="137"/>
      <c r="AH109" s="137"/>
      <c r="AI109" s="137"/>
      <c r="AJ109" s="138">
        <f>0-SUM(AG109:AI109)</f>
        <v>0</v>
      </c>
      <c r="AK109" s="139">
        <f>SUM(AG109:AJ109)</f>
        <v>0</v>
      </c>
      <c r="AL109" s="137"/>
      <c r="AM109" s="137"/>
      <c r="AN109" s="137"/>
      <c r="AO109" s="138">
        <f>0-SUM(AL109:AN109)</f>
        <v>0</v>
      </c>
      <c r="AP109" s="139">
        <f>SUM(AL109:AO109)</f>
        <v>0</v>
      </c>
      <c r="AQ109" s="137"/>
      <c r="AR109" s="140"/>
      <c r="AS109" s="137"/>
      <c r="AT109" s="138"/>
      <c r="AU109" s="139">
        <f>SUM(AQ109:AT109)</f>
        <v>0</v>
      </c>
      <c r="AV109" s="137"/>
      <c r="AW109" s="140"/>
      <c r="AX109" s="140"/>
      <c r="AY109" s="138">
        <f>0-SUM(AV109:AX109)</f>
        <v>0</v>
      </c>
      <c r="AZ109" s="139">
        <f>SUM(AV109:AY109)</f>
        <v>0</v>
      </c>
      <c r="BA109" s="137"/>
      <c r="BB109" s="140"/>
      <c r="BC109" s="137"/>
      <c r="BD109" s="138">
        <f>0-SUM(BA109:BC109)</f>
        <v>0</v>
      </c>
      <c r="BE109" s="139">
        <f>SUM(BA109:BD109)</f>
        <v>0</v>
      </c>
      <c r="BF109" s="137"/>
      <c r="BG109" s="140"/>
      <c r="BH109" s="140"/>
      <c r="BI109" s="140">
        <f>0-SUM(BF109:BH109)</f>
        <v>0</v>
      </c>
      <c r="BJ109" s="139">
        <f>SUM(BF109:BI109)</f>
        <v>0</v>
      </c>
      <c r="BK109" s="137"/>
      <c r="BL109" s="140"/>
      <c r="BM109" s="140"/>
      <c r="BN109" s="138"/>
      <c r="BO109" s="1440">
        <f>SUM(BK109:BN109)</f>
        <v>0</v>
      </c>
      <c r="BP109" s="137"/>
      <c r="BQ109" s="140"/>
      <c r="BR109" s="140"/>
      <c r="BS109" s="138"/>
      <c r="BT109" s="1440">
        <f>SUM(BP109:BS109)</f>
        <v>0</v>
      </c>
      <c r="BU109" s="137"/>
      <c r="BV109" s="140"/>
      <c r="BW109" s="140"/>
      <c r="BX109" s="138"/>
      <c r="BY109" s="1440">
        <f>SUM(BU109:BX109)</f>
        <v>0</v>
      </c>
      <c r="BZ109" s="137"/>
      <c r="CA109" s="140"/>
      <c r="CB109" s="140"/>
      <c r="CC109" s="138"/>
      <c r="CD109" s="1440">
        <f>SUM(BZ109:CC109)</f>
        <v>0</v>
      </c>
      <c r="CE109" s="137"/>
      <c r="CF109" s="137"/>
      <c r="CG109" s="137"/>
      <c r="CH109" s="138"/>
      <c r="CI109" s="1440">
        <f>SUM(CE109:CH109)</f>
        <v>0</v>
      </c>
      <c r="CJ109" s="137"/>
      <c r="CK109" s="140"/>
      <c r="CL109" s="140"/>
      <c r="CM109" s="141">
        <f>0-SUM(CJ109:CL109)</f>
        <v>0</v>
      </c>
      <c r="CN109" s="1016">
        <f>SUM(CJ109:CM109)</f>
        <v>0</v>
      </c>
      <c r="CO109" s="140"/>
      <c r="CP109" s="140"/>
      <c r="CQ109" s="140"/>
      <c r="CR109" s="141">
        <f>0-SUM(CO109:CQ109)</f>
        <v>0</v>
      </c>
      <c r="CS109" s="1016">
        <f>SUM(CO109:CR109)</f>
        <v>0</v>
      </c>
      <c r="CT109" s="140"/>
      <c r="CU109" s="140"/>
      <c r="CV109" s="140"/>
      <c r="CW109" s="141">
        <f>0-SUM(CT109:CV109)</f>
        <v>0</v>
      </c>
      <c r="CX109" s="1016">
        <f>SUM(CT109:CW109)</f>
        <v>0</v>
      </c>
      <c r="DA109" s="201"/>
      <c r="DB109" s="200"/>
      <c r="DC109" s="200"/>
    </row>
    <row r="110" spans="1:107">
      <c r="A110" s="144" t="s">
        <v>266</v>
      </c>
      <c r="B110" s="214"/>
      <c r="C110" s="146">
        <f>C105-C106-C109+C108</f>
        <v>62.950999999999972</v>
      </c>
      <c r="D110" s="147">
        <f>D105-D106-D109+D108</f>
        <v>49.883000000000045</v>
      </c>
      <c r="E110" s="147">
        <f>E105-E106-E109+E108</f>
        <v>26.099000000000004</v>
      </c>
      <c r="F110" s="148">
        <f>F105-F106-F109+F108</f>
        <v>27.190999999999914</v>
      </c>
      <c r="G110" s="149">
        <f>SUM(C110:F110)</f>
        <v>166.12399999999994</v>
      </c>
      <c r="H110" s="147">
        <f>H105-H106-H109+H108</f>
        <v>49.808</v>
      </c>
      <c r="I110" s="147">
        <f>I105-I106-I109+I108</f>
        <v>54.301000000000059</v>
      </c>
      <c r="J110" s="147">
        <f>J105-J106-J109+J108</f>
        <v>47.201000000000022</v>
      </c>
      <c r="K110" s="148">
        <f>K105-K106-K109+K108</f>
        <v>40.089000000000006</v>
      </c>
      <c r="L110" s="148">
        <f>SUM(H110:K110)</f>
        <v>191.39900000000009</v>
      </c>
      <c r="M110" s="147">
        <f>M105-M106-M109-M108</f>
        <v>54.224999999999952</v>
      </c>
      <c r="N110" s="147">
        <f>N105-N106-N109-N108</f>
        <v>64.245999999999952</v>
      </c>
      <c r="O110" s="147">
        <f>O105-O106-O109-O108</f>
        <v>64.523999999999972</v>
      </c>
      <c r="P110" s="148">
        <f>P105-P106-P109-P108</f>
        <v>83.348999999999961</v>
      </c>
      <c r="Q110" s="149">
        <f>SUM(M110:P110)</f>
        <v>266.34399999999982</v>
      </c>
      <c r="R110" s="1010">
        <f>R105-R106-R109-R108</f>
        <v>123.03499999999997</v>
      </c>
      <c r="S110" s="147">
        <f>S105-S106-S109-S108</f>
        <v>109.40099999999997</v>
      </c>
      <c r="T110" s="147">
        <f>T105-T106-T109-T108</f>
        <v>104.46099999999996</v>
      </c>
      <c r="U110" s="148">
        <f>U105-U106-U109-U108</f>
        <v>113.50099999999998</v>
      </c>
      <c r="V110" s="149">
        <f>SUM(R110:U110)</f>
        <v>450.39799999999985</v>
      </c>
      <c r="W110" s="452">
        <f>W105-W106-W109-W108</f>
        <v>151.89400000000001</v>
      </c>
      <c r="X110" s="147">
        <f>X105-X106-X109-X108</f>
        <v>149.77799999999993</v>
      </c>
      <c r="Y110" s="147">
        <f>Y105-Y106-Y109-Y108</f>
        <v>144.91599999999997</v>
      </c>
      <c r="Z110" s="148">
        <f>Z105-Z106-Z109-Z108</f>
        <v>156.25100000000015</v>
      </c>
      <c r="AA110" s="149">
        <f>SUM(W110:Z110)</f>
        <v>602.83899999999994</v>
      </c>
      <c r="AB110" s="1010">
        <f>AB105-AB106-AB109-AB108</f>
        <v>105.07200000000006</v>
      </c>
      <c r="AC110" s="147">
        <f>AC105-AC106-AC109-AC108</f>
        <v>123.09700000000001</v>
      </c>
      <c r="AD110" s="147">
        <f>AD105-AD106-AD109-AD108</f>
        <v>94.395999999999958</v>
      </c>
      <c r="AE110" s="148">
        <f>AE105-AE106-AE109-AE108</f>
        <v>181.36399999999998</v>
      </c>
      <c r="AF110" s="149">
        <f>SUM(AB110:AE110)</f>
        <v>503.92900000000003</v>
      </c>
      <c r="AG110" s="147">
        <f>AG105-AG106-AG109-AG108</f>
        <v>143.85100000000011</v>
      </c>
      <c r="AH110" s="147">
        <f>AH105-AH106-AH109-AH108</f>
        <v>152.50500000000002</v>
      </c>
      <c r="AI110" s="147">
        <f>AI105-AI106-AI109-AI108</f>
        <v>205.24299999999994</v>
      </c>
      <c r="AJ110" s="148">
        <f>AJ105-AJ106-AJ109-AJ108</f>
        <v>222.20800000000003</v>
      </c>
      <c r="AK110" s="149">
        <f>SUM(AG110:AJ110)</f>
        <v>723.80700000000002</v>
      </c>
      <c r="AL110" s="147">
        <f>AL105-AL106-AL109-AL108</f>
        <v>219.27199999999993</v>
      </c>
      <c r="AM110" s="452">
        <f>AM105-AM106-AM109-AM108</f>
        <v>214.90999999999997</v>
      </c>
      <c r="AN110" s="147">
        <f>AN105-AN106-AN109-AN108</f>
        <v>191.60799999999998</v>
      </c>
      <c r="AO110" s="148">
        <f>AO105-AO106-AO109-AO108</f>
        <v>245.91700000000006</v>
      </c>
      <c r="AP110" s="149">
        <f>SUM(AL110:AO110)</f>
        <v>871.70699999999988</v>
      </c>
      <c r="AQ110" s="147">
        <f>AQ105-AQ106-AQ109-AQ108</f>
        <v>156.43499999999992</v>
      </c>
      <c r="AR110" s="147">
        <f>AR105-AR106-AR109-AR108</f>
        <v>126.07100000000003</v>
      </c>
      <c r="AS110" s="147">
        <f>AS105-AS106-AS109-AS108</f>
        <v>136.0450000000001</v>
      </c>
      <c r="AT110" s="148">
        <f>AT105-AT106-AT109-AT108</f>
        <v>-32.043000000000035</v>
      </c>
      <c r="AU110" s="149">
        <f>SUM(AQ110:AT110)</f>
        <v>386.50800000000004</v>
      </c>
      <c r="AV110" s="147">
        <f>AV105-AV106-AV109-AV108</f>
        <v>127.15399999999997</v>
      </c>
      <c r="AW110" s="147">
        <f>AW105-AW106-AW109-AW108</f>
        <v>148.61099999999993</v>
      </c>
      <c r="AX110" s="147">
        <f>AX105-AX106-AX109-AX108</f>
        <v>230.06499999999994</v>
      </c>
      <c r="AY110" s="148">
        <f>AY105-AY106-AY109-AY108</f>
        <v>268.84999999999985</v>
      </c>
      <c r="AZ110" s="149">
        <f>SUM(AV110:AY110)</f>
        <v>774.67999999999961</v>
      </c>
      <c r="BA110" s="147">
        <f>BA105-BA106-BA109-BA108</f>
        <v>234.64000000000013</v>
      </c>
      <c r="BB110" s="147">
        <f>BB105-BB106-BB109-BB108</f>
        <v>229.43599999999992</v>
      </c>
      <c r="BC110" s="147">
        <f>BC105-BC106-BC109-BC108</f>
        <v>195.101</v>
      </c>
      <c r="BD110" s="147">
        <f>BD105-BD106-BD109-BD108</f>
        <v>194.41899999999993</v>
      </c>
      <c r="BE110" s="149">
        <f>SUM(BA110:BD110)</f>
        <v>853.596</v>
      </c>
      <c r="BF110" s="147">
        <f>BF105-BF106-BF109-BF108</f>
        <v>185.238</v>
      </c>
      <c r="BG110" s="147">
        <f>BG105-BG106-BG109-BG108</f>
        <v>223.86700000000008</v>
      </c>
      <c r="BH110" s="147">
        <f>BH105-BH106-BH109-BH108</f>
        <v>201.56199999999993</v>
      </c>
      <c r="BI110" s="147">
        <f>BI105-BI106-BI109-BI108</f>
        <v>221.68099999999987</v>
      </c>
      <c r="BJ110" s="149">
        <f>SUM(BF110:BI110)</f>
        <v>832.34799999999996</v>
      </c>
      <c r="BK110" s="147">
        <f>BK105-BK106-BK109-BK108</f>
        <v>65.116999999999962</v>
      </c>
      <c r="BL110" s="147">
        <f>BL105-BL106-BL109-BL108</f>
        <v>79.62399999999991</v>
      </c>
      <c r="BM110" s="147">
        <f>BM105-BM106-BM109-BM108</f>
        <v>83.001999999999938</v>
      </c>
      <c r="BN110" s="148">
        <f>BN105-BN106-BN109-BN108</f>
        <v>69.872999999999891</v>
      </c>
      <c r="BO110" s="1436">
        <f>SUM(BK110:BN110)</f>
        <v>297.6159999999997</v>
      </c>
      <c r="BP110" s="147">
        <f>BP105-BP106-BP109-BP108</f>
        <v>48.26099999999991</v>
      </c>
      <c r="BQ110" s="147">
        <f>BQ105-BQ106-BQ109-BQ108</f>
        <v>88.524000000000143</v>
      </c>
      <c r="BR110" s="147">
        <f>BR105-BR106-BR109-BR108</f>
        <v>44.732000000000113</v>
      </c>
      <c r="BS110" s="148">
        <f>BS105-BS106-BS109-BS108</f>
        <v>73.289000000000001</v>
      </c>
      <c r="BT110" s="1436">
        <f>SUM(BP110:BS110)</f>
        <v>254.80600000000015</v>
      </c>
      <c r="BU110" s="147">
        <f>BU105-BU106-BU109-BU108</f>
        <v>84.888000000000048</v>
      </c>
      <c r="BV110" s="147">
        <f>BV105-BV106-BV109-BV108</f>
        <v>147.49399999999994</v>
      </c>
      <c r="BW110" s="147">
        <f>BW105-BW106-BW109-BW108</f>
        <v>174.46999999999994</v>
      </c>
      <c r="BX110" s="148">
        <f>BX105-BX106-BX109-BX108</f>
        <v>222.57199999999966</v>
      </c>
      <c r="BY110" s="1436">
        <f>SUM(BU110:BX110)</f>
        <v>629.42399999999964</v>
      </c>
      <c r="BZ110" s="147">
        <f>BZ105-BZ106-BZ109-BZ108</f>
        <v>254.33700000000005</v>
      </c>
      <c r="CA110" s="147">
        <f>CA105-CA106-CA109-CA108</f>
        <v>244.0890000000002</v>
      </c>
      <c r="CB110" s="147">
        <f>CB105-CB106-CB109-CB108</f>
        <v>270.78800000000012</v>
      </c>
      <c r="CC110" s="147">
        <f>CC105-CC106-CC109-CC108</f>
        <v>399.56599999999992</v>
      </c>
      <c r="CD110" s="1436">
        <f>SUM(BZ110:CC110)</f>
        <v>1168.7800000000002</v>
      </c>
      <c r="CE110" s="147">
        <f>CE105-CE106-CE109-CE108</f>
        <v>398.4319999999999</v>
      </c>
      <c r="CF110" s="147">
        <f>CF105-CF106-CF109-CF108</f>
        <v>374.46000000000004</v>
      </c>
      <c r="CG110" s="147">
        <f>CG105-CG106-CG109-CG108</f>
        <v>420.54900000000004</v>
      </c>
      <c r="CH110" s="147">
        <f>CH105-CH106-CH109-CH108</f>
        <v>501.89699999999982</v>
      </c>
      <c r="CI110" s="1436">
        <f>SUM(CE110:CH110)</f>
        <v>1695.3379999999997</v>
      </c>
      <c r="CJ110" s="147">
        <f>CJ105-CJ106-CJ109-CJ108</f>
        <v>582.91081999999994</v>
      </c>
      <c r="CK110" s="150">
        <f>CK105-CK106-CK109-CK108</f>
        <v>609.66153594291472</v>
      </c>
      <c r="CL110" s="150">
        <f>CL105-CL106-CL109-CL108</f>
        <v>646.63876081613932</v>
      </c>
      <c r="CM110" s="151">
        <f>CM105-CM106-CM109-CM108</f>
        <v>688.43998424642496</v>
      </c>
      <c r="CN110" s="1230">
        <f>SUM(CJ110:CM110)</f>
        <v>2527.6511010054792</v>
      </c>
      <c r="CO110" s="150">
        <f>CO105-CO106-CO109-CO108</f>
        <v>701.24395298212164</v>
      </c>
      <c r="CP110" s="150">
        <f>CP105-CP106-CP109-CP108</f>
        <v>707.49633437897967</v>
      </c>
      <c r="CQ110" s="150">
        <f>CQ105-CQ106-CQ109-CQ108</f>
        <v>740.31920276183723</v>
      </c>
      <c r="CR110" s="151">
        <f>CR105-CR106-CR109-CR108</f>
        <v>787.72175084627293</v>
      </c>
      <c r="CS110" s="1230">
        <f>SUM(CO110:CR110)</f>
        <v>2936.7812409692115</v>
      </c>
      <c r="CT110" s="150">
        <f>CT105-CT106-CT109-CT108</f>
        <v>848.75901943722727</v>
      </c>
      <c r="CU110" s="150">
        <f>CU105-CU106-CU109-CU108</f>
        <v>860.92698173574013</v>
      </c>
      <c r="CV110" s="150">
        <f>CV105-CV106-CV109-CV108</f>
        <v>892.48009306175732</v>
      </c>
      <c r="CW110" s="151">
        <f>CW105-CW106-CW109-CW108</f>
        <v>940.22762505391893</v>
      </c>
      <c r="CX110" s="1230">
        <f>SUM(CT110:CW110)</f>
        <v>3542.3937192886433</v>
      </c>
      <c r="DA110" s="174"/>
      <c r="DB110" s="173"/>
      <c r="DC110" s="173"/>
    </row>
    <row r="111" spans="1:107" outlineLevel="1">
      <c r="A111" s="313" t="s">
        <v>33</v>
      </c>
      <c r="B111" s="314"/>
      <c r="C111" s="315">
        <f t="shared" ref="C111:AH111" si="259">ROUND(C110/C116,2)</f>
        <v>0.13</v>
      </c>
      <c r="D111" s="316">
        <f t="shared" si="259"/>
        <v>0.1</v>
      </c>
      <c r="E111" s="316">
        <f t="shared" si="259"/>
        <v>0.05</v>
      </c>
      <c r="F111" s="317">
        <f t="shared" si="259"/>
        <v>0.06</v>
      </c>
      <c r="G111" s="360">
        <f t="shared" si="259"/>
        <v>0.35</v>
      </c>
      <c r="H111" s="316">
        <f t="shared" si="259"/>
        <v>0.11</v>
      </c>
      <c r="I111" s="316">
        <f t="shared" si="259"/>
        <v>0.11</v>
      </c>
      <c r="J111" s="316">
        <f t="shared" si="259"/>
        <v>0.1</v>
      </c>
      <c r="K111" s="317">
        <f t="shared" si="259"/>
        <v>0.09</v>
      </c>
      <c r="L111" s="317">
        <f t="shared" si="259"/>
        <v>0.4</v>
      </c>
      <c r="M111" s="316">
        <f t="shared" si="259"/>
        <v>0.12</v>
      </c>
      <c r="N111" s="316">
        <f t="shared" si="259"/>
        <v>0.14000000000000001</v>
      </c>
      <c r="O111" s="316">
        <f t="shared" si="259"/>
        <v>0.14000000000000001</v>
      </c>
      <c r="P111" s="317">
        <f t="shared" si="259"/>
        <v>0.17</v>
      </c>
      <c r="Q111" s="360">
        <f t="shared" si="259"/>
        <v>0.56999999999999995</v>
      </c>
      <c r="R111" s="316">
        <f t="shared" si="259"/>
        <v>0.26</v>
      </c>
      <c r="S111" s="316">
        <f t="shared" si="259"/>
        <v>0.23</v>
      </c>
      <c r="T111" s="316">
        <f t="shared" si="259"/>
        <v>0.22</v>
      </c>
      <c r="U111" s="317">
        <f t="shared" si="259"/>
        <v>0.24</v>
      </c>
      <c r="V111" s="360">
        <f t="shared" si="259"/>
        <v>0.94</v>
      </c>
      <c r="W111" s="316">
        <f t="shared" si="259"/>
        <v>0.31</v>
      </c>
      <c r="X111" s="316">
        <f t="shared" si="259"/>
        <v>0.31</v>
      </c>
      <c r="Y111" s="316">
        <f t="shared" si="259"/>
        <v>0.28999999999999998</v>
      </c>
      <c r="Z111" s="317">
        <f t="shared" si="259"/>
        <v>0.32</v>
      </c>
      <c r="AA111" s="360">
        <f t="shared" si="259"/>
        <v>1.23</v>
      </c>
      <c r="AB111" s="316">
        <f t="shared" si="259"/>
        <v>0.18</v>
      </c>
      <c r="AC111" s="316">
        <f t="shared" si="259"/>
        <v>0.21</v>
      </c>
      <c r="AD111" s="316">
        <f t="shared" si="259"/>
        <v>0.16</v>
      </c>
      <c r="AE111" s="317">
        <f t="shared" si="259"/>
        <v>0.31</v>
      </c>
      <c r="AF111" s="360">
        <f t="shared" si="259"/>
        <v>0.85</v>
      </c>
      <c r="AG111" s="316">
        <f t="shared" si="259"/>
        <v>0.24</v>
      </c>
      <c r="AH111" s="316">
        <f t="shared" si="259"/>
        <v>0.26</v>
      </c>
      <c r="AI111" s="316">
        <f t="shared" ref="AI111:AZ111" si="260">ROUND(AI110/AI116,2)</f>
        <v>0.35</v>
      </c>
      <c r="AJ111" s="317">
        <f t="shared" si="260"/>
        <v>0.39</v>
      </c>
      <c r="AK111" s="360">
        <f t="shared" si="260"/>
        <v>1.24</v>
      </c>
      <c r="AL111" s="316">
        <f t="shared" si="260"/>
        <v>0.39</v>
      </c>
      <c r="AM111" s="316">
        <f t="shared" si="260"/>
        <v>0.4</v>
      </c>
      <c r="AN111" s="316">
        <f t="shared" si="260"/>
        <v>0.36</v>
      </c>
      <c r="AO111" s="317">
        <f t="shared" si="260"/>
        <v>0.47</v>
      </c>
      <c r="AP111" s="360">
        <f t="shared" si="260"/>
        <v>1.62</v>
      </c>
      <c r="AQ111" s="316">
        <f t="shared" si="260"/>
        <v>0.3</v>
      </c>
      <c r="AR111" s="316">
        <f t="shared" si="260"/>
        <v>0.24</v>
      </c>
      <c r="AS111" s="316">
        <f t="shared" si="260"/>
        <v>0.26</v>
      </c>
      <c r="AT111" s="317">
        <f t="shared" si="260"/>
        <v>-0.06</v>
      </c>
      <c r="AU111" s="360">
        <f t="shared" si="260"/>
        <v>0.74</v>
      </c>
      <c r="AV111" s="316">
        <f t="shared" si="260"/>
        <v>0.24</v>
      </c>
      <c r="AW111" s="316">
        <f t="shared" si="260"/>
        <v>0.28000000000000003</v>
      </c>
      <c r="AX111" s="316">
        <f t="shared" si="260"/>
        <v>0.44</v>
      </c>
      <c r="AY111" s="317">
        <f t="shared" si="260"/>
        <v>0.53</v>
      </c>
      <c r="AZ111" s="360">
        <f t="shared" si="260"/>
        <v>1.49</v>
      </c>
      <c r="BA111" s="316">
        <f t="shared" ref="BA111:BJ111" si="261">ROUND(BA110/BA116,2)</f>
        <v>0.47</v>
      </c>
      <c r="BB111" s="316">
        <f t="shared" si="261"/>
        <v>0.46</v>
      </c>
      <c r="BC111" s="316">
        <f t="shared" si="261"/>
        <v>0.39</v>
      </c>
      <c r="BD111" s="317">
        <f t="shared" si="261"/>
        <v>0.4</v>
      </c>
      <c r="BE111" s="360">
        <f t="shared" si="261"/>
        <v>1.72</v>
      </c>
      <c r="BF111" s="316">
        <f t="shared" si="261"/>
        <v>0.37</v>
      </c>
      <c r="BG111" s="316">
        <f t="shared" si="261"/>
        <v>0.45</v>
      </c>
      <c r="BH111" s="316">
        <f t="shared" si="261"/>
        <v>0.41</v>
      </c>
      <c r="BI111" s="316">
        <f t="shared" si="261"/>
        <v>0.45</v>
      </c>
      <c r="BJ111" s="360">
        <f t="shared" si="261"/>
        <v>1.68</v>
      </c>
      <c r="BK111" s="316">
        <f t="shared" ref="BK111:BS111" si="262">ROUND(BK110/BK116,2)</f>
        <v>0.13</v>
      </c>
      <c r="BL111" s="316">
        <f t="shared" si="262"/>
        <v>0.16</v>
      </c>
      <c r="BM111" s="316">
        <f t="shared" si="262"/>
        <v>0.16</v>
      </c>
      <c r="BN111" s="317">
        <f t="shared" si="262"/>
        <v>0.14000000000000001</v>
      </c>
      <c r="BO111" s="1458">
        <f t="shared" si="262"/>
        <v>0.59</v>
      </c>
      <c r="BP111" s="316">
        <f>ROUND(BP110/BP116,2)</f>
        <v>0.1</v>
      </c>
      <c r="BQ111" s="316">
        <f t="shared" si="262"/>
        <v>0.18</v>
      </c>
      <c r="BR111" s="316">
        <f t="shared" si="262"/>
        <v>0.09</v>
      </c>
      <c r="BS111" s="317">
        <f t="shared" si="262"/>
        <v>0.15</v>
      </c>
      <c r="BT111" s="1458">
        <f>ROUND(BT110/BT116,2)</f>
        <v>0.51</v>
      </c>
      <c r="BU111" s="316">
        <f t="shared" ref="BU111:CD111" si="263">ROUND(BU110/BU116,2)</f>
        <v>0.17</v>
      </c>
      <c r="BV111" s="316">
        <f t="shared" si="263"/>
        <v>0.3</v>
      </c>
      <c r="BW111" s="316">
        <f>ROUND(BW110/BW116,2)</f>
        <v>0.35</v>
      </c>
      <c r="BX111" s="317">
        <f>ROUND(BX110/BX116,2)</f>
        <v>0.45</v>
      </c>
      <c r="BY111" s="1458">
        <f>ROUND(BY110/BY116,2)</f>
        <v>1.26</v>
      </c>
      <c r="BZ111" s="316">
        <f>ROUND(BZ110/BZ116,2)</f>
        <v>0.51</v>
      </c>
      <c r="CA111" s="316">
        <f t="shared" si="263"/>
        <v>0.49</v>
      </c>
      <c r="CB111" s="316">
        <f t="shared" si="263"/>
        <v>0.54</v>
      </c>
      <c r="CC111" s="316">
        <f t="shared" si="263"/>
        <v>0.81</v>
      </c>
      <c r="CD111" s="1458">
        <f t="shared" si="263"/>
        <v>2.35</v>
      </c>
      <c r="CE111" s="316">
        <f>ROUND(CE110/CE116,2)</f>
        <v>0.81</v>
      </c>
      <c r="CF111" s="316">
        <f t="shared" ref="CF111:CG111" si="264">ROUND(CF110/CF116,2)</f>
        <v>0.76</v>
      </c>
      <c r="CG111" s="316">
        <f t="shared" si="264"/>
        <v>0.85</v>
      </c>
      <c r="CH111" s="316">
        <f t="shared" ref="CH111" si="265">ROUND(CH110/CH116,2)</f>
        <v>1.02</v>
      </c>
      <c r="CI111" s="1458">
        <f t="shared" ref="CI111:CN111" si="266">ROUND(CI110/CI116,2)</f>
        <v>3.43</v>
      </c>
      <c r="CJ111" s="316">
        <f t="shared" si="266"/>
        <v>1.18</v>
      </c>
      <c r="CK111" s="320">
        <f t="shared" si="266"/>
        <v>1.24</v>
      </c>
      <c r="CL111" s="320">
        <f t="shared" si="266"/>
        <v>1.32</v>
      </c>
      <c r="CM111" s="321">
        <f t="shared" si="266"/>
        <v>1.41</v>
      </c>
      <c r="CN111" s="1031">
        <f t="shared" si="266"/>
        <v>5.15</v>
      </c>
      <c r="CO111" s="320">
        <f t="shared" ref="CO111:CX111" si="267">ROUND(CO110/CO116,2)</f>
        <v>1.43</v>
      </c>
      <c r="CP111" s="320">
        <f t="shared" si="267"/>
        <v>1.45</v>
      </c>
      <c r="CQ111" s="320">
        <f t="shared" si="267"/>
        <v>1.52</v>
      </c>
      <c r="CR111" s="321">
        <f t="shared" si="267"/>
        <v>1.62</v>
      </c>
      <c r="CS111" s="1031">
        <f t="shared" si="267"/>
        <v>6.01</v>
      </c>
      <c r="CT111" s="320">
        <f t="shared" si="267"/>
        <v>1.74</v>
      </c>
      <c r="CU111" s="320">
        <f t="shared" si="267"/>
        <v>1.77</v>
      </c>
      <c r="CV111" s="320">
        <f t="shared" si="267"/>
        <v>1.84</v>
      </c>
      <c r="CW111" s="321">
        <f t="shared" si="267"/>
        <v>1.94</v>
      </c>
      <c r="CX111" s="1031">
        <f t="shared" si="267"/>
        <v>7.28</v>
      </c>
      <c r="DA111" s="323"/>
      <c r="DB111" s="322"/>
      <c r="DC111" s="322"/>
    </row>
    <row r="112" spans="1:107">
      <c r="A112" s="361" t="s">
        <v>104</v>
      </c>
      <c r="B112" s="362"/>
      <c r="C112" s="315">
        <f t="shared" ref="C112:AH112" si="268">ROUND(C110/C115,2)</f>
        <v>0.12</v>
      </c>
      <c r="D112" s="316">
        <f t="shared" si="268"/>
        <v>0.1</v>
      </c>
      <c r="E112" s="316">
        <f t="shared" si="268"/>
        <v>0.05</v>
      </c>
      <c r="F112" s="317">
        <f t="shared" si="268"/>
        <v>0.06</v>
      </c>
      <c r="G112" s="360">
        <f t="shared" si="268"/>
        <v>0.33</v>
      </c>
      <c r="H112" s="316">
        <f t="shared" si="268"/>
        <v>0.1</v>
      </c>
      <c r="I112" s="316">
        <f t="shared" si="268"/>
        <v>0.11</v>
      </c>
      <c r="J112" s="316">
        <f t="shared" si="268"/>
        <v>0.1</v>
      </c>
      <c r="K112" s="317">
        <f t="shared" si="268"/>
        <v>0.08</v>
      </c>
      <c r="L112" s="317">
        <f t="shared" si="268"/>
        <v>0.39</v>
      </c>
      <c r="M112" s="316">
        <f t="shared" si="268"/>
        <v>0.12</v>
      </c>
      <c r="N112" s="316">
        <f t="shared" si="268"/>
        <v>0.13</v>
      </c>
      <c r="O112" s="316">
        <f t="shared" si="268"/>
        <v>0.13</v>
      </c>
      <c r="P112" s="317">
        <f t="shared" si="268"/>
        <v>0.17</v>
      </c>
      <c r="Q112" s="360">
        <f t="shared" si="268"/>
        <v>0.55000000000000004</v>
      </c>
      <c r="R112" s="316">
        <f t="shared" si="268"/>
        <v>0.25</v>
      </c>
      <c r="S112" s="316">
        <f t="shared" si="268"/>
        <v>0.22</v>
      </c>
      <c r="T112" s="316">
        <f t="shared" si="268"/>
        <v>0.21</v>
      </c>
      <c r="U112" s="317">
        <f t="shared" si="268"/>
        <v>0.23</v>
      </c>
      <c r="V112" s="360">
        <f t="shared" si="268"/>
        <v>0.91</v>
      </c>
      <c r="W112" s="316">
        <f t="shared" si="268"/>
        <v>0.3</v>
      </c>
      <c r="X112" s="316">
        <f t="shared" si="268"/>
        <v>0.28999999999999998</v>
      </c>
      <c r="Y112" s="316">
        <f t="shared" si="268"/>
        <v>0.28999999999999998</v>
      </c>
      <c r="Z112" s="317">
        <f t="shared" si="268"/>
        <v>0.31</v>
      </c>
      <c r="AA112" s="360">
        <f t="shared" si="268"/>
        <v>1.19</v>
      </c>
      <c r="AB112" s="316">
        <f t="shared" si="268"/>
        <v>0.17</v>
      </c>
      <c r="AC112" s="316">
        <f t="shared" si="268"/>
        <v>0.2</v>
      </c>
      <c r="AD112" s="316">
        <f t="shared" si="268"/>
        <v>0.16</v>
      </c>
      <c r="AE112" s="317">
        <f t="shared" si="268"/>
        <v>0.3</v>
      </c>
      <c r="AF112" s="360">
        <f t="shared" si="268"/>
        <v>0.83</v>
      </c>
      <c r="AG112" s="316">
        <f t="shared" si="268"/>
        <v>0.24</v>
      </c>
      <c r="AH112" s="316">
        <f t="shared" si="268"/>
        <v>0.25</v>
      </c>
      <c r="AI112" s="316">
        <f t="shared" ref="AI112:AZ112" si="269">ROUND(AI110/AI115,2)</f>
        <v>0.34</v>
      </c>
      <c r="AJ112" s="317">
        <f t="shared" si="269"/>
        <v>0.38</v>
      </c>
      <c r="AK112" s="360">
        <f t="shared" si="269"/>
        <v>1.21</v>
      </c>
      <c r="AL112" s="316">
        <f t="shared" si="269"/>
        <v>0.38</v>
      </c>
      <c r="AM112" s="316">
        <f t="shared" si="269"/>
        <v>0.4</v>
      </c>
      <c r="AN112" s="316">
        <f>AN110/AN115</f>
        <v>0.35397026847782509</v>
      </c>
      <c r="AO112" s="317">
        <f t="shared" si="269"/>
        <v>0.46</v>
      </c>
      <c r="AP112" s="360">
        <f t="shared" si="269"/>
        <v>1.59</v>
      </c>
      <c r="AQ112" s="316">
        <f t="shared" si="269"/>
        <v>0.3</v>
      </c>
      <c r="AR112" s="316">
        <f t="shared" si="269"/>
        <v>0.24</v>
      </c>
      <c r="AS112" s="316">
        <f t="shared" si="269"/>
        <v>0.26</v>
      </c>
      <c r="AT112" s="317">
        <f t="shared" si="269"/>
        <v>-0.06</v>
      </c>
      <c r="AU112" s="360">
        <f t="shared" si="269"/>
        <v>0.73</v>
      </c>
      <c r="AV112" s="316">
        <f t="shared" si="269"/>
        <v>0.24</v>
      </c>
      <c r="AW112" s="316">
        <f t="shared" si="269"/>
        <v>0.28000000000000003</v>
      </c>
      <c r="AX112" s="316">
        <f t="shared" si="269"/>
        <v>0.44</v>
      </c>
      <c r="AY112" s="317">
        <f t="shared" si="269"/>
        <v>0.53</v>
      </c>
      <c r="AZ112" s="360">
        <f t="shared" si="269"/>
        <v>1.47</v>
      </c>
      <c r="BA112" s="316">
        <f>ROUND(BA110/BA115,2)</f>
        <v>0.46</v>
      </c>
      <c r="BB112" s="316">
        <f t="shared" ref="BB112:BJ112" si="270">ROUND(BB110/BB115,2)</f>
        <v>0.45</v>
      </c>
      <c r="BC112" s="316">
        <f t="shared" si="270"/>
        <v>0.39</v>
      </c>
      <c r="BD112" s="317">
        <f t="shared" si="270"/>
        <v>0.39</v>
      </c>
      <c r="BE112" s="360">
        <f t="shared" si="270"/>
        <v>1.7</v>
      </c>
      <c r="BF112" s="316">
        <f t="shared" si="270"/>
        <v>0.37</v>
      </c>
      <c r="BG112" s="316">
        <f>ROUND(BG110/BG115,2)</f>
        <v>0.45</v>
      </c>
      <c r="BH112" s="316">
        <f t="shared" si="270"/>
        <v>0.4</v>
      </c>
      <c r="BI112" s="316">
        <f t="shared" si="270"/>
        <v>0.44</v>
      </c>
      <c r="BJ112" s="360">
        <f t="shared" si="270"/>
        <v>1.66</v>
      </c>
      <c r="BK112" s="316">
        <f t="shared" ref="BK112:BS112" si="271">ROUND(BK110/BK115,2)</f>
        <v>0.13</v>
      </c>
      <c r="BL112" s="316">
        <f>ROUND(BL110/BL115,2)</f>
        <v>0.16</v>
      </c>
      <c r="BM112" s="316">
        <f t="shared" si="271"/>
        <v>0.16</v>
      </c>
      <c r="BN112" s="317">
        <f t="shared" si="271"/>
        <v>0.14000000000000001</v>
      </c>
      <c r="BO112" s="1458">
        <f t="shared" si="271"/>
        <v>0.57999999999999996</v>
      </c>
      <c r="BP112" s="316">
        <f>ROUND(BP110/BP115,2)</f>
        <v>0.09</v>
      </c>
      <c r="BQ112" s="316">
        <f t="shared" si="271"/>
        <v>0.17</v>
      </c>
      <c r="BR112" s="316">
        <f t="shared" si="271"/>
        <v>0.09</v>
      </c>
      <c r="BS112" s="317">
        <f t="shared" si="271"/>
        <v>0.14000000000000001</v>
      </c>
      <c r="BT112" s="1458">
        <f>ROUND(BT110/BT115,2)</f>
        <v>0.5</v>
      </c>
      <c r="BU112" s="316">
        <f t="shared" ref="BU112:CD112" si="272">ROUND(BU110/BU115,2)</f>
        <v>0.17</v>
      </c>
      <c r="BV112" s="316">
        <f t="shared" si="272"/>
        <v>0.28999999999999998</v>
      </c>
      <c r="BW112" s="316">
        <f t="shared" si="272"/>
        <v>0.34</v>
      </c>
      <c r="BX112" s="317">
        <f>ROUND(BX110/BX115,2)</f>
        <v>0.44</v>
      </c>
      <c r="BY112" s="1458">
        <f t="shared" si="272"/>
        <v>1.24</v>
      </c>
      <c r="BZ112" s="316">
        <f>ROUND(BZ110/BZ115,2)</f>
        <v>0.5</v>
      </c>
      <c r="CA112" s="316">
        <f t="shared" si="272"/>
        <v>0.48</v>
      </c>
      <c r="CB112" s="316">
        <f t="shared" si="272"/>
        <v>0.54</v>
      </c>
      <c r="CC112" s="316">
        <f t="shared" si="272"/>
        <v>0.8</v>
      </c>
      <c r="CD112" s="1458">
        <f t="shared" si="272"/>
        <v>2.3199999999999998</v>
      </c>
      <c r="CE112" s="316">
        <f>ROUND(CE110/CE115,2)</f>
        <v>0.8</v>
      </c>
      <c r="CF112" s="316">
        <f t="shared" ref="CF112:CG112" si="273">ROUND(CF110/CF115,2)</f>
        <v>0.75</v>
      </c>
      <c r="CG112" s="316">
        <f t="shared" si="273"/>
        <v>0.84</v>
      </c>
      <c r="CH112" s="316">
        <f t="shared" ref="CH112" si="274">ROUND(CH110/CH115,2)</f>
        <v>1</v>
      </c>
      <c r="CI112" s="1458">
        <f t="shared" ref="CI112:CN112" si="275">ROUND(CI110/CI115,2)</f>
        <v>3.39</v>
      </c>
      <c r="CJ112" s="316">
        <f t="shared" si="275"/>
        <v>1.17</v>
      </c>
      <c r="CK112" s="320">
        <f t="shared" si="275"/>
        <v>1.22</v>
      </c>
      <c r="CL112" s="320">
        <f t="shared" si="275"/>
        <v>1.3</v>
      </c>
      <c r="CM112" s="321">
        <f t="shared" si="275"/>
        <v>1.39</v>
      </c>
      <c r="CN112" s="1240">
        <f t="shared" si="275"/>
        <v>5.08</v>
      </c>
      <c r="CO112" s="320">
        <f t="shared" ref="CO112:CX112" si="276">ROUND(CO110/CO115,2)</f>
        <v>1.41</v>
      </c>
      <c r="CP112" s="320">
        <f t="shared" si="276"/>
        <v>1.43</v>
      </c>
      <c r="CQ112" s="320">
        <f t="shared" si="276"/>
        <v>1.49</v>
      </c>
      <c r="CR112" s="321">
        <f t="shared" si="276"/>
        <v>1.59</v>
      </c>
      <c r="CS112" s="1240">
        <f t="shared" si="276"/>
        <v>5.93</v>
      </c>
      <c r="CT112" s="320">
        <f t="shared" si="276"/>
        <v>1.72</v>
      </c>
      <c r="CU112" s="320">
        <f t="shared" si="276"/>
        <v>1.74</v>
      </c>
      <c r="CV112" s="320">
        <f t="shared" si="276"/>
        <v>1.81</v>
      </c>
      <c r="CW112" s="321">
        <f t="shared" si="276"/>
        <v>1.91</v>
      </c>
      <c r="CX112" s="1240">
        <f t="shared" si="276"/>
        <v>7.18</v>
      </c>
      <c r="DA112" s="201"/>
      <c r="DB112" s="363"/>
      <c r="DC112" s="363"/>
    </row>
    <row r="113" spans="1:107" outlineLevel="1">
      <c r="A113" s="155" t="s">
        <v>630</v>
      </c>
      <c r="B113" s="305"/>
      <c r="C113" s="306"/>
      <c r="D113" s="307"/>
      <c r="E113" s="307"/>
      <c r="F113" s="308"/>
      <c r="G113" s="309"/>
      <c r="H113" s="189">
        <f t="shared" ref="H113:AZ113" si="277">H112/C112-1</f>
        <v>-0.16666666666666663</v>
      </c>
      <c r="I113" s="189">
        <f t="shared" si="277"/>
        <v>9.9999999999999867E-2</v>
      </c>
      <c r="J113" s="189">
        <f t="shared" si="277"/>
        <v>1</v>
      </c>
      <c r="K113" s="190">
        <f t="shared" si="277"/>
        <v>0.33333333333333348</v>
      </c>
      <c r="L113" s="190">
        <f t="shared" si="277"/>
        <v>0.18181818181818188</v>
      </c>
      <c r="M113" s="189">
        <f t="shared" si="277"/>
        <v>0.19999999999999996</v>
      </c>
      <c r="N113" s="189">
        <f t="shared" si="277"/>
        <v>0.18181818181818188</v>
      </c>
      <c r="O113" s="189">
        <f t="shared" si="277"/>
        <v>0.30000000000000004</v>
      </c>
      <c r="P113" s="190">
        <f t="shared" si="277"/>
        <v>1.125</v>
      </c>
      <c r="Q113" s="311">
        <f t="shared" si="277"/>
        <v>0.41025641025641035</v>
      </c>
      <c r="R113" s="189">
        <f t="shared" si="277"/>
        <v>1.0833333333333335</v>
      </c>
      <c r="S113" s="189">
        <f t="shared" si="277"/>
        <v>0.69230769230769229</v>
      </c>
      <c r="T113" s="189">
        <f t="shared" si="277"/>
        <v>0.6153846153846152</v>
      </c>
      <c r="U113" s="190">
        <f t="shared" si="277"/>
        <v>0.35294117647058809</v>
      </c>
      <c r="V113" s="311">
        <f t="shared" si="277"/>
        <v>0.65454545454545454</v>
      </c>
      <c r="W113" s="189">
        <f t="shared" si="277"/>
        <v>0.19999999999999996</v>
      </c>
      <c r="X113" s="189">
        <f t="shared" si="277"/>
        <v>0.31818181818181812</v>
      </c>
      <c r="Y113" s="189">
        <f t="shared" si="277"/>
        <v>0.38095238095238093</v>
      </c>
      <c r="Z113" s="190">
        <f t="shared" si="277"/>
        <v>0.34782608695652173</v>
      </c>
      <c r="AA113" s="311">
        <f t="shared" si="277"/>
        <v>0.30769230769230749</v>
      </c>
      <c r="AB113" s="189">
        <f t="shared" si="277"/>
        <v>-0.43333333333333324</v>
      </c>
      <c r="AC113" s="189">
        <f t="shared" si="277"/>
        <v>-0.31034482758620685</v>
      </c>
      <c r="AD113" s="189">
        <f t="shared" si="277"/>
        <v>-0.44827586206896541</v>
      </c>
      <c r="AE113" s="190">
        <f t="shared" si="277"/>
        <v>-3.2258064516129115E-2</v>
      </c>
      <c r="AF113" s="311">
        <f t="shared" si="277"/>
        <v>-0.30252100840336138</v>
      </c>
      <c r="AG113" s="189">
        <f t="shared" si="277"/>
        <v>0.41176470588235281</v>
      </c>
      <c r="AH113" s="189">
        <f t="shared" si="277"/>
        <v>0.25</v>
      </c>
      <c r="AI113" s="189">
        <f t="shared" si="277"/>
        <v>1.125</v>
      </c>
      <c r="AJ113" s="190">
        <f t="shared" si="277"/>
        <v>0.26666666666666683</v>
      </c>
      <c r="AK113" s="311">
        <f t="shared" si="277"/>
        <v>0.45783132530120474</v>
      </c>
      <c r="AL113" s="189">
        <f t="shared" si="277"/>
        <v>0.58333333333333348</v>
      </c>
      <c r="AM113" s="189">
        <f t="shared" si="277"/>
        <v>0.60000000000000009</v>
      </c>
      <c r="AN113" s="189">
        <f t="shared" si="277"/>
        <v>4.1089024934779506E-2</v>
      </c>
      <c r="AO113" s="190">
        <f t="shared" si="277"/>
        <v>0.21052631578947367</v>
      </c>
      <c r="AP113" s="311">
        <f t="shared" si="277"/>
        <v>0.31404958677685957</v>
      </c>
      <c r="AQ113" s="189">
        <f t="shared" si="277"/>
        <v>-0.21052631578947367</v>
      </c>
      <c r="AR113" s="189">
        <f t="shared" si="277"/>
        <v>-0.4</v>
      </c>
      <c r="AS113" s="189">
        <f t="shared" si="277"/>
        <v>-0.26547503235773029</v>
      </c>
      <c r="AT113" s="190">
        <f t="shared" si="277"/>
        <v>-1.1304347826086956</v>
      </c>
      <c r="AU113" s="311">
        <f t="shared" si="277"/>
        <v>-0.54088050314465419</v>
      </c>
      <c r="AV113" s="189">
        <f t="shared" si="277"/>
        <v>-0.19999999999999996</v>
      </c>
      <c r="AW113" s="189">
        <f t="shared" si="277"/>
        <v>0.16666666666666674</v>
      </c>
      <c r="AX113" s="189">
        <f t="shared" si="277"/>
        <v>0.69230769230769229</v>
      </c>
      <c r="AY113" s="190">
        <f t="shared" si="277"/>
        <v>-9.8333333333333339</v>
      </c>
      <c r="AZ113" s="311">
        <f t="shared" si="277"/>
        <v>1.0136986301369864</v>
      </c>
      <c r="BA113" s="189">
        <f t="shared" ref="BA113:BJ113" si="278">BA112/AV112-1</f>
        <v>0.91666666666666674</v>
      </c>
      <c r="BB113" s="189">
        <f t="shared" si="278"/>
        <v>0.60714285714285698</v>
      </c>
      <c r="BC113" s="189">
        <f t="shared" si="278"/>
        <v>-0.11363636363636365</v>
      </c>
      <c r="BD113" s="190">
        <f t="shared" si="278"/>
        <v>-0.26415094339622647</v>
      </c>
      <c r="BE113" s="311">
        <f t="shared" si="278"/>
        <v>0.15646258503401356</v>
      </c>
      <c r="BF113" s="189">
        <f t="shared" si="278"/>
        <v>-0.19565217391304357</v>
      </c>
      <c r="BG113" s="189">
        <f t="shared" si="278"/>
        <v>0</v>
      </c>
      <c r="BH113" s="189">
        <f t="shared" si="278"/>
        <v>2.5641025641025772E-2</v>
      </c>
      <c r="BI113" s="189">
        <f t="shared" si="278"/>
        <v>0.12820512820512819</v>
      </c>
      <c r="BJ113" s="311">
        <f t="shared" si="278"/>
        <v>-2.352941176470591E-2</v>
      </c>
      <c r="BK113" s="189">
        <f t="shared" ref="BK113:BT113" si="279">BK112/BF112-1</f>
        <v>-0.64864864864864868</v>
      </c>
      <c r="BL113" s="189">
        <f t="shared" si="279"/>
        <v>-0.64444444444444438</v>
      </c>
      <c r="BM113" s="189">
        <f t="shared" si="279"/>
        <v>-0.60000000000000009</v>
      </c>
      <c r="BN113" s="190">
        <f t="shared" si="279"/>
        <v>-0.68181818181818177</v>
      </c>
      <c r="BO113" s="1456">
        <f t="shared" si="279"/>
        <v>-0.6506024096385542</v>
      </c>
      <c r="BP113" s="189">
        <f t="shared" si="279"/>
        <v>-0.30769230769230771</v>
      </c>
      <c r="BQ113" s="189">
        <f t="shared" si="279"/>
        <v>6.25E-2</v>
      </c>
      <c r="BR113" s="189">
        <f t="shared" si="279"/>
        <v>-0.4375</v>
      </c>
      <c r="BS113" s="190">
        <f t="shared" si="279"/>
        <v>0</v>
      </c>
      <c r="BT113" s="1456">
        <f t="shared" si="279"/>
        <v>-0.13793103448275856</v>
      </c>
      <c r="BU113" s="189">
        <f t="shared" ref="BU113:CH113" si="280">BU112/BP112-1</f>
        <v>0.88888888888888906</v>
      </c>
      <c r="BV113" s="189">
        <f t="shared" si="280"/>
        <v>0.70588235294117618</v>
      </c>
      <c r="BW113" s="189">
        <f t="shared" si="280"/>
        <v>2.7777777777777781</v>
      </c>
      <c r="BX113" s="190">
        <f t="shared" si="280"/>
        <v>2.1428571428571428</v>
      </c>
      <c r="BY113" s="1456">
        <f t="shared" si="280"/>
        <v>1.48</v>
      </c>
      <c r="BZ113" s="189">
        <f t="shared" si="280"/>
        <v>1.9411764705882351</v>
      </c>
      <c r="CA113" s="189">
        <f t="shared" si="280"/>
        <v>0.65517241379310343</v>
      </c>
      <c r="CB113" s="189">
        <f t="shared" si="280"/>
        <v>0.58823529411764697</v>
      </c>
      <c r="CC113" s="189">
        <f t="shared" si="280"/>
        <v>0.81818181818181834</v>
      </c>
      <c r="CD113" s="1456">
        <f t="shared" si="280"/>
        <v>0.87096774193548376</v>
      </c>
      <c r="CE113" s="189">
        <f t="shared" si="280"/>
        <v>0.60000000000000009</v>
      </c>
      <c r="CF113" s="189">
        <f t="shared" si="280"/>
        <v>0.5625</v>
      </c>
      <c r="CG113" s="189">
        <f t="shared" si="280"/>
        <v>0.55555555555555536</v>
      </c>
      <c r="CH113" s="189">
        <f t="shared" si="280"/>
        <v>0.25</v>
      </c>
      <c r="CI113" s="1456">
        <f t="shared" ref="CI113:CN113" si="281">CI112/CD112-1</f>
        <v>0.4612068965517242</v>
      </c>
      <c r="CJ113" s="189">
        <f t="shared" si="281"/>
        <v>0.46249999999999991</v>
      </c>
      <c r="CK113" s="198">
        <f t="shared" si="281"/>
        <v>0.62666666666666671</v>
      </c>
      <c r="CL113" s="198">
        <f t="shared" si="281"/>
        <v>0.54761904761904767</v>
      </c>
      <c r="CM113" s="199">
        <f t="shared" si="281"/>
        <v>0.3899999999999999</v>
      </c>
      <c r="CN113" s="1028">
        <f t="shared" si="281"/>
        <v>0.49852507374631272</v>
      </c>
      <c r="CO113" s="198">
        <f t="shared" ref="CO113:CX113" si="282">CO112/CJ112-1</f>
        <v>0.20512820512820507</v>
      </c>
      <c r="CP113" s="198">
        <f t="shared" si="282"/>
        <v>0.17213114754098369</v>
      </c>
      <c r="CQ113" s="198">
        <f t="shared" si="282"/>
        <v>0.14615384615384608</v>
      </c>
      <c r="CR113" s="199">
        <f t="shared" si="282"/>
        <v>0.14388489208633115</v>
      </c>
      <c r="CS113" s="1028">
        <f t="shared" si="282"/>
        <v>0.16732283464566922</v>
      </c>
      <c r="CT113" s="198">
        <f t="shared" si="282"/>
        <v>0.21985815602836878</v>
      </c>
      <c r="CU113" s="198">
        <f t="shared" si="282"/>
        <v>0.21678321678321688</v>
      </c>
      <c r="CV113" s="198">
        <f t="shared" si="282"/>
        <v>0.21476510067114107</v>
      </c>
      <c r="CW113" s="199">
        <f t="shared" si="282"/>
        <v>0.20125786163522008</v>
      </c>
      <c r="CX113" s="1028">
        <f t="shared" si="282"/>
        <v>0.21079258010118052</v>
      </c>
      <c r="DA113" s="201"/>
      <c r="DB113" s="200"/>
      <c r="DC113" s="200"/>
    </row>
    <row r="114" spans="1:107">
      <c r="A114" s="1032" t="s">
        <v>463</v>
      </c>
      <c r="B114" s="1033"/>
      <c r="C114" s="1034">
        <f>253.609*2</f>
        <v>507.21800000000002</v>
      </c>
      <c r="D114" s="1035">
        <f>250.127*2</f>
        <v>500.25400000000002</v>
      </c>
      <c r="E114" s="1035">
        <f>248.566*2</f>
        <v>497.13200000000001</v>
      </c>
      <c r="F114" s="1036">
        <f>244.277996*2</f>
        <v>488.555992</v>
      </c>
      <c r="G114" s="1037">
        <f>2*249.145</f>
        <v>498.29</v>
      </c>
      <c r="H114" s="1035">
        <f>245.245*2</f>
        <v>490.49</v>
      </c>
      <c r="I114" s="1035">
        <f>247.687*2</f>
        <v>495.37400000000002</v>
      </c>
      <c r="J114" s="1035">
        <f>243.375*2</f>
        <v>486.75</v>
      </c>
      <c r="K114" s="1036">
        <f>236.169*2</f>
        <v>472.33800000000002</v>
      </c>
      <c r="L114" s="1038">
        <f>2*243.119</f>
        <v>486.238</v>
      </c>
      <c r="M114" s="1035">
        <f>235.294*2</f>
        <v>470.58800000000002</v>
      </c>
      <c r="N114" s="1035">
        <f>239.237*2</f>
        <v>478.47399999999999</v>
      </c>
      <c r="O114" s="1035">
        <f>240.495*2</f>
        <v>480.99</v>
      </c>
      <c r="P114" s="1036">
        <f>250.773996*2</f>
        <v>501.54799200000002</v>
      </c>
      <c r="Q114" s="1037">
        <f>2*241.45</f>
        <v>482.9</v>
      </c>
      <c r="R114" s="1035">
        <f>246.087*2</f>
        <v>492.17399999999998</v>
      </c>
      <c r="S114" s="1035">
        <f>246.973*2</f>
        <v>493.94600000000003</v>
      </c>
      <c r="T114" s="1035">
        <f>247.113*2</f>
        <v>494.226</v>
      </c>
      <c r="U114" s="1036">
        <f>251.079004*2</f>
        <v>502.158008</v>
      </c>
      <c r="V114" s="1037">
        <f>2*448.544</f>
        <v>897.08799999999997</v>
      </c>
      <c r="W114" s="1035">
        <f>253.091*2</f>
        <v>506.18200000000002</v>
      </c>
      <c r="X114" s="1035">
        <v>508.15600000000001</v>
      </c>
      <c r="Y114" s="1035">
        <v>507.82100000000003</v>
      </c>
      <c r="Z114" s="1036">
        <v>508.07</v>
      </c>
      <c r="AA114" s="1037">
        <f>AVERAGE(W114:Z114)</f>
        <v>507.55725000000001</v>
      </c>
      <c r="AB114" s="1039">
        <v>621.83900000000006</v>
      </c>
      <c r="AC114" s="1039">
        <v>613.80399999999997</v>
      </c>
      <c r="AD114" s="1039">
        <v>600.88199999999995</v>
      </c>
      <c r="AE114" s="1038">
        <v>602.17499999999995</v>
      </c>
      <c r="AF114" s="1037">
        <f>AVERAGE(AB114:AE114)</f>
        <v>609.67499999999995</v>
      </c>
      <c r="AG114" s="1039">
        <v>604.24900000000002</v>
      </c>
      <c r="AH114" s="1039">
        <v>603.41700000000003</v>
      </c>
      <c r="AI114" s="1039">
        <v>597.33399999999995</v>
      </c>
      <c r="AJ114" s="1038">
        <v>587.86500000000001</v>
      </c>
      <c r="AK114" s="1037">
        <v>598.77499999999998</v>
      </c>
      <c r="AL114" s="1039">
        <v>571.25900000000001</v>
      </c>
      <c r="AM114" s="1039">
        <v>542.37599999999998</v>
      </c>
      <c r="AN114" s="1039">
        <v>541.31100000000004</v>
      </c>
      <c r="AO114" s="1038">
        <v>534.89599999999996</v>
      </c>
      <c r="AP114" s="1037">
        <v>548.553</v>
      </c>
      <c r="AQ114" s="1039">
        <v>527.83000000000004</v>
      </c>
      <c r="AR114" s="1039">
        <v>528.01300000000003</v>
      </c>
      <c r="AS114" s="1039">
        <v>531.80899999999997</v>
      </c>
      <c r="AT114" s="1038">
        <v>531.96100000000001</v>
      </c>
      <c r="AU114" s="1037">
        <f>AVERAGE(AQ114:AT114)</f>
        <v>529.90325000000007</v>
      </c>
      <c r="AV114" s="1039">
        <v>532.64499999999998</v>
      </c>
      <c r="AW114" s="1039">
        <v>533.25900000000001</v>
      </c>
      <c r="AX114" s="1039">
        <v>523.17899999999997</v>
      </c>
      <c r="AY114" s="1038">
        <v>511.923</v>
      </c>
      <c r="AZ114" s="1037">
        <f>AVERAGE(AV114:AY114)</f>
        <v>525.25150000000008</v>
      </c>
      <c r="BA114" s="1039">
        <v>511.3</v>
      </c>
      <c r="BB114" s="1039">
        <v>506.28</v>
      </c>
      <c r="BC114" s="1039">
        <v>498.74099999999999</v>
      </c>
      <c r="BD114" s="1038">
        <v>496.28800000000001</v>
      </c>
      <c r="BE114" s="1037">
        <f>AVERAGE(BA114:BD114)</f>
        <v>503.15224999999998</v>
      </c>
      <c r="BF114" s="1039">
        <v>500.37799999999999</v>
      </c>
      <c r="BG114" s="1039">
        <v>501.37700000000001</v>
      </c>
      <c r="BH114" s="1039">
        <v>499.75700000000001</v>
      </c>
      <c r="BI114" s="1039">
        <v>502.154</v>
      </c>
      <c r="BJ114" s="1037">
        <f>AVERAGE(BF114:BI114)</f>
        <v>500.91649999999998</v>
      </c>
      <c r="BK114" s="1039">
        <v>507.84</v>
      </c>
      <c r="BL114" s="1039">
        <v>512.44600000000003</v>
      </c>
      <c r="BM114" s="1039">
        <v>514.1</v>
      </c>
      <c r="BN114" s="1038">
        <v>511.08199999999999</v>
      </c>
      <c r="BO114" s="1459">
        <f>AVERAGE(BK114:BN114)</f>
        <v>511.36699999999996</v>
      </c>
      <c r="BP114" s="1039">
        <v>508.34</v>
      </c>
      <c r="BQ114" s="1039">
        <v>506.68700000000001</v>
      </c>
      <c r="BR114" s="1039">
        <v>507.81099999999998</v>
      </c>
      <c r="BS114" s="1038">
        <v>507.45100000000002</v>
      </c>
      <c r="BT114" s="1459">
        <f>AVERAGE(BP114:BS114)</f>
        <v>507.57225</v>
      </c>
      <c r="BU114" s="1039">
        <v>507.52600000000001</v>
      </c>
      <c r="BV114" s="1039">
        <v>505.58199999999999</v>
      </c>
      <c r="BW114" s="1039">
        <v>505.80900000000003</v>
      </c>
      <c r="BX114" s="1038">
        <v>506.012</v>
      </c>
      <c r="BY114" s="1459">
        <f>AVERAGE(BU114:BX114)</f>
        <v>506.23224999999996</v>
      </c>
      <c r="BZ114" s="1039">
        <v>505.67599999999999</v>
      </c>
      <c r="CA114" s="1039">
        <v>504.72500000000002</v>
      </c>
      <c r="CB114" s="1039">
        <v>503.66899999999998</v>
      </c>
      <c r="CC114" s="1039">
        <v>501.17599999999999</v>
      </c>
      <c r="CD114" s="1459">
        <f>AVERAGE(BZ114:CC114)</f>
        <v>503.81150000000002</v>
      </c>
      <c r="CE114" s="1039">
        <v>500.86099999999999</v>
      </c>
      <c r="CF114" s="1039">
        <v>500.351</v>
      </c>
      <c r="CG114" s="1039">
        <v>500.39800000000002</v>
      </c>
      <c r="CH114" s="1039">
        <v>500.06</v>
      </c>
      <c r="CI114" s="1459">
        <f>AVERAGE(CE114:CH114)</f>
        <v>500.41750000000002</v>
      </c>
      <c r="CJ114" s="1039">
        <v>499.43299999999999</v>
      </c>
      <c r="CK114" s="1040">
        <f>CK116*CK117</f>
        <v>497.87434574282099</v>
      </c>
      <c r="CL114" s="1040">
        <f>CL116*CL117</f>
        <v>497.37647139707809</v>
      </c>
      <c r="CM114" s="1040">
        <f>CM116*CM117</f>
        <v>496.87909492568104</v>
      </c>
      <c r="CN114" s="1241">
        <f>AVERAGE(CJ114:CM114)</f>
        <v>497.89072801639503</v>
      </c>
      <c r="CO114" s="1040">
        <f>CO116*CO117</f>
        <v>496.3822158307554</v>
      </c>
      <c r="CP114" s="1040">
        <f>CP116*CP117</f>
        <v>495.88583361492465</v>
      </c>
      <c r="CQ114" s="1040">
        <f>CQ116*CQ117</f>
        <v>495.38994778130973</v>
      </c>
      <c r="CR114" s="1040">
        <f>CR116*CR117</f>
        <v>494.89455783352838</v>
      </c>
      <c r="CS114" s="1241">
        <f>AVERAGE(CO114:CR114)</f>
        <v>495.6381387651295</v>
      </c>
      <c r="CT114" s="1040">
        <f>CT116*CT117</f>
        <v>494.39966327569488</v>
      </c>
      <c r="CU114" s="1040">
        <f>CU116*CU117</f>
        <v>493.90526361241916</v>
      </c>
      <c r="CV114" s="1040">
        <f>CV116*CV117</f>
        <v>493.41135834880669</v>
      </c>
      <c r="CW114" s="1040">
        <f>CW116*CW117</f>
        <v>492.91794699045789</v>
      </c>
      <c r="CX114" s="1241">
        <f>AVERAGE(CT114:CW114)</f>
        <v>493.6585580568447</v>
      </c>
      <c r="DA114" s="366"/>
      <c r="DB114" s="365"/>
      <c r="DC114" s="365"/>
    </row>
    <row r="115" spans="1:107" hidden="1" outlineLevel="1">
      <c r="A115" s="285" t="s">
        <v>687</v>
      </c>
      <c r="B115" s="115"/>
      <c r="C115" s="218">
        <f>IF(C110&lt;0,C116,C114)</f>
        <v>507.21800000000002</v>
      </c>
      <c r="D115" s="219">
        <f>IF(D110&lt;0,D116,D114)</f>
        <v>500.25400000000002</v>
      </c>
      <c r="E115" s="219">
        <f>IF(E110&lt;0,E116,E114)</f>
        <v>497.13200000000001</v>
      </c>
      <c r="F115" s="220">
        <f>IF(F110&lt;0,F116,F114)</f>
        <v>488.555992</v>
      </c>
      <c r="G115" s="221">
        <f>AVERAGE(C115:F115)</f>
        <v>498.28999800000003</v>
      </c>
      <c r="H115" s="219">
        <f>IF(H110&lt;0,H116,H114)</f>
        <v>490.49</v>
      </c>
      <c r="I115" s="219">
        <f>IF(I110&lt;0,I116,I114)</f>
        <v>495.37400000000002</v>
      </c>
      <c r="J115" s="219">
        <f>IF(J110&lt;0,J116,J114)</f>
        <v>486.75</v>
      </c>
      <c r="K115" s="220">
        <f>IF(K110&lt;0,K116,K114)</f>
        <v>472.33800000000002</v>
      </c>
      <c r="L115" s="220">
        <f>AVERAGE(H115:K115)</f>
        <v>486.238</v>
      </c>
      <c r="M115" s="219">
        <f>IF(M110&lt;0,M116,M114)</f>
        <v>470.58800000000002</v>
      </c>
      <c r="N115" s="219">
        <f>IF(N110&lt;0,N116,N114)</f>
        <v>478.47399999999999</v>
      </c>
      <c r="O115" s="219">
        <f>IF(O110&lt;0,O116,O114)</f>
        <v>480.99</v>
      </c>
      <c r="P115" s="220">
        <f>IF(P110&lt;0,P116,P114)</f>
        <v>501.54799200000002</v>
      </c>
      <c r="Q115" s="221">
        <f>AVERAGE(M115:P115)</f>
        <v>482.89999800000004</v>
      </c>
      <c r="R115" s="219">
        <f>IF(R110&lt;0,R116,R114)</f>
        <v>492.17399999999998</v>
      </c>
      <c r="S115" s="219">
        <f>IF(S110&lt;0,S116,S114)</f>
        <v>493.94600000000003</v>
      </c>
      <c r="T115" s="219">
        <f>IF(T110&lt;0,T116,T114)</f>
        <v>494.226</v>
      </c>
      <c r="U115" s="220">
        <f>IF(U110&lt;0,U116,U114)</f>
        <v>502.158008</v>
      </c>
      <c r="V115" s="221">
        <f>AVERAGE(R115:U115)</f>
        <v>495.62600199999997</v>
      </c>
      <c r="W115" s="219">
        <f>IF(W110&lt;0,W116,W114)</f>
        <v>506.18200000000002</v>
      </c>
      <c r="X115" s="219">
        <f>IF(X110&lt;0,X116,X114)</f>
        <v>508.15600000000001</v>
      </c>
      <c r="Y115" s="219">
        <f>IF(Y110&lt;0,Y116,Y114)</f>
        <v>507.82100000000003</v>
      </c>
      <c r="Z115" s="220">
        <f>IF(Z110&lt;0,Z116,Z114)</f>
        <v>508.07</v>
      </c>
      <c r="AA115" s="221">
        <f>AVERAGE(W115:Z115)</f>
        <v>507.55725000000001</v>
      </c>
      <c r="AB115" s="219">
        <f>IF(AB110&lt;0,AB116,AB114)</f>
        <v>621.83900000000006</v>
      </c>
      <c r="AC115" s="219">
        <f>IF(AC110&lt;0,AC116,AC114)</f>
        <v>613.80399999999997</v>
      </c>
      <c r="AD115" s="219">
        <f>IF(AD110&lt;0,AD116,AD114)</f>
        <v>600.88199999999995</v>
      </c>
      <c r="AE115" s="220">
        <f>IF(AE110&lt;0,AE116,AE114)</f>
        <v>602.17499999999995</v>
      </c>
      <c r="AF115" s="221">
        <f>AVERAGE(AB115:AE115)</f>
        <v>609.67499999999995</v>
      </c>
      <c r="AG115" s="219">
        <f>IF(AG110&lt;0,AG116,AG114)</f>
        <v>604.24900000000002</v>
      </c>
      <c r="AH115" s="219">
        <f>IF(AH110&lt;0,AH116,AH114)</f>
        <v>603.41700000000003</v>
      </c>
      <c r="AI115" s="219">
        <f>IF(AI110&lt;0,AI116,AI114)</f>
        <v>597.33399999999995</v>
      </c>
      <c r="AJ115" s="220">
        <f>IF(AJ110&lt;0,AJ116,AJ114)</f>
        <v>587.86500000000001</v>
      </c>
      <c r="AK115" s="221">
        <f>AVERAGE(AG115:AJ115)</f>
        <v>598.21624999999995</v>
      </c>
      <c r="AL115" s="219">
        <f>IF(AL110&lt;0,AL116,AL114)</f>
        <v>571.25900000000001</v>
      </c>
      <c r="AM115" s="219">
        <f>IF(AM110&lt;0,AM116,AM114)</f>
        <v>542.37599999999998</v>
      </c>
      <c r="AN115" s="219">
        <f>IF(AN110&lt;0,AN116,AN114)</f>
        <v>541.31100000000004</v>
      </c>
      <c r="AO115" s="220">
        <f>IF(AO110&lt;0,AO116,AO114)</f>
        <v>534.89599999999996</v>
      </c>
      <c r="AP115" s="221">
        <v>548.553</v>
      </c>
      <c r="AQ115" s="219">
        <f>IF(AQ110&lt;0,AQ116,AQ114)</f>
        <v>527.83000000000004</v>
      </c>
      <c r="AR115" s="219">
        <v>528.01300000000003</v>
      </c>
      <c r="AS115" s="219">
        <v>531.80899999999997</v>
      </c>
      <c r="AT115" s="220">
        <v>531.96100000000001</v>
      </c>
      <c r="AU115" s="221">
        <f>AVERAGE(AQ115:AT115)</f>
        <v>529.90325000000007</v>
      </c>
      <c r="AV115" s="219">
        <f>IF(AV110&lt;0,AV116,AV114)</f>
        <v>532.64499999999998</v>
      </c>
      <c r="AW115" s="219">
        <f>IF(AW110&lt;0,AW116,AW114)</f>
        <v>533.25900000000001</v>
      </c>
      <c r="AX115" s="219">
        <f>IF(AX110&lt;0,AX116,AX114)</f>
        <v>523.17899999999997</v>
      </c>
      <c r="AY115" s="220">
        <f>IF(AY110&lt;0,AY116,AY114)</f>
        <v>511.923</v>
      </c>
      <c r="AZ115" s="221">
        <f>AVERAGE(AV115:AY115)</f>
        <v>525.25150000000008</v>
      </c>
      <c r="BA115" s="219">
        <f>IF(BA110&lt;0,BA116,BA114)</f>
        <v>511.3</v>
      </c>
      <c r="BB115" s="219">
        <f>IF(BB110&lt;0,BB116,BB114)</f>
        <v>506.28</v>
      </c>
      <c r="BC115" s="219">
        <f>IF(BC110&lt;0,BC116,BC114)</f>
        <v>498.74099999999999</v>
      </c>
      <c r="BD115" s="220">
        <f>IF(BD110&lt;0,BD116,BD114)</f>
        <v>496.28800000000001</v>
      </c>
      <c r="BE115" s="221">
        <f>AVERAGE(BA115:BD115)</f>
        <v>503.15224999999998</v>
      </c>
      <c r="BF115" s="219">
        <f>IF(BF110&lt;0,BF116,BF114)</f>
        <v>500.37799999999999</v>
      </c>
      <c r="BG115" s="219">
        <f>IF(BG110&lt;0,BG116,BG114)</f>
        <v>501.37700000000001</v>
      </c>
      <c r="BH115" s="219">
        <f>IF(BH110&lt;0,BH116,BH114)</f>
        <v>499.75700000000001</v>
      </c>
      <c r="BI115" s="219">
        <f>IF(BI110&lt;0,BI116,BI114)</f>
        <v>502.154</v>
      </c>
      <c r="BJ115" s="221">
        <f>AVERAGE(BF115:BI115)</f>
        <v>500.91649999999998</v>
      </c>
      <c r="BK115" s="219">
        <f>IF(BK110&lt;0,BK116,BK114)</f>
        <v>507.84</v>
      </c>
      <c r="BL115" s="219">
        <f>IF(BL110&lt;0,BL116,BL114)</f>
        <v>512.44600000000003</v>
      </c>
      <c r="BM115" s="219">
        <f>IF(BM110&lt;0,BM116,BM114)</f>
        <v>514.1</v>
      </c>
      <c r="BN115" s="220">
        <f>IF(BN110&lt;0,BN116,BN114)</f>
        <v>511.08199999999999</v>
      </c>
      <c r="BO115" s="1438">
        <f>AVERAGE(BK115:BN115)</f>
        <v>511.36699999999996</v>
      </c>
      <c r="BP115" s="219">
        <f>IF(BP110&lt;0,BP116,BP114)</f>
        <v>508.34</v>
      </c>
      <c r="BQ115" s="219">
        <f>IF(BQ110&lt;0,BQ116,BQ114)</f>
        <v>506.68700000000001</v>
      </c>
      <c r="BR115" s="219">
        <f>IF(BR110&lt;0,BR116,BR114)</f>
        <v>507.81099999999998</v>
      </c>
      <c r="BS115" s="220">
        <f>IF(BS110&lt;0,BS116,BS114)</f>
        <v>507.45100000000002</v>
      </c>
      <c r="BT115" s="1438">
        <f>AVERAGE(BP115:BS115)</f>
        <v>507.57225</v>
      </c>
      <c r="BU115" s="219">
        <f>IF(BU110&lt;0,BU116,BU114)</f>
        <v>507.52600000000001</v>
      </c>
      <c r="BV115" s="219">
        <v>505.58199999999999</v>
      </c>
      <c r="BW115" s="219">
        <f>IF(BW110&lt;0,BW116,BW114)</f>
        <v>505.80900000000003</v>
      </c>
      <c r="BX115" s="220">
        <f>IF(BX110&lt;0,BX116,BX114)</f>
        <v>506.012</v>
      </c>
      <c r="BY115" s="1438">
        <f>AVERAGE(BU115:BX115)</f>
        <v>506.23224999999996</v>
      </c>
      <c r="BZ115" s="219">
        <f>IF(BZ110&lt;0,BZ116,BZ114)</f>
        <v>505.67599999999999</v>
      </c>
      <c r="CA115" s="219">
        <f>IF(CA110&lt;0,CA116,CA114)</f>
        <v>504.72500000000002</v>
      </c>
      <c r="CB115" s="219">
        <f>IF(CB110&lt;0,CB116,CB114)</f>
        <v>503.66899999999998</v>
      </c>
      <c r="CC115" s="219">
        <f>IF(CC110&lt;0,CC116,CC114)</f>
        <v>501.17599999999999</v>
      </c>
      <c r="CD115" s="1438">
        <f>AVERAGE(BZ115:CC115)</f>
        <v>503.81150000000002</v>
      </c>
      <c r="CE115" s="219">
        <f>IF(CE110&lt;0,CE116,CE114)</f>
        <v>500.86099999999999</v>
      </c>
      <c r="CF115" s="219">
        <f>IF(CF110&lt;0,CF116,CF114)</f>
        <v>500.351</v>
      </c>
      <c r="CG115" s="219">
        <f>IF(CG110&lt;0,CG116,CG114)</f>
        <v>500.39800000000002</v>
      </c>
      <c r="CH115" s="219">
        <f>IF(CH110&lt;0,CH116,CH114)</f>
        <v>500.06</v>
      </c>
      <c r="CI115" s="1438">
        <f>AVERAGE(CE115:CH115)</f>
        <v>500.41750000000002</v>
      </c>
      <c r="CJ115" s="219">
        <f>IF(CJ110&lt;0,CJ116,CJ114)</f>
        <v>499.43299999999999</v>
      </c>
      <c r="CK115" s="222">
        <f>IF(CK110&lt;0,CK116,CK114)</f>
        <v>497.87434574282099</v>
      </c>
      <c r="CL115" s="222">
        <f>IF(CL110&lt;0,CL116,CL114)</f>
        <v>497.37647139707809</v>
      </c>
      <c r="CM115" s="223">
        <f>IF(CM110&lt;0,CM116,CM114)</f>
        <v>496.87909492568104</v>
      </c>
      <c r="CN115" s="1023">
        <f>AVERAGE(CJ115:CM115)</f>
        <v>497.89072801639503</v>
      </c>
      <c r="CO115" s="222">
        <f>IF(CO110&lt;0,CO116,CO114)</f>
        <v>496.3822158307554</v>
      </c>
      <c r="CP115" s="222">
        <f>IF(CP110&lt;0,CP116,CP114)</f>
        <v>495.88583361492465</v>
      </c>
      <c r="CQ115" s="222">
        <f>IF(CQ110&lt;0,CQ116,CQ114)</f>
        <v>495.38994778130973</v>
      </c>
      <c r="CR115" s="223">
        <f>IF(CR110&lt;0,CR116,CR114)</f>
        <v>494.89455783352838</v>
      </c>
      <c r="CS115" s="1023">
        <f>AVERAGE(CO115:CR115)</f>
        <v>495.6381387651295</v>
      </c>
      <c r="CT115" s="222">
        <f>IF(CT110&lt;0,CT116,CT114)</f>
        <v>494.39966327569488</v>
      </c>
      <c r="CU115" s="222">
        <f>IF(CU110&lt;0,CU116,CU114)</f>
        <v>493.90526361241916</v>
      </c>
      <c r="CV115" s="222">
        <f>IF(CV110&lt;0,CV116,CV114)</f>
        <v>493.41135834880669</v>
      </c>
      <c r="CW115" s="223">
        <f>IF(CW110&lt;0,CW116,CW114)</f>
        <v>492.91794699045789</v>
      </c>
      <c r="CX115" s="1023">
        <f>AVERAGE(CT115:CW115)</f>
        <v>493.6585580568447</v>
      </c>
      <c r="DA115" s="254"/>
      <c r="DB115" s="243"/>
      <c r="DC115" s="243"/>
    </row>
    <row r="116" spans="1:107" hidden="1" outlineLevel="1">
      <c r="A116" s="135" t="s">
        <v>645</v>
      </c>
      <c r="B116" s="115"/>
      <c r="C116" s="359">
        <f>240.078*2</f>
        <v>480.15600000000001</v>
      </c>
      <c r="D116" s="210">
        <f>238.163*2</f>
        <v>476.32600000000002</v>
      </c>
      <c r="E116" s="210">
        <f>238.051*2</f>
        <v>476.10199999999998</v>
      </c>
      <c r="F116" s="211">
        <f>237.551996*2</f>
        <v>475.10399200000001</v>
      </c>
      <c r="G116" s="139">
        <f>AVERAGE(C116:F116)</f>
        <v>476.92199799999997</v>
      </c>
      <c r="H116" s="210">
        <f>236.581*2</f>
        <v>473.16199999999998</v>
      </c>
      <c r="I116" s="210">
        <f>238.202*2</f>
        <v>476.404</v>
      </c>
      <c r="J116" s="210">
        <f>238.01*2</f>
        <v>476.02</v>
      </c>
      <c r="K116" s="211">
        <f>234.542996*2</f>
        <v>469.08599199999998</v>
      </c>
      <c r="L116" s="138">
        <f>AVERAGE(H116:K116)</f>
        <v>473.66799800000001</v>
      </c>
      <c r="M116" s="210">
        <f>231.084*2</f>
        <v>462.16800000000001</v>
      </c>
      <c r="N116" s="210">
        <f>232.124*2</f>
        <v>464.24799999999999</v>
      </c>
      <c r="O116" s="210">
        <f>233.364*2</f>
        <v>466.72800000000001</v>
      </c>
      <c r="P116" s="211">
        <f>240.412004*2</f>
        <v>480.82400799999999</v>
      </c>
      <c r="Q116" s="139">
        <f>AVERAGE(M116:P116)</f>
        <v>468.49200200000001</v>
      </c>
      <c r="R116" s="210">
        <f>238.384*2</f>
        <v>476.76799999999997</v>
      </c>
      <c r="S116" s="210">
        <f>238.619*2</f>
        <v>477.238</v>
      </c>
      <c r="T116" s="210">
        <f>238.471*2</f>
        <v>476.94200000000001</v>
      </c>
      <c r="U116" s="211">
        <f>239.842004*2</f>
        <v>479.68400800000001</v>
      </c>
      <c r="V116" s="139">
        <f>AVERAGE(R116:U116)</f>
        <v>477.65800199999995</v>
      </c>
      <c r="W116" s="210">
        <f>243.13*2</f>
        <v>486.26</v>
      </c>
      <c r="X116" s="210">
        <v>488.76499999999999</v>
      </c>
      <c r="Y116" s="210">
        <v>491.71</v>
      </c>
      <c r="Z116" s="211">
        <v>489.92099999999999</v>
      </c>
      <c r="AA116" s="139">
        <f>AVERAGE(W116:Z116)</f>
        <v>489.16399999999999</v>
      </c>
      <c r="AB116" s="137">
        <v>598.45100000000002</v>
      </c>
      <c r="AC116" s="137">
        <v>595.28399999999999</v>
      </c>
      <c r="AD116" s="137">
        <v>586.43299999999999</v>
      </c>
      <c r="AE116" s="138">
        <v>584.798</v>
      </c>
      <c r="AF116" s="139">
        <f>AVERAGE(AB116:AE116)</f>
        <v>591.24150000000009</v>
      </c>
      <c r="AG116" s="137">
        <v>587.96900000000005</v>
      </c>
      <c r="AH116" s="137">
        <v>587.92899999999997</v>
      </c>
      <c r="AI116" s="137">
        <v>583.66999999999996</v>
      </c>
      <c r="AJ116" s="138">
        <v>574.71600000000001</v>
      </c>
      <c r="AK116" s="139">
        <v>584.20299999999997</v>
      </c>
      <c r="AL116" s="137">
        <v>561.11300000000006</v>
      </c>
      <c r="AM116" s="137">
        <v>533.39099999999996</v>
      </c>
      <c r="AN116" s="137">
        <v>531.05999999999995</v>
      </c>
      <c r="AO116" s="138">
        <v>528.803</v>
      </c>
      <c r="AP116" s="139">
        <v>539.37300000000005</v>
      </c>
      <c r="AQ116" s="137">
        <v>524.26800000000003</v>
      </c>
      <c r="AR116" s="137">
        <v>524.15899999999999</v>
      </c>
      <c r="AS116" s="137">
        <v>525.91099999999994</v>
      </c>
      <c r="AT116" s="138">
        <v>523.53</v>
      </c>
      <c r="AU116" s="139">
        <f>AVERAGE(AQ116:AT116)</f>
        <v>524.4670000000001</v>
      </c>
      <c r="AV116" s="137">
        <v>524.173</v>
      </c>
      <c r="AW116" s="137">
        <v>526.14800000000002</v>
      </c>
      <c r="AX116" s="137">
        <v>518.71</v>
      </c>
      <c r="AY116" s="138">
        <v>506.75200000000001</v>
      </c>
      <c r="AZ116" s="139">
        <f>AVERAGE(AV116:AY116)</f>
        <v>518.94574999999998</v>
      </c>
      <c r="BA116" s="137">
        <v>504.13400000000001</v>
      </c>
      <c r="BB116" s="137">
        <v>499.68599999999998</v>
      </c>
      <c r="BC116" s="137">
        <v>494.53699999999998</v>
      </c>
      <c r="BD116" s="138">
        <v>491.52300000000002</v>
      </c>
      <c r="BE116" s="139">
        <f>AVERAGE(BA116:BD116)</f>
        <v>497.47</v>
      </c>
      <c r="BF116" s="137">
        <v>494.01600000000002</v>
      </c>
      <c r="BG116" s="137">
        <v>495.95</v>
      </c>
      <c r="BH116" s="137">
        <v>494.05099999999999</v>
      </c>
      <c r="BI116" s="137">
        <v>494.90600000000001</v>
      </c>
      <c r="BJ116" s="139">
        <f>AVERAGE(BF116:BI116)</f>
        <v>494.73075</v>
      </c>
      <c r="BK116" s="137">
        <v>498.60700000000003</v>
      </c>
      <c r="BL116" s="137">
        <v>503.38400000000001</v>
      </c>
      <c r="BM116" s="137">
        <v>504.11599999999999</v>
      </c>
      <c r="BN116" s="138">
        <v>496.26100000000002</v>
      </c>
      <c r="BO116" s="1440">
        <f>AVERAGE(BK116:BN116)</f>
        <v>500.59199999999998</v>
      </c>
      <c r="BP116" s="137">
        <v>496.94799999999998</v>
      </c>
      <c r="BQ116" s="137">
        <v>497.93099999999998</v>
      </c>
      <c r="BR116" s="137">
        <v>498.46800000000002</v>
      </c>
      <c r="BS116" s="138">
        <v>497.48399999999998</v>
      </c>
      <c r="BT116" s="1440">
        <f>AVERAGE(BP116:BS116)</f>
        <v>497.70774999999998</v>
      </c>
      <c r="BU116" s="137">
        <v>498.75400000000002</v>
      </c>
      <c r="BV116" s="137">
        <v>499.29</v>
      </c>
      <c r="BW116" s="137">
        <v>498.63</v>
      </c>
      <c r="BX116" s="138">
        <v>498.38400000000001</v>
      </c>
      <c r="BY116" s="1440">
        <f>AVERAGE(BU116:BX116)</f>
        <v>498.7645</v>
      </c>
      <c r="BZ116" s="137">
        <v>499.125</v>
      </c>
      <c r="CA116" s="137">
        <v>499.97399999999999</v>
      </c>
      <c r="CB116" s="137">
        <v>498.584</v>
      </c>
      <c r="CC116" s="137">
        <v>495.64100000000002</v>
      </c>
      <c r="CD116" s="1440">
        <f>AVERAGE(BZ116:CC116)</f>
        <v>498.33100000000002</v>
      </c>
      <c r="CE116" s="137">
        <v>494.61200000000002</v>
      </c>
      <c r="CF116" s="137">
        <v>494.37099999999998</v>
      </c>
      <c r="CG116" s="137">
        <v>493.42599999999999</v>
      </c>
      <c r="CH116" s="137">
        <v>492.108</v>
      </c>
      <c r="CI116" s="1440">
        <f>AVERAGE(CE116:CH116)</f>
        <v>493.62924999999996</v>
      </c>
      <c r="CJ116" s="137">
        <v>492.06099999999998</v>
      </c>
      <c r="CK116" s="140">
        <f>AVERAGE(CJ118:CK118)</f>
        <v>490.52535263100003</v>
      </c>
      <c r="CL116" s="140">
        <f>AVERAGE(CK118:CL118)</f>
        <v>490.03482727836899</v>
      </c>
      <c r="CM116" s="140">
        <f>AVERAGE(CL118:CM118)</f>
        <v>489.54479245109064</v>
      </c>
      <c r="CN116" s="1016">
        <f>AVERAGE(CJ116:CM116)</f>
        <v>490.5414930901149</v>
      </c>
      <c r="CO116" s="140">
        <f>AVERAGE(CO118,CM118)</f>
        <v>489.05524765863959</v>
      </c>
      <c r="CP116" s="140">
        <f>AVERAGE(CO118:CP118)</f>
        <v>488.56619241098093</v>
      </c>
      <c r="CQ116" s="140">
        <f>AVERAGE(CP118:CQ118)</f>
        <v>488.07762621856995</v>
      </c>
      <c r="CR116" s="140">
        <f>AVERAGE(CQ118:CR118)</f>
        <v>487.58954859235138</v>
      </c>
      <c r="CS116" s="1016">
        <f>AVERAGE(CO116:CR116)</f>
        <v>488.32215372013547</v>
      </c>
      <c r="CT116" s="140">
        <f>AVERAGE(CT118,CR118)</f>
        <v>487.10195904375905</v>
      </c>
      <c r="CU116" s="140">
        <f>AVERAGE(CT118:CU118)</f>
        <v>486.61485708471525</v>
      </c>
      <c r="CV116" s="140">
        <f>AVERAGE(CU118:CV118)</f>
        <v>486.12824222763049</v>
      </c>
      <c r="CW116" s="140">
        <f>AVERAGE(CV118:CW118)</f>
        <v>485.64211398540289</v>
      </c>
      <c r="CX116" s="1016">
        <f>AVERAGE(CT116:CW116)</f>
        <v>486.37179308537691</v>
      </c>
      <c r="DA116" s="254"/>
      <c r="DB116" s="243"/>
      <c r="DC116" s="243"/>
    </row>
    <row r="117" spans="1:107" hidden="1" outlineLevel="1">
      <c r="A117" s="215" t="s">
        <v>524</v>
      </c>
      <c r="B117" s="184"/>
      <c r="C117" s="216">
        <f t="shared" ref="C117:AH117" si="283">C114/C116</f>
        <v>1.0563608493906147</v>
      </c>
      <c r="D117" s="162">
        <f t="shared" si="283"/>
        <v>1.0502345032603722</v>
      </c>
      <c r="E117" s="162">
        <f t="shared" si="283"/>
        <v>1.0441712070102627</v>
      </c>
      <c r="F117" s="161">
        <f t="shared" si="283"/>
        <v>1.0283138012445916</v>
      </c>
      <c r="G117" s="163">
        <f t="shared" si="283"/>
        <v>1.0448039765194477</v>
      </c>
      <c r="H117" s="162">
        <f t="shared" si="283"/>
        <v>1.0366217067304644</v>
      </c>
      <c r="I117" s="162">
        <f t="shared" si="283"/>
        <v>1.0398191450953393</v>
      </c>
      <c r="J117" s="162">
        <f t="shared" si="283"/>
        <v>1.0225410697029538</v>
      </c>
      <c r="K117" s="161">
        <f t="shared" si="283"/>
        <v>1.0069326478629959</v>
      </c>
      <c r="L117" s="161">
        <f t="shared" si="283"/>
        <v>1.0265375791758682</v>
      </c>
      <c r="M117" s="162">
        <f t="shared" si="283"/>
        <v>1.018218483322082</v>
      </c>
      <c r="N117" s="162">
        <f t="shared" si="283"/>
        <v>1.0306431045475695</v>
      </c>
      <c r="O117" s="162">
        <f t="shared" si="283"/>
        <v>1.0305574124543631</v>
      </c>
      <c r="P117" s="161">
        <f t="shared" si="283"/>
        <v>1.0431009759396208</v>
      </c>
      <c r="Q117" s="163">
        <f t="shared" si="283"/>
        <v>1.0307539892644741</v>
      </c>
      <c r="R117" s="162">
        <f t="shared" si="283"/>
        <v>1.032313410295993</v>
      </c>
      <c r="S117" s="162">
        <f t="shared" si="283"/>
        <v>1.0350097854739146</v>
      </c>
      <c r="T117" s="162">
        <f t="shared" si="283"/>
        <v>1.036239207283066</v>
      </c>
      <c r="U117" s="161">
        <f t="shared" si="283"/>
        <v>1.0468516765728826</v>
      </c>
      <c r="V117" s="163">
        <f t="shared" si="283"/>
        <v>1.8780968731682632</v>
      </c>
      <c r="W117" s="162">
        <f t="shared" si="283"/>
        <v>1.0409698515197632</v>
      </c>
      <c r="X117" s="162">
        <f t="shared" si="283"/>
        <v>1.039673462707027</v>
      </c>
      <c r="Y117" s="162">
        <f t="shared" si="283"/>
        <v>1.0327652478086677</v>
      </c>
      <c r="Z117" s="161">
        <f t="shared" si="283"/>
        <v>1.0370447480308049</v>
      </c>
      <c r="AA117" s="163">
        <f t="shared" si="283"/>
        <v>1.0376013974863236</v>
      </c>
      <c r="AB117" s="162">
        <f t="shared" si="283"/>
        <v>1.0390808938409328</v>
      </c>
      <c r="AC117" s="162">
        <f t="shared" si="283"/>
        <v>1.0311112007042016</v>
      </c>
      <c r="AD117" s="162">
        <f t="shared" si="283"/>
        <v>1.0246387907911048</v>
      </c>
      <c r="AE117" s="161">
        <f t="shared" si="283"/>
        <v>1.0297145339074347</v>
      </c>
      <c r="AF117" s="163">
        <f t="shared" si="283"/>
        <v>1.0311776152384429</v>
      </c>
      <c r="AG117" s="162">
        <f t="shared" si="283"/>
        <v>1.0276885345996132</v>
      </c>
      <c r="AH117" s="185">
        <f t="shared" si="283"/>
        <v>1.0263433169651439</v>
      </c>
      <c r="AI117" s="162">
        <f t="shared" ref="AI117:BA117" si="284">AI114/AI116</f>
        <v>1.0234104888036049</v>
      </c>
      <c r="AJ117" s="186">
        <f t="shared" si="284"/>
        <v>1.0228791263859018</v>
      </c>
      <c r="AK117" s="163">
        <f t="shared" si="284"/>
        <v>1.0249433844057632</v>
      </c>
      <c r="AL117" s="185">
        <f t="shared" si="284"/>
        <v>1.0180819193281923</v>
      </c>
      <c r="AM117" s="185">
        <f t="shared" si="284"/>
        <v>1.0168450536285765</v>
      </c>
      <c r="AN117" s="162">
        <f t="shared" si="284"/>
        <v>1.0193029036267089</v>
      </c>
      <c r="AO117" s="186">
        <f t="shared" si="284"/>
        <v>1.0115222493064524</v>
      </c>
      <c r="AP117" s="163">
        <f t="shared" si="284"/>
        <v>1.0170197618345744</v>
      </c>
      <c r="AQ117" s="185">
        <f t="shared" si="284"/>
        <v>1.0067942350095753</v>
      </c>
      <c r="AR117" s="162">
        <f t="shared" si="284"/>
        <v>1.0073527307553625</v>
      </c>
      <c r="AS117" s="162">
        <f t="shared" si="284"/>
        <v>1.0112148253221553</v>
      </c>
      <c r="AT117" s="161">
        <f t="shared" si="284"/>
        <v>1.0161041392088324</v>
      </c>
      <c r="AU117" s="163">
        <f t="shared" si="284"/>
        <v>1.010365285137101</v>
      </c>
      <c r="AV117" s="185">
        <f t="shared" si="284"/>
        <v>1.0161626028047992</v>
      </c>
      <c r="AW117" s="162">
        <f t="shared" si="284"/>
        <v>1.0135152086485171</v>
      </c>
      <c r="AX117" s="162">
        <f t="shared" si="284"/>
        <v>1.0086156040947734</v>
      </c>
      <c r="AY117" s="186">
        <f t="shared" si="284"/>
        <v>1.0102042024501137</v>
      </c>
      <c r="AZ117" s="163">
        <f t="shared" si="284"/>
        <v>1.0121510774488471</v>
      </c>
      <c r="BA117" s="185">
        <f t="shared" si="284"/>
        <v>1.0142144747229902</v>
      </c>
      <c r="BB117" s="162">
        <f t="shared" ref="BB117:BJ117" si="285">BB114/BB116</f>
        <v>1.0131962872684046</v>
      </c>
      <c r="BC117" s="162">
        <f t="shared" si="285"/>
        <v>1.0085008806216724</v>
      </c>
      <c r="BD117" s="186">
        <f t="shared" si="285"/>
        <v>1.009694358148042</v>
      </c>
      <c r="BE117" s="163">
        <f t="shared" si="285"/>
        <v>1.0114222968219189</v>
      </c>
      <c r="BF117" s="185">
        <f t="shared" si="285"/>
        <v>1.0128781254048451</v>
      </c>
      <c r="BG117" s="162">
        <f t="shared" si="285"/>
        <v>1.0109426353463051</v>
      </c>
      <c r="BH117" s="162">
        <f t="shared" si="285"/>
        <v>1.0115494149389437</v>
      </c>
      <c r="BI117" s="162">
        <f t="shared" si="285"/>
        <v>1.0146452053521275</v>
      </c>
      <c r="BJ117" s="163">
        <f t="shared" si="285"/>
        <v>1.0125032656652129</v>
      </c>
      <c r="BK117" s="185">
        <f t="shared" ref="BK117:BS117" si="286">BK114/BK116</f>
        <v>1.0185175900057559</v>
      </c>
      <c r="BL117" s="162">
        <f t="shared" si="286"/>
        <v>1.0180021613718355</v>
      </c>
      <c r="BM117" s="162">
        <f t="shared" si="286"/>
        <v>1.0198049655238082</v>
      </c>
      <c r="BN117" s="161">
        <f t="shared" si="286"/>
        <v>1.0298653329598739</v>
      </c>
      <c r="BO117" s="1437">
        <f t="shared" si="286"/>
        <v>1.0215245149742704</v>
      </c>
      <c r="BP117" s="185">
        <f t="shared" si="286"/>
        <v>1.0229239276544024</v>
      </c>
      <c r="BQ117" s="162">
        <f t="shared" si="286"/>
        <v>1.017584765760718</v>
      </c>
      <c r="BR117" s="162">
        <f t="shared" si="286"/>
        <v>1.0187434298691189</v>
      </c>
      <c r="BS117" s="161">
        <f t="shared" si="286"/>
        <v>1.0200348151900362</v>
      </c>
      <c r="BT117" s="1437">
        <f t="shared" ref="BT117:CE117" si="287">BT114/BT116</f>
        <v>1.0198198641672749</v>
      </c>
      <c r="BU117" s="185">
        <f t="shared" si="287"/>
        <v>1.0175878288695428</v>
      </c>
      <c r="BV117" s="162">
        <f t="shared" si="287"/>
        <v>1.0126018946904605</v>
      </c>
      <c r="BW117" s="162">
        <f t="shared" si="287"/>
        <v>1.0143974490102883</v>
      </c>
      <c r="BX117" s="162">
        <f t="shared" si="287"/>
        <v>1.0153054672702173</v>
      </c>
      <c r="BY117" s="1437">
        <f t="shared" si="287"/>
        <v>1.0149724970401863</v>
      </c>
      <c r="BZ117" s="162">
        <f t="shared" si="287"/>
        <v>1.0131249686952166</v>
      </c>
      <c r="CA117" s="162">
        <f t="shared" si="287"/>
        <v>1.0095024941296948</v>
      </c>
      <c r="CB117" s="162">
        <f t="shared" si="287"/>
        <v>1.0101988832373281</v>
      </c>
      <c r="CC117" s="162">
        <f t="shared" si="287"/>
        <v>1.0111673570184871</v>
      </c>
      <c r="CD117" s="1437">
        <f>CD114/CD116</f>
        <v>1.0109977103571723</v>
      </c>
      <c r="CE117" s="162">
        <f t="shared" si="287"/>
        <v>1.0126341455524734</v>
      </c>
      <c r="CF117" s="162">
        <f>CF114/CF116</f>
        <v>1.0120961787807132</v>
      </c>
      <c r="CG117" s="162">
        <f>CG114/CG116</f>
        <v>1.0141297783254228</v>
      </c>
      <c r="CH117" s="162">
        <f>CH114/CH116</f>
        <v>1.0161590545164882</v>
      </c>
      <c r="CI117" s="1437">
        <f>CI114/CI116</f>
        <v>1.0137517175086364</v>
      </c>
      <c r="CJ117" s="162">
        <f>CJ114/CJ116</f>
        <v>1.0149818823275976</v>
      </c>
      <c r="CK117" s="168">
        <f>CJ117</f>
        <v>1.0149818823275976</v>
      </c>
      <c r="CL117" s="168">
        <f>CK117</f>
        <v>1.0149818823275976</v>
      </c>
      <c r="CM117" s="168">
        <f>CL117</f>
        <v>1.0149818823275976</v>
      </c>
      <c r="CN117" s="1018">
        <f>CN114/CN116</f>
        <v>1.0149818823275976</v>
      </c>
      <c r="CO117" s="168">
        <f>CM117</f>
        <v>1.0149818823275976</v>
      </c>
      <c r="CP117" s="168">
        <f>CO117</f>
        <v>1.0149818823275976</v>
      </c>
      <c r="CQ117" s="168">
        <f>CP117</f>
        <v>1.0149818823275976</v>
      </c>
      <c r="CR117" s="168">
        <f>CQ117</f>
        <v>1.0149818823275976</v>
      </c>
      <c r="CS117" s="1018">
        <f>CS114/CS116</f>
        <v>1.0149818823275973</v>
      </c>
      <c r="CT117" s="168">
        <f>CR117</f>
        <v>1.0149818823275976</v>
      </c>
      <c r="CU117" s="168">
        <f>CT117</f>
        <v>1.0149818823275976</v>
      </c>
      <c r="CV117" s="168">
        <f>CU117</f>
        <v>1.0149818823275976</v>
      </c>
      <c r="CW117" s="168">
        <f>CV117</f>
        <v>1.0149818823275976</v>
      </c>
      <c r="CX117" s="1018">
        <f>CX114/CX116</f>
        <v>1.0149818823275976</v>
      </c>
      <c r="DA117" s="368"/>
      <c r="DB117" s="367"/>
      <c r="DC117" s="367"/>
    </row>
    <row r="118" spans="1:107" ht="12" hidden="1" customHeight="1" outlineLevel="1">
      <c r="A118" s="144" t="s">
        <v>644</v>
      </c>
      <c r="B118" s="214"/>
      <c r="C118" s="369">
        <f>295.764*2</f>
        <v>591.52800000000002</v>
      </c>
      <c r="D118" s="370">
        <f>295.764*2</f>
        <v>591.52800000000002</v>
      </c>
      <c r="E118" s="370">
        <f>295.764*2</f>
        <v>591.52800000000002</v>
      </c>
      <c r="F118" s="371">
        <f>295.764*2</f>
        <v>591.52800000000002</v>
      </c>
      <c r="G118" s="372">
        <f>F118</f>
        <v>591.52800000000002</v>
      </c>
      <c r="H118" s="370">
        <f>295.764*2</f>
        <v>591.52800000000002</v>
      </c>
      <c r="I118" s="370">
        <f>295.764*2</f>
        <v>591.52800000000002</v>
      </c>
      <c r="J118" s="370">
        <f>295.764*2</f>
        <v>591.52800000000002</v>
      </c>
      <c r="K118" s="371">
        <f>295.764*2</f>
        <v>591.52800000000002</v>
      </c>
      <c r="L118" s="373">
        <f>K118</f>
        <v>591.52800000000002</v>
      </c>
      <c r="M118" s="370">
        <f>295.764*2</f>
        <v>591.52800000000002</v>
      </c>
      <c r="N118" s="370">
        <f>295.764*2</f>
        <v>591.52800000000002</v>
      </c>
      <c r="O118" s="370">
        <f>295.764*2</f>
        <v>591.52800000000002</v>
      </c>
      <c r="P118" s="371">
        <f>295.764*2</f>
        <v>591.52800000000002</v>
      </c>
      <c r="Q118" s="372">
        <f>P118</f>
        <v>591.52800000000002</v>
      </c>
      <c r="R118" s="370">
        <f>295.764*2</f>
        <v>591.52800000000002</v>
      </c>
      <c r="S118" s="370">
        <f>295.764*2</f>
        <v>591.52800000000002</v>
      </c>
      <c r="T118" s="370">
        <f>295.764*2</f>
        <v>591.52800000000002</v>
      </c>
      <c r="U118" s="371">
        <f>295.764*2</f>
        <v>591.52800000000002</v>
      </c>
      <c r="V118" s="372">
        <f>U118</f>
        <v>591.52800000000002</v>
      </c>
      <c r="W118" s="370">
        <f>244.497573*2</f>
        <v>488.99514599999998</v>
      </c>
      <c r="X118" s="370">
        <v>491.58957099999998</v>
      </c>
      <c r="Y118" s="370">
        <v>494.12757399999998</v>
      </c>
      <c r="Z118" s="371">
        <f>591.528-102.799</f>
        <v>488.72900000000004</v>
      </c>
      <c r="AA118" s="372">
        <f>Z118</f>
        <v>488.72900000000004</v>
      </c>
      <c r="AB118" s="374">
        <v>598.71912699999996</v>
      </c>
      <c r="AC118" s="374">
        <v>579.17908899999998</v>
      </c>
      <c r="AD118" s="374">
        <v>583.34384</v>
      </c>
      <c r="AE118" s="373">
        <f>(AE116*2)-AD118</f>
        <v>586.25216</v>
      </c>
      <c r="AF118" s="372">
        <f>AE118</f>
        <v>586.25216</v>
      </c>
      <c r="AG118" s="374">
        <f>(AG116*2)-AE118</f>
        <v>589.6858400000001</v>
      </c>
      <c r="AH118" s="374">
        <f>(AH116*2)-AG118</f>
        <v>586.17215999999985</v>
      </c>
      <c r="AI118" s="374">
        <f>(AI116*2)-AH118</f>
        <v>581.16784000000007</v>
      </c>
      <c r="AJ118" s="373">
        <f>(AJ116*2)-AI118</f>
        <v>568.26415999999995</v>
      </c>
      <c r="AK118" s="372">
        <f>AJ118</f>
        <v>568.26415999999995</v>
      </c>
      <c r="AL118" s="374">
        <v>531.82304199999999</v>
      </c>
      <c r="AM118" s="374">
        <v>530.45418600000005</v>
      </c>
      <c r="AN118" s="374">
        <v>530.95608500000003</v>
      </c>
      <c r="AO118" s="373">
        <v>524.03562599999998</v>
      </c>
      <c r="AP118" s="372">
        <f>AO118</f>
        <v>524.03562599999998</v>
      </c>
      <c r="AQ118" s="374">
        <v>524.09500000000003</v>
      </c>
      <c r="AR118" s="374">
        <v>524.53</v>
      </c>
      <c r="AS118" s="374">
        <v>524.66499999999996</v>
      </c>
      <c r="AT118" s="374">
        <f>600.834-78.177</f>
        <v>522.65699999999993</v>
      </c>
      <c r="AU118" s="372">
        <f>AT118</f>
        <v>522.65699999999993</v>
      </c>
      <c r="AV118" s="374">
        <f>600.834-75.052</f>
        <v>525.78199999999993</v>
      </c>
      <c r="AW118" s="1244">
        <v>525.06799999999998</v>
      </c>
      <c r="AX118" s="1244">
        <v>513.05700000000002</v>
      </c>
      <c r="AY118" s="374">
        <v>510</v>
      </c>
      <c r="AZ118" s="372">
        <f>AY118</f>
        <v>510</v>
      </c>
      <c r="BA118" s="374">
        <f>600.834-95.847</f>
        <v>504.98699999999997</v>
      </c>
      <c r="BB118" s="374">
        <f>601-107.071</f>
        <v>493.92899999999997</v>
      </c>
      <c r="BC118" s="1244">
        <v>495</v>
      </c>
      <c r="BD118" s="374">
        <f>600.834-109.294</f>
        <v>491.53999999999996</v>
      </c>
      <c r="BE118" s="372">
        <f>BD118</f>
        <v>491.53999999999996</v>
      </c>
      <c r="BF118" s="374">
        <v>499.4</v>
      </c>
      <c r="BG118" s="374">
        <v>496.5</v>
      </c>
      <c r="BH118" s="374">
        <v>496</v>
      </c>
      <c r="BI118" s="374">
        <v>498.791</v>
      </c>
      <c r="BJ118" s="372">
        <f>BI118</f>
        <v>498.791</v>
      </c>
      <c r="BK118" s="374">
        <v>501.04500000000002</v>
      </c>
      <c r="BL118" s="374">
        <v>503.05200000000002</v>
      </c>
      <c r="BM118" s="382">
        <v>501.80599999999998</v>
      </c>
      <c r="BN118" s="382">
        <v>496.26100000000002</v>
      </c>
      <c r="BO118" s="1460">
        <f>BN118</f>
        <v>496.26100000000002</v>
      </c>
      <c r="BP118" s="374">
        <v>498.50099999999998</v>
      </c>
      <c r="BQ118" s="374">
        <v>497.24700000000001</v>
      </c>
      <c r="BR118" s="382">
        <v>498.59899999999999</v>
      </c>
      <c r="BS118" s="382">
        <v>499.10740599999997</v>
      </c>
      <c r="BT118" s="1460">
        <f>BS118</f>
        <v>499.10740599999997</v>
      </c>
      <c r="BU118" s="374">
        <v>500.048</v>
      </c>
      <c r="BV118" s="374">
        <v>498.27600000000001</v>
      </c>
      <c r="BW118" s="382">
        <v>498.70499999999998</v>
      </c>
      <c r="BX118" s="382">
        <v>497.80900000000003</v>
      </c>
      <c r="BY118" s="1460">
        <f>BX118</f>
        <v>497.80900000000003</v>
      </c>
      <c r="BZ118" s="374">
        <v>500.69299999999998</v>
      </c>
      <c r="CA118" s="374">
        <v>498.97199999999998</v>
      </c>
      <c r="CB118" s="374">
        <v>497.02499999999998</v>
      </c>
      <c r="CC118" s="374">
        <v>494.07847500000003</v>
      </c>
      <c r="CD118" s="1460">
        <f>CC118</f>
        <v>494.07847500000003</v>
      </c>
      <c r="CE118" s="374">
        <v>495.13</v>
      </c>
      <c r="CF118" s="374">
        <v>493.40567499999997</v>
      </c>
      <c r="CG118" s="374">
        <v>492.94301400000001</v>
      </c>
      <c r="CH118" s="374">
        <v>491.262</v>
      </c>
      <c r="CI118" s="1460">
        <f>CH118</f>
        <v>491.262</v>
      </c>
      <c r="CJ118" s="374">
        <f>BS!CJ63</f>
        <v>490.77073799999999</v>
      </c>
      <c r="CK118" s="375">
        <f>BS!CK63</f>
        <v>490.27996726200001</v>
      </c>
      <c r="CL118" s="375">
        <f>BS!CL63</f>
        <v>489.78968729473803</v>
      </c>
      <c r="CM118" s="375">
        <f>BS!CM63</f>
        <v>489.29989760744331</v>
      </c>
      <c r="CN118" s="1077">
        <f>CM118</f>
        <v>489.29989760744331</v>
      </c>
      <c r="CO118" s="375">
        <f>BS!CO63</f>
        <v>488.81059770983586</v>
      </c>
      <c r="CP118" s="375">
        <f>BS!CP63</f>
        <v>488.321787112126</v>
      </c>
      <c r="CQ118" s="375">
        <f>BS!CQ63</f>
        <v>487.83346532501389</v>
      </c>
      <c r="CR118" s="375">
        <f>BS!CR63</f>
        <v>487.34563185968887</v>
      </c>
      <c r="CS118" s="1077">
        <f>CR118</f>
        <v>487.34563185968887</v>
      </c>
      <c r="CT118" s="375">
        <f>BS!CT63</f>
        <v>486.85828622782918</v>
      </c>
      <c r="CU118" s="375">
        <f>BS!CU63</f>
        <v>486.37142794160133</v>
      </c>
      <c r="CV118" s="375">
        <f>BS!CV63</f>
        <v>485.88505651365972</v>
      </c>
      <c r="CW118" s="375">
        <f>BS!CW63</f>
        <v>485.39917145714605</v>
      </c>
      <c r="CX118" s="1077">
        <f>CW118</f>
        <v>485.39917145714605</v>
      </c>
      <c r="DA118" s="174"/>
      <c r="DB118" s="173"/>
      <c r="DC118" s="173"/>
    </row>
    <row r="119" spans="1:107" ht="12" hidden="1" customHeight="1" outlineLevel="1">
      <c r="A119" s="377" t="s">
        <v>646</v>
      </c>
      <c r="B119" s="378"/>
      <c r="C119" s="235"/>
      <c r="D119" s="164"/>
      <c r="E119" s="164"/>
      <c r="F119" s="236"/>
      <c r="G119" s="237"/>
      <c r="H119" s="164"/>
      <c r="I119" s="164"/>
      <c r="J119" s="164"/>
      <c r="K119" s="236"/>
      <c r="L119" s="236"/>
      <c r="M119" s="164">
        <f t="shared" ref="M119:BA119" si="288">M118/H118-1</f>
        <v>0</v>
      </c>
      <c r="N119" s="164">
        <f t="shared" si="288"/>
        <v>0</v>
      </c>
      <c r="O119" s="164">
        <f t="shared" si="288"/>
        <v>0</v>
      </c>
      <c r="P119" s="236">
        <f t="shared" si="288"/>
        <v>0</v>
      </c>
      <c r="Q119" s="237">
        <f t="shared" si="288"/>
        <v>0</v>
      </c>
      <c r="R119" s="164">
        <f t="shared" si="288"/>
        <v>0</v>
      </c>
      <c r="S119" s="164">
        <f t="shared" si="288"/>
        <v>0</v>
      </c>
      <c r="T119" s="164">
        <f t="shared" si="288"/>
        <v>0</v>
      </c>
      <c r="U119" s="236">
        <f t="shared" si="288"/>
        <v>0</v>
      </c>
      <c r="V119" s="237">
        <f t="shared" si="288"/>
        <v>0</v>
      </c>
      <c r="W119" s="164">
        <f t="shared" si="288"/>
        <v>-0.17333558850975783</v>
      </c>
      <c r="X119" s="164">
        <f t="shared" si="288"/>
        <v>-0.16894961692430455</v>
      </c>
      <c r="Y119" s="164">
        <f t="shared" si="288"/>
        <v>-0.16465902882027572</v>
      </c>
      <c r="Z119" s="236">
        <f t="shared" si="288"/>
        <v>-0.17378551818341648</v>
      </c>
      <c r="AA119" s="237">
        <f t="shared" si="288"/>
        <v>-0.17378551818341648</v>
      </c>
      <c r="AB119" s="164">
        <f t="shared" si="288"/>
        <v>0.22438664657010721</v>
      </c>
      <c r="AC119" s="164">
        <f t="shared" si="288"/>
        <v>0.17817611106318609</v>
      </c>
      <c r="AD119" s="164">
        <f t="shared" si="288"/>
        <v>0.18055310145472681</v>
      </c>
      <c r="AE119" s="236">
        <f t="shared" si="288"/>
        <v>0.19954445101477503</v>
      </c>
      <c r="AF119" s="237">
        <f t="shared" si="288"/>
        <v>0.19954445101477503</v>
      </c>
      <c r="AG119" s="164">
        <f t="shared" si="288"/>
        <v>-1.508768735226973E-2</v>
      </c>
      <c r="AH119" s="164">
        <f t="shared" si="288"/>
        <v>1.2074108221127311E-2</v>
      </c>
      <c r="AI119" s="164">
        <f t="shared" si="288"/>
        <v>-3.7302185277210409E-3</v>
      </c>
      <c r="AJ119" s="236">
        <f t="shared" si="288"/>
        <v>-3.0683042600644805E-2</v>
      </c>
      <c r="AK119" s="237">
        <f t="shared" si="288"/>
        <v>-3.0683042600644805E-2</v>
      </c>
      <c r="AL119" s="164">
        <f t="shared" si="288"/>
        <v>-9.8124787937930003E-2</v>
      </c>
      <c r="AM119" s="164">
        <f t="shared" si="288"/>
        <v>-9.505394114930299E-2</v>
      </c>
      <c r="AN119" s="164">
        <f t="shared" si="288"/>
        <v>-8.6398027461395688E-2</v>
      </c>
      <c r="AO119" s="236">
        <f t="shared" si="288"/>
        <v>-7.7830940455579589E-2</v>
      </c>
      <c r="AP119" s="237">
        <f t="shared" si="288"/>
        <v>-7.7830940455579589E-2</v>
      </c>
      <c r="AQ119" s="164">
        <f t="shared" si="288"/>
        <v>-1.4531228227602777E-2</v>
      </c>
      <c r="AR119" s="164">
        <f t="shared" si="288"/>
        <v>-1.1168138844699582E-2</v>
      </c>
      <c r="AS119" s="164">
        <f t="shared" si="288"/>
        <v>-1.1848597610478628E-2</v>
      </c>
      <c r="AT119" s="236">
        <f t="shared" si="288"/>
        <v>-2.6307867854771239E-3</v>
      </c>
      <c r="AU119" s="237">
        <f t="shared" si="288"/>
        <v>-2.6307867854771239E-3</v>
      </c>
      <c r="AV119" s="164">
        <f t="shared" si="288"/>
        <v>3.2188820729064371E-3</v>
      </c>
      <c r="AW119" s="164">
        <f t="shared" si="288"/>
        <v>1.025680132690221E-3</v>
      </c>
      <c r="AX119" s="164">
        <f t="shared" si="288"/>
        <v>-2.2124593788417246E-2</v>
      </c>
      <c r="AY119" s="236">
        <f t="shared" si="288"/>
        <v>-2.4216646864004376E-2</v>
      </c>
      <c r="AZ119" s="237">
        <f t="shared" si="288"/>
        <v>-2.4216646864004376E-2</v>
      </c>
      <c r="BA119" s="164">
        <f t="shared" si="288"/>
        <v>-3.9550612230924487E-2</v>
      </c>
      <c r="BB119" s="164">
        <f t="shared" ref="BB119:BJ119" si="289">BB118/AW118-1</f>
        <v>-5.9304699581768427E-2</v>
      </c>
      <c r="BC119" s="164">
        <f t="shared" si="289"/>
        <v>-3.5194919862705398E-2</v>
      </c>
      <c r="BD119" s="236">
        <f t="shared" si="289"/>
        <v>-3.6196078431372625E-2</v>
      </c>
      <c r="BE119" s="237">
        <f t="shared" si="289"/>
        <v>-3.6196078431372625E-2</v>
      </c>
      <c r="BF119" s="164">
        <f>BF118/BA118-1</f>
        <v>-1.1063651143494724E-2</v>
      </c>
      <c r="BG119" s="164">
        <f>BG118/BB118-1</f>
        <v>5.2052015573089694E-3</v>
      </c>
      <c r="BH119" s="164">
        <f>BH118/BC118-1</f>
        <v>2.0202020202020332E-3</v>
      </c>
      <c r="BI119" s="164">
        <f>BI118/BD118-1</f>
        <v>1.4751597021605667E-2</v>
      </c>
      <c r="BJ119" s="237">
        <f t="shared" si="289"/>
        <v>1.4751597021605667E-2</v>
      </c>
      <c r="BK119" s="164">
        <f t="shared" ref="BK119:BT119" si="290">BK118/BF118-1</f>
        <v>3.2939527432920279E-3</v>
      </c>
      <c r="BL119" s="164">
        <f t="shared" si="290"/>
        <v>1.3196374622356455E-2</v>
      </c>
      <c r="BM119" s="164">
        <f t="shared" si="290"/>
        <v>1.1705645161290246E-2</v>
      </c>
      <c r="BN119" s="236">
        <f t="shared" si="290"/>
        <v>-5.0722647361318707E-3</v>
      </c>
      <c r="BO119" s="1429">
        <f t="shared" si="290"/>
        <v>-5.0722647361318707E-3</v>
      </c>
      <c r="BP119" s="164">
        <f t="shared" si="290"/>
        <v>-5.0773882585397612E-3</v>
      </c>
      <c r="BQ119" s="164">
        <f t="shared" si="290"/>
        <v>-1.1539562510436308E-2</v>
      </c>
      <c r="BR119" s="164">
        <f t="shared" si="290"/>
        <v>-6.3909160113668761E-3</v>
      </c>
      <c r="BS119" s="236">
        <f t="shared" si="290"/>
        <v>5.7357035914566978E-3</v>
      </c>
      <c r="BT119" s="1429">
        <f t="shared" si="290"/>
        <v>5.7357035914566978E-3</v>
      </c>
      <c r="BU119" s="164">
        <f t="shared" ref="BU119:CN119" si="291">BU118/BP118-1</f>
        <v>3.1033037045060663E-3</v>
      </c>
      <c r="BV119" s="164">
        <f t="shared" si="291"/>
        <v>2.0693940838254488E-3</v>
      </c>
      <c r="BW119" s="164">
        <f t="shared" si="291"/>
        <v>2.125956931322559E-4</v>
      </c>
      <c r="BX119" s="236">
        <f t="shared" si="291"/>
        <v>-2.6014560881910676E-3</v>
      </c>
      <c r="BY119" s="1429">
        <f t="shared" si="291"/>
        <v>-2.6014560881910676E-3</v>
      </c>
      <c r="BZ119" s="164">
        <f t="shared" si="291"/>
        <v>1.2898761718873608E-3</v>
      </c>
      <c r="CA119" s="164">
        <f t="shared" si="291"/>
        <v>1.3968162223345626E-3</v>
      </c>
      <c r="CB119" s="164">
        <f t="shared" si="291"/>
        <v>-3.3687249977442102E-3</v>
      </c>
      <c r="CC119" s="164">
        <f t="shared" si="291"/>
        <v>-7.4938882181719846E-3</v>
      </c>
      <c r="CD119" s="1429">
        <f t="shared" si="291"/>
        <v>-7.4938882181719846E-3</v>
      </c>
      <c r="CE119" s="164">
        <f t="shared" si="291"/>
        <v>-1.1110600707419538E-2</v>
      </c>
      <c r="CF119" s="164">
        <f t="shared" si="291"/>
        <v>-1.1155585884578656E-2</v>
      </c>
      <c r="CG119" s="164">
        <f t="shared" si="291"/>
        <v>-8.2128383884110256E-3</v>
      </c>
      <c r="CH119" s="164">
        <f t="shared" si="291"/>
        <v>-5.7004608427841941E-3</v>
      </c>
      <c r="CI119" s="1429">
        <f t="shared" si="291"/>
        <v>-5.7004608427841941E-3</v>
      </c>
      <c r="CJ119" s="164">
        <f t="shared" si="291"/>
        <v>-8.8042776644517984E-3</v>
      </c>
      <c r="CK119" s="164">
        <f t="shared" si="291"/>
        <v>-6.3349651136460627E-3</v>
      </c>
      <c r="CL119" s="164">
        <f t="shared" si="291"/>
        <v>-6.3969396374526921E-3</v>
      </c>
      <c r="CM119" s="164">
        <f t="shared" si="291"/>
        <v>-3.994003998999851E-3</v>
      </c>
      <c r="CN119" s="1020">
        <f t="shared" si="291"/>
        <v>-3.994003998999851E-3</v>
      </c>
      <c r="CO119" s="164">
        <f t="shared" ref="CO119:CX119" si="292">CO118/CJ118-1</f>
        <v>-3.994003998999851E-3</v>
      </c>
      <c r="CP119" s="164">
        <f t="shared" si="292"/>
        <v>-3.9940039989999621E-3</v>
      </c>
      <c r="CQ119" s="164">
        <f t="shared" si="292"/>
        <v>-3.9940039989999621E-3</v>
      </c>
      <c r="CR119" s="164">
        <f t="shared" si="292"/>
        <v>-3.9940039990000731E-3</v>
      </c>
      <c r="CS119" s="1020">
        <f t="shared" si="292"/>
        <v>-3.9940039990000731E-3</v>
      </c>
      <c r="CT119" s="164">
        <f t="shared" si="292"/>
        <v>-3.9940039990000731E-3</v>
      </c>
      <c r="CU119" s="164">
        <f t="shared" si="292"/>
        <v>-3.9940039990000731E-3</v>
      </c>
      <c r="CV119" s="164">
        <f t="shared" si="292"/>
        <v>-3.9940039990000731E-3</v>
      </c>
      <c r="CW119" s="164">
        <f t="shared" si="292"/>
        <v>-3.9940039990000731E-3</v>
      </c>
      <c r="CX119" s="1020">
        <f t="shared" si="292"/>
        <v>-3.9940039990000731E-3</v>
      </c>
      <c r="DA119" s="174"/>
      <c r="DB119" s="173"/>
      <c r="DC119" s="173"/>
    </row>
    <row r="120" spans="1:107" ht="5.25" hidden="1" customHeight="1" outlineLevel="1">
      <c r="A120" s="377"/>
      <c r="B120" s="378"/>
      <c r="C120" s="379"/>
      <c r="D120" s="374"/>
      <c r="E120" s="374"/>
      <c r="F120" s="373"/>
      <c r="G120" s="372"/>
      <c r="H120" s="374"/>
      <c r="I120" s="374"/>
      <c r="J120" s="374"/>
      <c r="K120" s="373"/>
      <c r="L120" s="373"/>
      <c r="M120" s="374"/>
      <c r="N120" s="374"/>
      <c r="O120" s="374"/>
      <c r="P120" s="373"/>
      <c r="Q120" s="372"/>
      <c r="R120" s="374"/>
      <c r="S120" s="374"/>
      <c r="T120" s="374"/>
      <c r="U120" s="373"/>
      <c r="V120" s="372"/>
      <c r="W120" s="374"/>
      <c r="X120" s="374"/>
      <c r="Y120" s="374"/>
      <c r="Z120" s="373"/>
      <c r="AA120" s="372"/>
      <c r="AB120" s="374"/>
      <c r="AC120" s="374"/>
      <c r="AD120" s="374"/>
      <c r="AE120" s="373"/>
      <c r="AF120" s="372"/>
      <c r="AG120" s="374"/>
      <c r="AH120" s="374"/>
      <c r="AI120" s="374"/>
      <c r="AJ120" s="373"/>
      <c r="AK120" s="372"/>
      <c r="AL120" s="374"/>
      <c r="AM120" s="374"/>
      <c r="AN120" s="374"/>
      <c r="AO120" s="373"/>
      <c r="AP120" s="372"/>
      <c r="AQ120" s="374"/>
      <c r="AR120" s="375"/>
      <c r="AS120" s="374"/>
      <c r="AT120" s="373"/>
      <c r="AU120" s="372"/>
      <c r="AV120" s="374"/>
      <c r="AW120" s="375"/>
      <c r="AX120" s="375"/>
      <c r="AY120" s="373"/>
      <c r="AZ120" s="372"/>
      <c r="BA120" s="374"/>
      <c r="BB120" s="375"/>
      <c r="BC120" s="374"/>
      <c r="BD120" s="373"/>
      <c r="BE120" s="372"/>
      <c r="BF120" s="374"/>
      <c r="BG120" s="375"/>
      <c r="BH120" s="375"/>
      <c r="BI120" s="375"/>
      <c r="BJ120" s="372"/>
      <c r="BK120" s="374"/>
      <c r="BL120" s="375"/>
      <c r="BM120" s="375"/>
      <c r="BN120" s="373"/>
      <c r="BO120" s="1460"/>
      <c r="BP120" s="374"/>
      <c r="BQ120" s="375"/>
      <c r="BR120" s="375"/>
      <c r="BS120" s="373"/>
      <c r="BT120" s="1460"/>
      <c r="BU120" s="374"/>
      <c r="BV120" s="375"/>
      <c r="BW120" s="375"/>
      <c r="BX120" s="373"/>
      <c r="BY120" s="1460"/>
      <c r="BZ120" s="374"/>
      <c r="CA120" s="374"/>
      <c r="CB120" s="375"/>
      <c r="CC120" s="373"/>
      <c r="CD120" s="1460"/>
      <c r="CE120" s="374"/>
      <c r="CF120" s="374"/>
      <c r="CG120" s="374"/>
      <c r="CH120" s="373"/>
      <c r="CI120" s="1460"/>
      <c r="CJ120" s="374"/>
      <c r="CK120" s="375"/>
      <c r="CL120" s="375"/>
      <c r="CM120" s="376"/>
      <c r="CN120" s="1077"/>
      <c r="CO120" s="375"/>
      <c r="CP120" s="375"/>
      <c r="CQ120" s="375"/>
      <c r="CR120" s="376"/>
      <c r="CS120" s="1077"/>
      <c r="CT120" s="375"/>
      <c r="CU120" s="375"/>
      <c r="CV120" s="375"/>
      <c r="CW120" s="376"/>
      <c r="CX120" s="1077"/>
      <c r="DA120" s="174"/>
      <c r="DB120" s="173"/>
      <c r="DC120" s="173"/>
    </row>
    <row r="121" spans="1:107" ht="12" hidden="1" customHeight="1" outlineLevel="1">
      <c r="A121" s="377" t="s">
        <v>609</v>
      </c>
      <c r="B121" s="378"/>
      <c r="C121" s="379"/>
      <c r="D121" s="374"/>
      <c r="E121" s="374"/>
      <c r="F121" s="373"/>
      <c r="G121" s="372"/>
      <c r="H121" s="374"/>
      <c r="I121" s="374"/>
      <c r="J121" s="374"/>
      <c r="K121" s="373"/>
      <c r="L121" s="373">
        <f>(L78*(1-L82))</f>
        <v>10.095980913476778</v>
      </c>
      <c r="M121" s="374"/>
      <c r="N121" s="374"/>
      <c r="O121" s="374"/>
      <c r="P121" s="373"/>
      <c r="Q121" s="372">
        <f>(Q78*(1-Q82))</f>
        <v>9.4188374916947328</v>
      </c>
      <c r="R121" s="374"/>
      <c r="S121" s="374"/>
      <c r="T121" s="374"/>
      <c r="U121" s="373"/>
      <c r="V121" s="372">
        <f>(V78*(1-V82))</f>
        <v>10.615326979455208</v>
      </c>
      <c r="W121" s="374"/>
      <c r="X121" s="374"/>
      <c r="Y121" s="374"/>
      <c r="Z121" s="373"/>
      <c r="AA121" s="372">
        <f>(AA78*(1-AA82))</f>
        <v>28.94422799666787</v>
      </c>
      <c r="AB121" s="374"/>
      <c r="AC121" s="374"/>
      <c r="AD121" s="374"/>
      <c r="AE121" s="373"/>
      <c r="AF121" s="372">
        <f>(AF78*(1-AF82))</f>
        <v>49.626539049429184</v>
      </c>
      <c r="AG121" s="374"/>
      <c r="AH121" s="374"/>
      <c r="AI121" s="374"/>
      <c r="AJ121" s="373"/>
      <c r="AK121" s="372">
        <f>(AK78*(1-AK82))</f>
        <v>61.657444501976592</v>
      </c>
      <c r="AL121" s="374"/>
      <c r="AM121" s="374"/>
      <c r="AN121" s="374"/>
      <c r="AO121" s="373"/>
      <c r="AP121" s="372">
        <f>(AP78*(1-AP82))</f>
        <v>33.895858693070004</v>
      </c>
      <c r="AQ121" s="374"/>
      <c r="AR121" s="375"/>
      <c r="AS121" s="374"/>
      <c r="AT121" s="373"/>
      <c r="AU121" s="372">
        <f>(AU78*(1-AU82))</f>
        <v>24.051104533835598</v>
      </c>
      <c r="AV121" s="374"/>
      <c r="AW121" s="375"/>
      <c r="AX121" s="375"/>
      <c r="AY121" s="373"/>
      <c r="AZ121" s="372">
        <f>(AZ78*(1-AZ82))</f>
        <v>9.8909599878632584</v>
      </c>
      <c r="BA121" s="374"/>
      <c r="BB121" s="375"/>
      <c r="BC121" s="375"/>
      <c r="BD121" s="373"/>
      <c r="BE121" s="372">
        <f>(BE78*(1-BE82))</f>
        <v>-1.2660489770013128</v>
      </c>
      <c r="BF121" s="374"/>
      <c r="BG121" s="375"/>
      <c r="BH121" s="375"/>
      <c r="BI121" s="375"/>
      <c r="BJ121" s="372">
        <f>(BJ78*(1-BJ82))</f>
        <v>-0.48751410020934788</v>
      </c>
      <c r="BK121" s="374"/>
      <c r="BL121" s="375"/>
      <c r="BM121" s="375"/>
      <c r="BN121" s="373"/>
      <c r="BO121" s="1460">
        <f>(BO78*(1-BO82))</f>
        <v>4.2723445885394664</v>
      </c>
      <c r="BP121" s="374"/>
      <c r="BQ121" s="375"/>
      <c r="BR121" s="375"/>
      <c r="BS121" s="373"/>
      <c r="BT121" s="1460">
        <f>(BT78*(1-BT82))</f>
        <v>5.7412671799689727</v>
      </c>
      <c r="BU121" s="374"/>
      <c r="BV121" s="375"/>
      <c r="BW121" s="375"/>
      <c r="BX121" s="373"/>
      <c r="BY121" s="1460">
        <f>(BY78*(1-BY82))</f>
        <v>9.8707165629431444</v>
      </c>
      <c r="BZ121" s="374"/>
      <c r="CA121" s="374"/>
      <c r="CB121" s="375"/>
      <c r="CC121" s="373"/>
      <c r="CD121" s="1460">
        <f>(CD78*(1-CD82))</f>
        <v>10.687855703376867</v>
      </c>
      <c r="CE121" s="374"/>
      <c r="CF121" s="374"/>
      <c r="CG121" s="374"/>
      <c r="CH121" s="373"/>
      <c r="CI121" s="1460">
        <f>(CI78*(1-CI82))</f>
        <v>28.753187406107791</v>
      </c>
      <c r="CJ121" s="374"/>
      <c r="CK121" s="375"/>
      <c r="CL121" s="375"/>
      <c r="CM121" s="376"/>
      <c r="CN121" s="1077">
        <f>(CN78*(1-CN82))</f>
        <v>57.239850649335551</v>
      </c>
      <c r="CO121" s="375"/>
      <c r="CP121" s="375"/>
      <c r="CQ121" s="375"/>
      <c r="CR121" s="376"/>
      <c r="CS121" s="1077">
        <f>(CS78*(1-CS82))</f>
        <v>30.041283310420429</v>
      </c>
      <c r="CT121" s="375"/>
      <c r="CU121" s="375"/>
      <c r="CV121" s="375"/>
      <c r="CW121" s="376"/>
      <c r="CX121" s="1077">
        <f>(CX78*(1-CX82))</f>
        <v>39.593870215211567</v>
      </c>
      <c r="DA121" s="174"/>
      <c r="DB121" s="173"/>
      <c r="DC121" s="173"/>
    </row>
    <row r="122" spans="1:107" hidden="1" outlineLevel="1">
      <c r="A122" s="135" t="s">
        <v>403</v>
      </c>
      <c r="B122" s="115"/>
      <c r="C122" s="216">
        <v>0.35</v>
      </c>
      <c r="D122" s="162">
        <v>0.35</v>
      </c>
      <c r="E122" s="162">
        <v>0.35</v>
      </c>
      <c r="F122" s="161">
        <v>0.35</v>
      </c>
      <c r="G122" s="163">
        <v>0.35</v>
      </c>
      <c r="H122" s="162">
        <v>0.35</v>
      </c>
      <c r="I122" s="162">
        <v>0.35</v>
      </c>
      <c r="J122" s="162">
        <v>0.35</v>
      </c>
      <c r="K122" s="161">
        <v>0.35</v>
      </c>
      <c r="L122" s="161">
        <v>0.35</v>
      </c>
      <c r="M122" s="162">
        <v>0.35</v>
      </c>
      <c r="N122" s="162">
        <v>0.35</v>
      </c>
      <c r="O122" s="162">
        <v>0.35</v>
      </c>
      <c r="P122" s="161">
        <v>0.35</v>
      </c>
      <c r="Q122" s="163">
        <v>0.35</v>
      </c>
      <c r="R122" s="162">
        <v>0.35</v>
      </c>
      <c r="S122" s="162">
        <v>0.35</v>
      </c>
      <c r="T122" s="162">
        <v>0.35</v>
      </c>
      <c r="U122" s="161">
        <v>0.35</v>
      </c>
      <c r="V122" s="163">
        <v>0.35</v>
      </c>
      <c r="W122" s="162">
        <v>0.35</v>
      </c>
      <c r="X122" s="162">
        <v>0.35</v>
      </c>
      <c r="Y122" s="162">
        <v>0.35</v>
      </c>
      <c r="Z122" s="161">
        <v>0.35</v>
      </c>
      <c r="AA122" s="163">
        <v>0.35</v>
      </c>
      <c r="AB122" s="162">
        <v>0.35</v>
      </c>
      <c r="AC122" s="162">
        <v>0.35</v>
      </c>
      <c r="AD122" s="162">
        <v>0.35</v>
      </c>
      <c r="AE122" s="161">
        <v>0.35</v>
      </c>
      <c r="AF122" s="163">
        <v>0.35</v>
      </c>
      <c r="AG122" s="162">
        <v>0.35</v>
      </c>
      <c r="AH122" s="162">
        <v>0.35</v>
      </c>
      <c r="AI122" s="162">
        <v>0.35</v>
      </c>
      <c r="AJ122" s="161">
        <v>0.35</v>
      </c>
      <c r="AK122" s="163">
        <v>0.35</v>
      </c>
      <c r="AL122" s="162">
        <v>0.35</v>
      </c>
      <c r="AM122" s="162">
        <v>0.35</v>
      </c>
      <c r="AN122" s="162">
        <v>0.35</v>
      </c>
      <c r="AO122" s="161">
        <v>0.35</v>
      </c>
      <c r="AP122" s="163">
        <v>0.35</v>
      </c>
      <c r="AQ122" s="162">
        <v>0.35</v>
      </c>
      <c r="AR122" s="162">
        <v>0.35</v>
      </c>
      <c r="AS122" s="162">
        <v>0.35</v>
      </c>
      <c r="AT122" s="161">
        <v>0.35</v>
      </c>
      <c r="AU122" s="163">
        <v>0.35</v>
      </c>
      <c r="AV122" s="162">
        <v>0.35</v>
      </c>
      <c r="AW122" s="162">
        <v>0.35</v>
      </c>
      <c r="AX122" s="162">
        <v>0.35</v>
      </c>
      <c r="AY122" s="161">
        <v>0.35</v>
      </c>
      <c r="AZ122" s="163">
        <v>0.35</v>
      </c>
      <c r="BA122" s="162">
        <v>0.35</v>
      </c>
      <c r="BB122" s="162">
        <v>0.35</v>
      </c>
      <c r="BC122" s="162">
        <v>0.35</v>
      </c>
      <c r="BD122" s="161">
        <v>0.35</v>
      </c>
      <c r="BE122" s="163">
        <v>0.35</v>
      </c>
      <c r="BF122" s="162">
        <v>0.35</v>
      </c>
      <c r="BG122" s="162">
        <v>0.35</v>
      </c>
      <c r="BH122" s="162">
        <v>0.35</v>
      </c>
      <c r="BI122" s="162">
        <v>0.35</v>
      </c>
      <c r="BJ122" s="163">
        <v>0.35</v>
      </c>
      <c r="BK122" s="162">
        <v>0.35</v>
      </c>
      <c r="BL122" s="162">
        <v>0.35</v>
      </c>
      <c r="BM122" s="162">
        <v>0.35</v>
      </c>
      <c r="BN122" s="161">
        <v>0.35</v>
      </c>
      <c r="BO122" s="1437">
        <v>0.35</v>
      </c>
      <c r="BP122" s="162">
        <v>0.35</v>
      </c>
      <c r="BQ122" s="162">
        <v>0.35</v>
      </c>
      <c r="BR122" s="162">
        <v>0.35</v>
      </c>
      <c r="BS122" s="161">
        <v>0.35</v>
      </c>
      <c r="BT122" s="1437">
        <v>0.35</v>
      </c>
      <c r="BU122" s="162">
        <v>0.35</v>
      </c>
      <c r="BV122" s="162">
        <v>0.35</v>
      </c>
      <c r="BW122" s="162">
        <v>0.35</v>
      </c>
      <c r="BX122" s="161">
        <v>0.35</v>
      </c>
      <c r="BY122" s="1437">
        <v>0.35</v>
      </c>
      <c r="BZ122" s="162">
        <v>0.35</v>
      </c>
      <c r="CA122" s="162">
        <v>0.35</v>
      </c>
      <c r="CB122" s="162">
        <v>0.35</v>
      </c>
      <c r="CC122" s="162">
        <v>0.35</v>
      </c>
      <c r="CD122" s="1437">
        <v>0.35</v>
      </c>
      <c r="CE122" s="162">
        <v>0.35</v>
      </c>
      <c r="CF122" s="162">
        <v>0.35</v>
      </c>
      <c r="CG122" s="162">
        <v>0.35</v>
      </c>
      <c r="CH122" s="162">
        <v>0.35</v>
      </c>
      <c r="CI122" s="1437">
        <v>0.35</v>
      </c>
      <c r="CJ122" s="162">
        <v>0.21</v>
      </c>
      <c r="CK122" s="168">
        <f>CJ122</f>
        <v>0.21</v>
      </c>
      <c r="CL122" s="168">
        <f>CK122</f>
        <v>0.21</v>
      </c>
      <c r="CM122" s="169">
        <f>CL122</f>
        <v>0.21</v>
      </c>
      <c r="CN122" s="1018">
        <f>AVERAGE(CJ122:CM122)</f>
        <v>0.21</v>
      </c>
      <c r="CO122" s="168">
        <v>0.21</v>
      </c>
      <c r="CP122" s="168">
        <f>CO122</f>
        <v>0.21</v>
      </c>
      <c r="CQ122" s="168">
        <f>CP122</f>
        <v>0.21</v>
      </c>
      <c r="CR122" s="169">
        <f>CQ122</f>
        <v>0.21</v>
      </c>
      <c r="CS122" s="1018">
        <f>AVERAGE(CO122:CR122)</f>
        <v>0.21</v>
      </c>
      <c r="CT122" s="168">
        <v>0.21</v>
      </c>
      <c r="CU122" s="168">
        <f>CT122</f>
        <v>0.21</v>
      </c>
      <c r="CV122" s="168">
        <f>CU122</f>
        <v>0.21</v>
      </c>
      <c r="CW122" s="169">
        <f>CV122</f>
        <v>0.21</v>
      </c>
      <c r="CX122" s="1018">
        <f>AVERAGE(CT122:CW122)</f>
        <v>0.21</v>
      </c>
      <c r="DA122" s="368"/>
      <c r="DB122" s="367"/>
      <c r="DC122" s="367"/>
    </row>
    <row r="123" spans="1:107" ht="8.25" customHeight="1" collapsed="1">
      <c r="A123" s="114"/>
      <c r="B123" s="293"/>
      <c r="C123" s="116"/>
      <c r="D123" s="117"/>
      <c r="E123" s="117"/>
      <c r="F123" s="118"/>
      <c r="G123" s="119"/>
      <c r="H123" s="117"/>
      <c r="I123" s="117"/>
      <c r="J123" s="117"/>
      <c r="K123" s="118"/>
      <c r="L123" s="118"/>
      <c r="M123" s="117"/>
      <c r="N123" s="117"/>
      <c r="O123" s="117"/>
      <c r="P123" s="118"/>
      <c r="Q123" s="119"/>
      <c r="R123" s="117"/>
      <c r="S123" s="117"/>
      <c r="T123" s="117"/>
      <c r="U123" s="118"/>
      <c r="V123" s="119"/>
      <c r="W123" s="117"/>
      <c r="X123" s="117"/>
      <c r="Y123" s="117"/>
      <c r="Z123" s="118"/>
      <c r="AA123" s="120"/>
      <c r="AB123" s="121"/>
      <c r="AC123" s="121"/>
      <c r="AD123" s="121"/>
      <c r="AE123" s="122"/>
      <c r="AF123" s="120"/>
      <c r="AG123" s="121"/>
      <c r="AH123" s="121"/>
      <c r="AI123" s="121"/>
      <c r="AJ123" s="122"/>
      <c r="AK123" s="120"/>
      <c r="AL123" s="121"/>
      <c r="AM123" s="121"/>
      <c r="AN123" s="121"/>
      <c r="AO123" s="122"/>
      <c r="AP123" s="120"/>
      <c r="AQ123" s="121"/>
      <c r="AR123" s="123"/>
      <c r="AS123" s="121"/>
      <c r="AT123" s="122"/>
      <c r="AU123" s="120"/>
      <c r="AV123" s="121"/>
      <c r="AW123" s="123"/>
      <c r="AX123" s="123"/>
      <c r="AY123" s="122"/>
      <c r="AZ123" s="120"/>
      <c r="BA123" s="121"/>
      <c r="BB123" s="123"/>
      <c r="BC123" s="123"/>
      <c r="BD123" s="122"/>
      <c r="BE123" s="120"/>
      <c r="BF123" s="121"/>
      <c r="BG123" s="123"/>
      <c r="BH123" s="123"/>
      <c r="BI123" s="123"/>
      <c r="BJ123" s="120"/>
      <c r="BK123" s="121"/>
      <c r="BL123" s="123"/>
      <c r="BM123" s="123"/>
      <c r="BN123" s="122"/>
      <c r="BO123" s="1441"/>
      <c r="BP123" s="121"/>
      <c r="BQ123" s="123"/>
      <c r="BR123" s="123"/>
      <c r="BS123" s="122"/>
      <c r="BT123" s="1441"/>
      <c r="BU123" s="121"/>
      <c r="BV123" s="123"/>
      <c r="BW123" s="123"/>
      <c r="BX123" s="122"/>
      <c r="BY123" s="949"/>
      <c r="BZ123" s="123"/>
      <c r="CA123" s="123"/>
      <c r="CB123" s="123"/>
      <c r="CC123" s="122"/>
      <c r="CD123" s="1441"/>
      <c r="CE123" s="121"/>
      <c r="CF123" s="121"/>
      <c r="CG123" s="121"/>
      <c r="CH123" s="122"/>
      <c r="CI123" s="1441"/>
      <c r="CJ123" s="121"/>
      <c r="CK123" s="123"/>
      <c r="CL123" s="123"/>
      <c r="CM123" s="124"/>
      <c r="CN123" s="949"/>
      <c r="CO123" s="123"/>
      <c r="CP123" s="123"/>
      <c r="CQ123" s="123"/>
      <c r="CR123" s="124"/>
      <c r="CS123" s="949"/>
      <c r="CT123" s="123"/>
      <c r="CU123" s="123"/>
      <c r="CV123" s="123"/>
      <c r="CW123" s="124"/>
      <c r="CX123" s="949"/>
      <c r="DA123" s="126"/>
      <c r="DB123" s="117"/>
      <c r="DC123" s="117"/>
    </row>
    <row r="124" spans="1:107">
      <c r="A124" s="234" t="s">
        <v>539</v>
      </c>
      <c r="B124" s="272"/>
      <c r="C124" s="205"/>
      <c r="D124" s="206"/>
      <c r="E124" s="206"/>
      <c r="F124" s="207"/>
      <c r="G124" s="208"/>
      <c r="H124" s="206"/>
      <c r="I124" s="206"/>
      <c r="J124" s="206"/>
      <c r="K124" s="207"/>
      <c r="L124" s="207"/>
      <c r="M124" s="206"/>
      <c r="N124" s="206"/>
      <c r="O124" s="206"/>
      <c r="P124" s="207"/>
      <c r="Q124" s="388"/>
      <c r="R124" s="206"/>
      <c r="S124" s="206"/>
      <c r="T124" s="206"/>
      <c r="U124" s="207"/>
      <c r="V124" s="208"/>
      <c r="W124" s="206"/>
      <c r="X124" s="206"/>
      <c r="Y124" s="206"/>
      <c r="Z124" s="207"/>
      <c r="AA124" s="208"/>
      <c r="AB124" s="206"/>
      <c r="AC124" s="206"/>
      <c r="AD124" s="206"/>
      <c r="AE124" s="207"/>
      <c r="AF124" s="208"/>
      <c r="AG124" s="206"/>
      <c r="AH124" s="206"/>
      <c r="AI124" s="206"/>
      <c r="AJ124" s="207"/>
      <c r="AK124" s="208"/>
      <c r="AL124" s="206"/>
      <c r="AM124" s="206"/>
      <c r="AN124" s="206"/>
      <c r="AO124" s="207"/>
      <c r="AP124" s="208"/>
      <c r="AQ124" s="206"/>
      <c r="AR124" s="212"/>
      <c r="AS124" s="206"/>
      <c r="AT124" s="207"/>
      <c r="AU124" s="208"/>
      <c r="AV124" s="206"/>
      <c r="AW124" s="212"/>
      <c r="AX124" s="212"/>
      <c r="AY124" s="207"/>
      <c r="AZ124" s="208"/>
      <c r="BA124" s="206"/>
      <c r="BB124" s="212"/>
      <c r="BC124" s="212"/>
      <c r="BD124" s="207"/>
      <c r="BE124" s="208"/>
      <c r="BF124" s="206"/>
      <c r="BG124" s="212"/>
      <c r="BH124" s="212"/>
      <c r="BI124" s="212"/>
      <c r="BJ124" s="208"/>
      <c r="BK124" s="206"/>
      <c r="BL124" s="212"/>
      <c r="BM124" s="212"/>
      <c r="BN124" s="207"/>
      <c r="BO124" s="1442"/>
      <c r="BP124" s="206"/>
      <c r="BQ124" s="212"/>
      <c r="BR124" s="212"/>
      <c r="BS124" s="207"/>
      <c r="BT124" s="1442"/>
      <c r="BU124" s="206"/>
      <c r="BV124" s="212"/>
      <c r="BW124" s="212"/>
      <c r="BX124" s="207"/>
      <c r="BY124" s="213"/>
      <c r="BZ124" s="212"/>
      <c r="CA124" s="212"/>
      <c r="CB124" s="212"/>
      <c r="CC124" s="207"/>
      <c r="CD124" s="207"/>
      <c r="CE124" s="206"/>
      <c r="CF124" s="47"/>
      <c r="CG124" s="206"/>
      <c r="CH124" s="207"/>
      <c r="CI124" s="1442"/>
      <c r="CJ124" s="206"/>
      <c r="CK124" s="212"/>
      <c r="CL124" s="212"/>
      <c r="CM124" s="213"/>
      <c r="CN124" s="213"/>
      <c r="CO124" s="212"/>
      <c r="CP124" s="212"/>
      <c r="CQ124" s="212"/>
      <c r="CR124" s="213"/>
      <c r="CS124" s="213"/>
      <c r="CT124" s="212"/>
      <c r="CU124" s="212"/>
      <c r="CV124" s="212"/>
      <c r="CW124" s="213"/>
      <c r="CX124" s="213"/>
      <c r="DA124" s="201"/>
      <c r="DB124" s="200"/>
      <c r="DC124" s="200"/>
    </row>
    <row r="125" spans="1:107">
      <c r="A125" s="234" t="s">
        <v>385</v>
      </c>
      <c r="B125" s="272"/>
      <c r="C125" s="205"/>
      <c r="D125" s="206"/>
      <c r="E125" s="206"/>
      <c r="F125" s="207"/>
      <c r="G125" s="208"/>
      <c r="H125" s="206"/>
      <c r="I125" s="206"/>
      <c r="J125" s="206"/>
      <c r="K125" s="207"/>
      <c r="L125" s="207"/>
      <c r="M125" s="206"/>
      <c r="N125" s="206"/>
      <c r="O125" s="206"/>
      <c r="P125" s="207"/>
      <c r="Q125" s="388"/>
      <c r="R125" s="206"/>
      <c r="S125" s="206"/>
      <c r="T125" s="206"/>
      <c r="U125" s="207"/>
      <c r="V125" s="208"/>
      <c r="W125" s="206"/>
      <c r="X125" s="206"/>
      <c r="Y125" s="206"/>
      <c r="Z125" s="207"/>
      <c r="AA125" s="208"/>
      <c r="AB125" s="206"/>
      <c r="AC125" s="206"/>
      <c r="AD125" s="206"/>
      <c r="AE125" s="207"/>
      <c r="AF125" s="208"/>
      <c r="AG125" s="206"/>
      <c r="AH125" s="206"/>
      <c r="AI125" s="206"/>
      <c r="AJ125" s="207"/>
      <c r="AK125" s="208"/>
      <c r="AL125" s="206"/>
      <c r="AM125" s="206"/>
      <c r="AN125" s="206"/>
      <c r="AO125" s="207"/>
      <c r="AP125" s="208"/>
      <c r="AQ125" s="206"/>
      <c r="AR125" s="212"/>
      <c r="AS125" s="206"/>
      <c r="AT125" s="207"/>
      <c r="AU125" s="208"/>
      <c r="AV125" s="206"/>
      <c r="AW125" s="212"/>
      <c r="AX125" s="212"/>
      <c r="AY125" s="207"/>
      <c r="AZ125" s="208"/>
      <c r="BA125" s="206"/>
      <c r="BB125" s="212"/>
      <c r="BC125" s="212"/>
      <c r="BD125" s="207"/>
      <c r="BE125" s="208"/>
      <c r="BF125" s="206"/>
      <c r="BG125" s="212"/>
      <c r="BH125" s="212"/>
      <c r="BI125" s="212"/>
      <c r="BJ125" s="208"/>
      <c r="BK125" s="206"/>
      <c r="BL125" s="212"/>
      <c r="BM125" s="212"/>
      <c r="BN125" s="207"/>
      <c r="BO125" s="1442"/>
      <c r="BP125" s="206"/>
      <c r="BQ125" s="212"/>
      <c r="BR125" s="212"/>
      <c r="BS125" s="207"/>
      <c r="BT125" s="1442"/>
      <c r="BU125" s="206"/>
      <c r="BV125" s="212"/>
      <c r="BW125" s="212"/>
      <c r="BX125" s="207"/>
      <c r="BY125" s="213"/>
      <c r="BZ125" s="212"/>
      <c r="CA125" s="212"/>
      <c r="CB125" s="212"/>
      <c r="CC125" s="207"/>
      <c r="CD125" s="207"/>
      <c r="CE125" s="206"/>
      <c r="CF125" s="206"/>
      <c r="CG125" s="206"/>
      <c r="CH125" s="207"/>
      <c r="CI125" s="1442"/>
      <c r="CJ125" s="206"/>
      <c r="CK125" s="212"/>
      <c r="CL125" s="212"/>
      <c r="CM125" s="213"/>
      <c r="CN125" s="213"/>
      <c r="CO125" s="212"/>
      <c r="CP125" s="212"/>
      <c r="CQ125" s="212"/>
      <c r="CR125" s="213"/>
      <c r="CS125" s="213"/>
      <c r="CT125" s="212"/>
      <c r="CU125" s="212"/>
      <c r="CV125" s="212"/>
      <c r="CW125" s="213"/>
      <c r="CX125" s="213"/>
      <c r="DA125" s="201"/>
      <c r="DB125" s="200"/>
      <c r="DC125" s="200"/>
    </row>
    <row r="126" spans="1:107">
      <c r="A126" s="172" t="s">
        <v>386</v>
      </c>
      <c r="B126" s="389"/>
      <c r="C126" s="205"/>
      <c r="D126" s="206"/>
      <c r="E126" s="206"/>
      <c r="F126" s="207"/>
      <c r="G126" s="208"/>
      <c r="H126" s="206"/>
      <c r="I126" s="206"/>
      <c r="J126" s="206"/>
      <c r="K126" s="207"/>
      <c r="L126" s="207"/>
      <c r="M126" s="206"/>
      <c r="N126" s="206"/>
      <c r="O126" s="206"/>
      <c r="P126" s="207"/>
      <c r="Q126" s="208"/>
      <c r="R126" s="206"/>
      <c r="S126" s="206"/>
      <c r="T126" s="206"/>
      <c r="U126" s="207"/>
      <c r="V126" s="208"/>
      <c r="W126" s="206"/>
      <c r="X126" s="206"/>
      <c r="Y126" s="206"/>
      <c r="Z126" s="207"/>
      <c r="AA126" s="208"/>
      <c r="AB126" s="206"/>
      <c r="AC126" s="206"/>
      <c r="AD126" s="206"/>
      <c r="AE126" s="207"/>
      <c r="AF126" s="208"/>
      <c r="AG126" s="206"/>
      <c r="AH126" s="206"/>
      <c r="AI126" s="206"/>
      <c r="AJ126" s="207"/>
      <c r="AK126" s="208"/>
      <c r="AL126" s="206"/>
      <c r="AM126" s="206"/>
      <c r="AN126" s="206"/>
      <c r="AO126" s="207"/>
      <c r="AP126" s="208"/>
      <c r="AQ126" s="206"/>
      <c r="AR126" s="212"/>
      <c r="AS126" s="206"/>
      <c r="AT126" s="207"/>
      <c r="AU126" s="208"/>
      <c r="AV126" s="206"/>
      <c r="AW126" s="212"/>
      <c r="AX126" s="212"/>
      <c r="AY126" s="207"/>
      <c r="AZ126" s="208"/>
      <c r="BA126" s="206"/>
      <c r="BB126" s="212"/>
      <c r="BC126" s="212"/>
      <c r="BD126" s="207"/>
      <c r="BE126" s="208"/>
      <c r="BF126" s="206"/>
      <c r="BG126" s="212"/>
      <c r="BH126" s="212"/>
      <c r="BI126" s="212"/>
      <c r="BJ126" s="208"/>
      <c r="BK126" s="206"/>
      <c r="BL126" s="212"/>
      <c r="BM126" s="212"/>
      <c r="BN126" s="207"/>
      <c r="BO126" s="1442"/>
      <c r="BP126" s="206"/>
      <c r="BQ126" s="212"/>
      <c r="BR126" s="212"/>
      <c r="BS126" s="207"/>
      <c r="BT126" s="1442"/>
      <c r="BU126" s="206"/>
      <c r="BV126" s="212"/>
      <c r="BW126" s="212"/>
      <c r="BX126" s="207"/>
      <c r="BY126" s="1022"/>
      <c r="BZ126" s="212"/>
      <c r="CA126" s="212"/>
      <c r="CB126" s="212"/>
      <c r="CC126" s="213"/>
      <c r="CD126" s="1022"/>
      <c r="CE126" s="212"/>
      <c r="CF126" s="212"/>
      <c r="CG126" s="212"/>
      <c r="CH126" s="213"/>
      <c r="CI126" s="1022"/>
      <c r="CJ126" s="212"/>
      <c r="CK126" s="212"/>
      <c r="CL126" s="212"/>
      <c r="CM126" s="213"/>
      <c r="CN126" s="1022"/>
      <c r="CO126" s="212"/>
      <c r="CP126" s="212"/>
      <c r="CQ126" s="212"/>
      <c r="CR126" s="213"/>
      <c r="CS126" s="1022"/>
      <c r="CT126" s="212"/>
      <c r="CU126" s="212"/>
      <c r="CV126" s="212"/>
      <c r="CW126" s="213"/>
      <c r="CX126" s="1022"/>
      <c r="DA126" s="201"/>
      <c r="DB126" s="200"/>
      <c r="DC126" s="200"/>
    </row>
    <row r="127" spans="1:107" hidden="1">
      <c r="A127" s="172" t="s">
        <v>387</v>
      </c>
      <c r="B127" s="389"/>
      <c r="C127" s="205"/>
      <c r="D127" s="206"/>
      <c r="E127" s="206"/>
      <c r="F127" s="207"/>
      <c r="G127" s="208"/>
      <c r="H127" s="206"/>
      <c r="I127" s="206"/>
      <c r="J127" s="206"/>
      <c r="K127" s="207"/>
      <c r="L127" s="207"/>
      <c r="M127" s="206"/>
      <c r="N127" s="206"/>
      <c r="O127" s="206"/>
      <c r="P127" s="207"/>
      <c r="Q127" s="208"/>
      <c r="R127" s="206"/>
      <c r="S127" s="206"/>
      <c r="T127" s="206"/>
      <c r="U127" s="207"/>
      <c r="V127" s="208"/>
      <c r="W127" s="206"/>
      <c r="X127" s="206"/>
      <c r="Y127" s="206"/>
      <c r="Z127" s="207"/>
      <c r="AA127" s="208"/>
      <c r="AB127" s="206"/>
      <c r="AC127" s="206"/>
      <c r="AD127" s="206"/>
      <c r="AE127" s="207"/>
      <c r="AF127" s="208"/>
      <c r="AG127" s="206"/>
      <c r="AH127" s="206"/>
      <c r="AI127" s="206"/>
      <c r="AJ127" s="207"/>
      <c r="AK127" s="208"/>
      <c r="AL127" s="206"/>
      <c r="AM127" s="206"/>
      <c r="AN127" s="206"/>
      <c r="AO127" s="207"/>
      <c r="AP127" s="208"/>
      <c r="AQ127" s="206"/>
      <c r="AR127" s="212"/>
      <c r="AS127" s="206"/>
      <c r="AT127" s="207"/>
      <c r="AU127" s="208"/>
      <c r="AV127" s="206"/>
      <c r="AW127" s="212"/>
      <c r="AX127" s="212"/>
      <c r="AY127" s="207"/>
      <c r="AZ127" s="208"/>
      <c r="BA127" s="206"/>
      <c r="BB127" s="212"/>
      <c r="BC127" s="212"/>
      <c r="BD127" s="207"/>
      <c r="BE127" s="208"/>
      <c r="BF127" s="206"/>
      <c r="BG127" s="212"/>
      <c r="BH127" s="212"/>
      <c r="BI127" s="212"/>
      <c r="BJ127" s="208"/>
      <c r="BK127" s="206"/>
      <c r="BL127" s="212"/>
      <c r="BM127" s="212"/>
      <c r="BN127" s="207"/>
      <c r="BO127" s="1442"/>
      <c r="BP127" s="206"/>
      <c r="BQ127" s="212"/>
      <c r="BR127" s="212"/>
      <c r="BS127" s="207"/>
      <c r="BT127" s="1442"/>
      <c r="BU127" s="206"/>
      <c r="BV127" s="212"/>
      <c r="BW127" s="212"/>
      <c r="BX127" s="207"/>
      <c r="BY127" s="1022"/>
      <c r="BZ127" s="212"/>
      <c r="CA127" s="212"/>
      <c r="CB127" s="212"/>
      <c r="CC127" s="213"/>
      <c r="CD127" s="1022"/>
      <c r="CE127" s="212"/>
      <c r="CF127" s="212"/>
      <c r="CG127" s="212"/>
      <c r="CH127" s="213"/>
      <c r="CI127" s="1022"/>
      <c r="CJ127" s="212"/>
      <c r="CK127" s="212"/>
      <c r="CL127" s="212"/>
      <c r="CM127" s="213"/>
      <c r="CN127" s="1022"/>
      <c r="CO127" s="212"/>
      <c r="CP127" s="212"/>
      <c r="CQ127" s="212"/>
      <c r="CR127" s="213"/>
      <c r="CS127" s="1022"/>
      <c r="CT127" s="212"/>
      <c r="CU127" s="212"/>
      <c r="CV127" s="212"/>
      <c r="CW127" s="213"/>
      <c r="CX127" s="1022"/>
      <c r="DA127" s="201"/>
      <c r="DB127" s="200"/>
      <c r="DC127" s="200"/>
    </row>
    <row r="128" spans="1:107" hidden="1">
      <c r="A128" s="172" t="s">
        <v>213</v>
      </c>
      <c r="B128" s="389"/>
      <c r="C128" s="205"/>
      <c r="D128" s="206"/>
      <c r="E128" s="206"/>
      <c r="F128" s="207"/>
      <c r="G128" s="208"/>
      <c r="H128" s="206"/>
      <c r="I128" s="206"/>
      <c r="J128" s="206"/>
      <c r="K128" s="207"/>
      <c r="L128" s="207"/>
      <c r="M128" s="206"/>
      <c r="N128" s="206"/>
      <c r="O128" s="206"/>
      <c r="P128" s="207"/>
      <c r="Q128" s="208"/>
      <c r="R128" s="206"/>
      <c r="S128" s="206"/>
      <c r="T128" s="206"/>
      <c r="U128" s="207"/>
      <c r="V128" s="208"/>
      <c r="W128" s="206"/>
      <c r="X128" s="206"/>
      <c r="Y128" s="206"/>
      <c r="Z128" s="207"/>
      <c r="AA128" s="208"/>
      <c r="AB128" s="206"/>
      <c r="AC128" s="206"/>
      <c r="AD128" s="206"/>
      <c r="AE128" s="207"/>
      <c r="AF128" s="208"/>
      <c r="AG128" s="206"/>
      <c r="AH128" s="206"/>
      <c r="AI128" s="206"/>
      <c r="AJ128" s="207"/>
      <c r="AK128" s="208"/>
      <c r="AL128" s="206"/>
      <c r="AM128" s="206"/>
      <c r="AN128" s="206"/>
      <c r="AO128" s="207"/>
      <c r="AP128" s="208"/>
      <c r="AQ128" s="206"/>
      <c r="AR128" s="212"/>
      <c r="AS128" s="206"/>
      <c r="AT128" s="207"/>
      <c r="AU128" s="208"/>
      <c r="AV128" s="206"/>
      <c r="AW128" s="212"/>
      <c r="AX128" s="212"/>
      <c r="AY128" s="207"/>
      <c r="AZ128" s="208"/>
      <c r="BA128" s="206"/>
      <c r="BB128" s="212"/>
      <c r="BC128" s="212"/>
      <c r="BD128" s="207"/>
      <c r="BE128" s="208"/>
      <c r="BF128" s="206"/>
      <c r="BG128" s="212"/>
      <c r="BH128" s="212"/>
      <c r="BI128" s="212"/>
      <c r="BJ128" s="208"/>
      <c r="BK128" s="206"/>
      <c r="BL128" s="212"/>
      <c r="BM128" s="212"/>
      <c r="BN128" s="207"/>
      <c r="BO128" s="1442"/>
      <c r="BP128" s="206"/>
      <c r="BQ128" s="212"/>
      <c r="BR128" s="212"/>
      <c r="BS128" s="207"/>
      <c r="BT128" s="1442"/>
      <c r="BU128" s="206"/>
      <c r="BV128" s="212"/>
      <c r="BW128" s="212"/>
      <c r="BX128" s="207"/>
      <c r="BY128" s="1022"/>
      <c r="BZ128" s="212"/>
      <c r="CA128" s="212"/>
      <c r="CB128" s="212"/>
      <c r="CC128" s="213"/>
      <c r="CD128" s="1022"/>
      <c r="CE128" s="212"/>
      <c r="CF128" s="212"/>
      <c r="CG128" s="212"/>
      <c r="CH128" s="213"/>
      <c r="CI128" s="1022"/>
      <c r="CJ128" s="212"/>
      <c r="CK128" s="212"/>
      <c r="CL128" s="212"/>
      <c r="CM128" s="213"/>
      <c r="CN128" s="1022"/>
      <c r="CO128" s="212"/>
      <c r="CP128" s="212"/>
      <c r="CQ128" s="212"/>
      <c r="CR128" s="213"/>
      <c r="CS128" s="1022"/>
      <c r="CT128" s="212"/>
      <c r="CU128" s="212"/>
      <c r="CV128" s="212"/>
      <c r="CW128" s="213"/>
      <c r="CX128" s="1022"/>
      <c r="DA128" s="201"/>
      <c r="DB128" s="200"/>
      <c r="DC128" s="200"/>
    </row>
    <row r="129" spans="1:107" ht="5.25" customHeight="1">
      <c r="A129" s="1078"/>
      <c r="B129" s="1079"/>
      <c r="C129" s="1080"/>
      <c r="D129" s="1081"/>
      <c r="E129" s="1081"/>
      <c r="F129" s="1082"/>
      <c r="G129" s="1083"/>
      <c r="H129" s="1081"/>
      <c r="I129" s="1081"/>
      <c r="J129" s="1081"/>
      <c r="K129" s="1082"/>
      <c r="L129" s="1082"/>
      <c r="M129" s="1081"/>
      <c r="N129" s="1081"/>
      <c r="O129" s="1081"/>
      <c r="P129" s="1082"/>
      <c r="Q129" s="1083"/>
      <c r="R129" s="1081"/>
      <c r="S129" s="1081"/>
      <c r="T129" s="1081"/>
      <c r="U129" s="1082"/>
      <c r="V129" s="1083"/>
      <c r="W129" s="1081"/>
      <c r="X129" s="1081"/>
      <c r="Y129" s="1081"/>
      <c r="Z129" s="1082"/>
      <c r="AA129" s="1084"/>
      <c r="AB129" s="1085"/>
      <c r="AC129" s="1085"/>
      <c r="AD129" s="1085"/>
      <c r="AE129" s="1086"/>
      <c r="AF129" s="1084"/>
      <c r="AG129" s="1085"/>
      <c r="AH129" s="1085"/>
      <c r="AI129" s="1085"/>
      <c r="AJ129" s="1086"/>
      <c r="AK129" s="1084"/>
      <c r="AL129" s="1085"/>
      <c r="AM129" s="1085"/>
      <c r="AN129" s="1085"/>
      <c r="AO129" s="1086"/>
      <c r="AP129" s="1084"/>
      <c r="AQ129" s="1085"/>
      <c r="AR129" s="1087"/>
      <c r="AS129" s="1085"/>
      <c r="AT129" s="1086"/>
      <c r="AU129" s="1084"/>
      <c r="AV129" s="1085"/>
      <c r="AW129" s="1087"/>
      <c r="AX129" s="1087"/>
      <c r="AY129" s="1086"/>
      <c r="AZ129" s="1084"/>
      <c r="BA129" s="1085"/>
      <c r="BB129" s="1087"/>
      <c r="BC129" s="1087"/>
      <c r="BD129" s="1086"/>
      <c r="BE129" s="1084"/>
      <c r="BF129" s="1085"/>
      <c r="BG129" s="1087"/>
      <c r="BH129" s="1087"/>
      <c r="BI129" s="1087"/>
      <c r="BJ129" s="1084"/>
      <c r="BK129" s="1085"/>
      <c r="BL129" s="1087"/>
      <c r="BM129" s="1087"/>
      <c r="BN129" s="1086"/>
      <c r="BO129" s="1461"/>
      <c r="BP129" s="1085"/>
      <c r="BQ129" s="1087"/>
      <c r="BR129" s="1087"/>
      <c r="BS129" s="1086"/>
      <c r="BT129" s="1461"/>
      <c r="BU129" s="1085"/>
      <c r="BV129" s="1087"/>
      <c r="BW129" s="1087"/>
      <c r="BX129" s="1086"/>
      <c r="BY129" s="1089"/>
      <c r="BZ129" s="1087"/>
      <c r="CA129" s="1087"/>
      <c r="CB129" s="1087"/>
      <c r="CC129" s="1088"/>
      <c r="CD129" s="1089"/>
      <c r="CE129" s="1087"/>
      <c r="CF129" s="1087"/>
      <c r="CG129" s="1087"/>
      <c r="CH129" s="1088"/>
      <c r="CI129" s="1089"/>
      <c r="CJ129" s="1087"/>
      <c r="CK129" s="1087"/>
      <c r="CL129" s="1087"/>
      <c r="CM129" s="1088"/>
      <c r="CN129" s="1089"/>
      <c r="CO129" s="1087"/>
      <c r="CP129" s="1087"/>
      <c r="CQ129" s="1087"/>
      <c r="CR129" s="1088"/>
      <c r="CS129" s="1089"/>
      <c r="CT129" s="1087"/>
      <c r="CU129" s="1087"/>
      <c r="CV129" s="1087"/>
      <c r="CW129" s="1088"/>
      <c r="CX129" s="1089"/>
      <c r="DA129" s="391"/>
      <c r="DB129" s="390"/>
      <c r="DC129" s="390"/>
    </row>
    <row r="130" spans="1:107" ht="20.100000000000001" customHeight="1">
      <c r="A130" s="1335"/>
      <c r="B130" s="1336"/>
      <c r="C130" s="1337"/>
      <c r="D130" s="1337"/>
      <c r="E130" s="1337"/>
      <c r="F130" s="1337"/>
      <c r="G130" s="1337"/>
      <c r="H130" s="1337"/>
      <c r="I130" s="1337"/>
      <c r="J130" s="1337"/>
      <c r="K130" s="1337"/>
      <c r="L130" s="1337"/>
      <c r="M130" s="1337"/>
      <c r="N130" s="1337"/>
      <c r="O130" s="1337"/>
      <c r="P130" s="1337"/>
      <c r="Q130" s="1337"/>
      <c r="R130" s="1337"/>
      <c r="S130" s="1337"/>
      <c r="T130" s="1337"/>
      <c r="U130" s="1337"/>
      <c r="V130" s="1337"/>
      <c r="W130" s="1337"/>
      <c r="X130" s="1337"/>
      <c r="Y130" s="1337"/>
      <c r="Z130" s="1337"/>
      <c r="AA130" s="1338"/>
      <c r="AB130" s="1338"/>
      <c r="AC130" s="1338"/>
      <c r="AD130" s="1338"/>
      <c r="AE130" s="1338"/>
      <c r="AF130" s="1338"/>
      <c r="AG130" s="1338"/>
      <c r="AH130" s="1338"/>
      <c r="AI130" s="1338"/>
      <c r="AJ130" s="1338"/>
      <c r="AK130" s="1338"/>
      <c r="AL130" s="1338"/>
      <c r="AM130" s="1338"/>
      <c r="AN130" s="1338"/>
      <c r="AO130" s="1338"/>
      <c r="AP130" s="1338"/>
      <c r="AQ130" s="1338"/>
      <c r="AR130" s="1339"/>
      <c r="AS130" s="1338"/>
      <c r="AT130" s="1338"/>
      <c r="AU130" s="1338"/>
      <c r="AV130" s="1338"/>
      <c r="AW130" s="1339"/>
      <c r="AX130" s="1339"/>
      <c r="AY130" s="1338"/>
      <c r="AZ130" s="1338"/>
      <c r="BA130" s="1338"/>
      <c r="BB130" s="1339"/>
      <c r="BC130" s="1339"/>
      <c r="BD130" s="1338"/>
      <c r="BE130" s="1338"/>
      <c r="BF130" s="1338"/>
      <c r="BG130" s="1339"/>
      <c r="BH130" s="1339"/>
      <c r="BI130" s="1339"/>
      <c r="BJ130" s="1338"/>
      <c r="BK130" s="1338"/>
      <c r="BL130" s="1339"/>
      <c r="BM130" s="1339"/>
      <c r="BN130" s="1338"/>
      <c r="BO130" s="1338"/>
      <c r="BP130" s="1338"/>
      <c r="BQ130" s="1339"/>
      <c r="BR130" s="1339"/>
      <c r="BS130" s="1338"/>
      <c r="BT130" s="1338"/>
      <c r="BU130" s="1338"/>
      <c r="BV130" s="1339"/>
      <c r="BW130" s="1339"/>
      <c r="BX130" s="1338"/>
      <c r="BY130" s="1339"/>
      <c r="BZ130" s="1339"/>
      <c r="CA130" s="1339"/>
      <c r="CB130" s="1339"/>
      <c r="CC130" s="1339"/>
      <c r="CD130" s="1339"/>
      <c r="CE130" s="1339"/>
      <c r="CF130" s="1339"/>
      <c r="CG130" s="1339"/>
      <c r="CH130" s="1339"/>
      <c r="CI130" s="1339"/>
      <c r="CJ130" s="1339"/>
      <c r="CK130" s="1339"/>
      <c r="CL130" s="1339"/>
      <c r="CM130" s="1339"/>
      <c r="CN130" s="1339"/>
      <c r="CO130" s="1339"/>
      <c r="CP130" s="1339"/>
      <c r="CQ130" s="1339"/>
      <c r="CR130" s="1339"/>
      <c r="CS130" s="1339"/>
      <c r="CT130" s="1339"/>
      <c r="CU130" s="1339"/>
      <c r="CV130" s="1339"/>
      <c r="CW130" s="1339"/>
      <c r="CX130" s="1339"/>
      <c r="DA130" s="126"/>
      <c r="DB130" s="117"/>
      <c r="DC130" s="117"/>
    </row>
    <row r="131" spans="1:107" ht="20.100000000000001" hidden="1" customHeight="1" outlineLevel="1">
      <c r="A131" s="392" t="str">
        <f>A1</f>
        <v>Adobe Systems</v>
      </c>
      <c r="B131" s="293"/>
      <c r="C131" s="117"/>
      <c r="D131" s="117"/>
      <c r="E131" s="117"/>
      <c r="F131" s="117"/>
      <c r="G131" s="117"/>
      <c r="H131" s="117"/>
      <c r="I131" s="117"/>
      <c r="J131" s="117"/>
      <c r="K131" s="117"/>
      <c r="L131" s="117"/>
      <c r="M131" s="117"/>
      <c r="N131" s="117"/>
      <c r="O131" s="117"/>
      <c r="P131" s="117"/>
      <c r="Q131" s="117"/>
      <c r="R131" s="117"/>
      <c r="S131" s="117"/>
      <c r="T131" s="117"/>
      <c r="U131" s="117"/>
      <c r="V131" s="117"/>
      <c r="W131" s="117"/>
      <c r="X131" s="117"/>
      <c r="Y131" s="117"/>
      <c r="Z131" s="117"/>
      <c r="AA131" s="121"/>
      <c r="AB131" s="121"/>
      <c r="AC131" s="121"/>
      <c r="AD131" s="121"/>
      <c r="AE131" s="121"/>
      <c r="AF131" s="121"/>
      <c r="AG131" s="121"/>
      <c r="AH131" s="121"/>
      <c r="AI131" s="121"/>
      <c r="AJ131" s="121"/>
      <c r="AK131" s="121"/>
      <c r="AL131" s="121"/>
      <c r="AM131" s="121"/>
      <c r="AN131" s="121"/>
      <c r="AO131" s="121"/>
      <c r="AP131" s="121"/>
      <c r="AQ131" s="121"/>
      <c r="AR131" s="123"/>
      <c r="AS131" s="121"/>
      <c r="AT131" s="121"/>
      <c r="AU131" s="121"/>
      <c r="AV131" s="121"/>
      <c r="AW131" s="123"/>
      <c r="AX131" s="123"/>
      <c r="AY131" s="121"/>
      <c r="AZ131" s="121"/>
      <c r="BA131" s="121"/>
      <c r="BB131" s="123"/>
      <c r="BC131" s="123"/>
      <c r="BD131" s="121"/>
      <c r="BE131" s="121"/>
      <c r="BF131" s="121"/>
      <c r="BG131" s="123"/>
      <c r="BH131" s="123"/>
      <c r="BI131" s="123"/>
      <c r="BJ131" s="121"/>
      <c r="BK131" s="121"/>
      <c r="BL131" s="123"/>
      <c r="BM131" s="123"/>
      <c r="BN131" s="121"/>
      <c r="BO131" s="121"/>
      <c r="BP131" s="121"/>
      <c r="BQ131" s="123"/>
      <c r="BR131" s="123"/>
      <c r="BS131" s="121"/>
      <c r="BT131" s="121"/>
      <c r="BU131" s="121"/>
      <c r="BV131" s="123"/>
      <c r="BW131" s="123"/>
      <c r="BX131" s="121"/>
      <c r="BY131" s="123"/>
      <c r="BZ131" s="123"/>
      <c r="CA131" s="123"/>
      <c r="CB131" s="123"/>
      <c r="CC131" s="123"/>
      <c r="CD131" s="123"/>
      <c r="CE131" s="123"/>
      <c r="CF131" s="123"/>
      <c r="CG131" s="123"/>
      <c r="CH131" s="123"/>
      <c r="CI131" s="123"/>
      <c r="CJ131" s="123"/>
      <c r="CK131" s="123"/>
      <c r="CL131" s="123"/>
      <c r="CM131" s="123"/>
      <c r="CN131" s="123"/>
      <c r="CO131" s="123"/>
      <c r="CP131" s="123"/>
      <c r="CQ131" s="123"/>
      <c r="CR131" s="123"/>
      <c r="CS131" s="123"/>
      <c r="CT131" s="123"/>
      <c r="CU131" s="123"/>
      <c r="CV131" s="123"/>
      <c r="CW131" s="123"/>
      <c r="CX131" s="123"/>
      <c r="DA131" s="126"/>
      <c r="DB131" s="117"/>
      <c r="DC131" s="117"/>
    </row>
    <row r="132" spans="1:107" ht="20.100000000000001" hidden="1" customHeight="1" outlineLevel="1">
      <c r="A132" s="392" t="s">
        <v>196</v>
      </c>
      <c r="B132" s="392"/>
      <c r="C132" s="392"/>
      <c r="D132" s="392"/>
      <c r="E132" s="392"/>
      <c r="F132" s="392"/>
      <c r="G132" s="392"/>
      <c r="H132" s="392"/>
      <c r="I132" s="392"/>
      <c r="J132" s="392"/>
      <c r="K132" s="392"/>
      <c r="L132" s="392"/>
      <c r="M132" s="392"/>
      <c r="N132" s="392"/>
      <c r="O132" s="392"/>
      <c r="P132" s="392"/>
      <c r="Q132" s="392"/>
      <c r="R132" s="392"/>
      <c r="S132" s="392"/>
      <c r="T132" s="392"/>
      <c r="U132" s="392"/>
      <c r="V132" s="392"/>
      <c r="W132" s="392"/>
      <c r="X132" s="392"/>
      <c r="Y132" s="392"/>
      <c r="Z132" s="392"/>
      <c r="AA132" s="392"/>
      <c r="AB132" s="392"/>
      <c r="AC132" s="392"/>
      <c r="AD132" s="392"/>
      <c r="AE132" s="392"/>
      <c r="AF132" s="392"/>
      <c r="AG132" s="392"/>
      <c r="AH132" s="392"/>
      <c r="AI132" s="392"/>
      <c r="AJ132" s="392"/>
      <c r="AK132" s="392"/>
      <c r="AL132" s="392"/>
      <c r="AM132" s="392"/>
      <c r="AN132" s="392"/>
      <c r="AO132" s="392"/>
      <c r="AP132" s="392"/>
      <c r="AQ132" s="392"/>
      <c r="AR132" s="395"/>
      <c r="AS132" s="392"/>
      <c r="AT132" s="392"/>
      <c r="AU132" s="392"/>
      <c r="AV132" s="392"/>
      <c r="AW132" s="395"/>
      <c r="AX132" s="395"/>
      <c r="AY132" s="392"/>
      <c r="AZ132" s="392"/>
      <c r="BA132" s="392"/>
      <c r="BB132" s="395"/>
      <c r="BC132" s="395"/>
      <c r="BD132" s="392"/>
      <c r="BE132" s="392"/>
      <c r="BF132" s="392"/>
      <c r="BG132" s="395"/>
      <c r="BH132" s="395"/>
      <c r="BI132" s="395"/>
      <c r="BJ132" s="392"/>
      <c r="BK132" s="392"/>
      <c r="BL132" s="395"/>
      <c r="BM132" s="395"/>
      <c r="BN132" s="392"/>
      <c r="BO132" s="392"/>
      <c r="BP132" s="392"/>
      <c r="BQ132" s="395"/>
      <c r="BR132" s="395"/>
      <c r="BS132" s="392"/>
      <c r="BT132" s="392"/>
      <c r="BU132" s="392"/>
      <c r="BV132" s="395"/>
      <c r="BW132" s="395"/>
      <c r="BX132" s="392"/>
      <c r="BY132" s="395"/>
      <c r="BZ132" s="395"/>
      <c r="CA132" s="395"/>
      <c r="CB132" s="395"/>
      <c r="CC132" s="395"/>
      <c r="CD132" s="395"/>
      <c r="CE132" s="395"/>
      <c r="CF132" s="395"/>
      <c r="CG132" s="395"/>
      <c r="CH132" s="395"/>
      <c r="CI132" s="395"/>
      <c r="CJ132" s="395"/>
      <c r="CK132" s="395"/>
      <c r="CL132" s="395"/>
      <c r="CM132" s="395"/>
      <c r="CN132" s="395"/>
      <c r="CO132" s="395"/>
      <c r="CP132" s="395"/>
      <c r="CQ132" s="395"/>
      <c r="CR132" s="395"/>
      <c r="CS132" s="395"/>
      <c r="CT132" s="395"/>
      <c r="CU132" s="395"/>
      <c r="CV132" s="395"/>
      <c r="CW132" s="395"/>
      <c r="CX132" s="395"/>
      <c r="DA132" s="126"/>
      <c r="DB132" s="117"/>
      <c r="DC132" s="117"/>
    </row>
    <row r="133" spans="1:107" ht="11.25" hidden="1" customHeight="1" outlineLevel="1">
      <c r="A133" s="396"/>
      <c r="B133" s="397"/>
      <c r="C133" s="398"/>
      <c r="D133" s="399"/>
      <c r="E133" s="400"/>
      <c r="F133" s="399"/>
      <c r="G133" s="399"/>
      <c r="H133" s="398"/>
      <c r="I133" s="399"/>
      <c r="J133" s="400"/>
      <c r="K133" s="399"/>
      <c r="L133" s="399"/>
      <c r="M133" s="398"/>
      <c r="N133" s="399"/>
      <c r="O133" s="400"/>
      <c r="P133" s="399"/>
      <c r="Q133" s="399"/>
      <c r="R133" s="398"/>
      <c r="S133" s="399"/>
      <c r="T133" s="400"/>
      <c r="U133" s="399"/>
      <c r="V133" s="399"/>
      <c r="W133" s="398"/>
      <c r="X133" s="399"/>
      <c r="Y133" s="400"/>
      <c r="Z133" s="399"/>
      <c r="AA133" s="399"/>
      <c r="AB133" s="398"/>
      <c r="AC133" s="399"/>
      <c r="AD133" s="400"/>
      <c r="AE133" s="399"/>
      <c r="AF133" s="399"/>
      <c r="AG133" s="398"/>
      <c r="AH133" s="399"/>
      <c r="AI133" s="400"/>
      <c r="AJ133" s="399"/>
      <c r="AK133" s="399"/>
      <c r="AL133" s="399" t="str">
        <f>AP6</f>
        <v>FY08</v>
      </c>
      <c r="AM133" s="398"/>
      <c r="AN133" s="400"/>
      <c r="AO133" s="399"/>
      <c r="AP133" s="399"/>
      <c r="AQ133" s="399" t="str">
        <f>AU6</f>
        <v>FY09</v>
      </c>
      <c r="AR133" s="401"/>
      <c r="AS133" s="400"/>
      <c r="AT133" s="399"/>
      <c r="AU133" s="399"/>
      <c r="AV133" s="399" t="str">
        <f>AZ6</f>
        <v>FY10</v>
      </c>
      <c r="AW133" s="401"/>
      <c r="AX133" s="401"/>
      <c r="AY133" s="399"/>
      <c r="AZ133" s="399"/>
      <c r="BA133" s="399" t="str">
        <f>BE6</f>
        <v>FY11</v>
      </c>
      <c r="BB133" s="401"/>
      <c r="BC133" s="402"/>
      <c r="BD133" s="399"/>
      <c r="BE133" s="399"/>
      <c r="BF133" s="399" t="str">
        <f>BJ6</f>
        <v>FY12</v>
      </c>
      <c r="BG133" s="401"/>
      <c r="BH133" s="401"/>
      <c r="BI133" s="401"/>
      <c r="BJ133" s="399"/>
      <c r="BK133" s="399" t="str">
        <f>BO6</f>
        <v>FY13</v>
      </c>
      <c r="BL133" s="401"/>
      <c r="BM133" s="401"/>
      <c r="BN133" s="399"/>
      <c r="BO133" s="399"/>
      <c r="BP133" s="399" t="str">
        <f>BT6</f>
        <v>FY14</v>
      </c>
      <c r="BQ133" s="401"/>
      <c r="BR133" s="401"/>
      <c r="BS133" s="399"/>
      <c r="BT133" s="399"/>
      <c r="BU133" s="399" t="str">
        <f>BY6</f>
        <v>FY15</v>
      </c>
      <c r="BV133" s="401"/>
      <c r="BW133" s="401"/>
      <c r="BX133" s="399"/>
      <c r="BY133" s="401"/>
      <c r="BZ133" s="401" t="str">
        <f>CD6</f>
        <v>FY16</v>
      </c>
      <c r="CA133" s="399"/>
      <c r="CB133" s="400"/>
      <c r="CC133" s="399"/>
      <c r="CD133" s="399"/>
      <c r="CE133" s="399" t="str">
        <f>CI6</f>
        <v>FY17</v>
      </c>
      <c r="CF133" s="399"/>
      <c r="CG133" s="400"/>
      <c r="CH133" s="399"/>
      <c r="CI133" s="401"/>
      <c r="CJ133" s="399" t="str">
        <f>CN6</f>
        <v>FY18E</v>
      </c>
      <c r="CK133" s="401"/>
      <c r="CL133" s="402"/>
      <c r="CM133" s="401"/>
      <c r="CN133" s="401"/>
      <c r="CO133" s="401" t="str">
        <f>CS6</f>
        <v>FY19E</v>
      </c>
      <c r="CP133" s="401"/>
      <c r="CQ133" s="402"/>
      <c r="CR133" s="401"/>
      <c r="CS133" s="401"/>
      <c r="CT133" s="401" t="str">
        <f>CX6</f>
        <v>FY20E</v>
      </c>
      <c r="CU133" s="401"/>
      <c r="CV133" s="402"/>
      <c r="CW133" s="401"/>
      <c r="CX133" s="401"/>
      <c r="DA133" s="404"/>
      <c r="DB133" s="403"/>
      <c r="DC133" s="403"/>
    </row>
    <row r="134" spans="1:107" hidden="1" outlineLevel="1">
      <c r="A134" s="405"/>
      <c r="B134" s="406"/>
      <c r="C134" s="407"/>
      <c r="D134" s="407"/>
      <c r="E134" s="407"/>
      <c r="F134" s="407"/>
      <c r="G134" s="407"/>
      <c r="H134" s="407" t="str">
        <f t="shared" ref="H134:AM134" si="293">H6</f>
        <v>2/02</v>
      </c>
      <c r="I134" s="407" t="str">
        <f t="shared" si="293"/>
        <v>5/02</v>
      </c>
      <c r="J134" s="407" t="str">
        <f t="shared" si="293"/>
        <v>8/02</v>
      </c>
      <c r="K134" s="407" t="str">
        <f t="shared" si="293"/>
        <v>11/02</v>
      </c>
      <c r="L134" s="407" t="str">
        <f t="shared" si="293"/>
        <v>FY02</v>
      </c>
      <c r="M134" s="407" t="str">
        <f t="shared" si="293"/>
        <v>2/03</v>
      </c>
      <c r="N134" s="407" t="str">
        <f t="shared" si="293"/>
        <v>5/03</v>
      </c>
      <c r="O134" s="407" t="str">
        <f t="shared" si="293"/>
        <v>8/03</v>
      </c>
      <c r="P134" s="407" t="str">
        <f t="shared" si="293"/>
        <v>11/03</v>
      </c>
      <c r="Q134" s="407" t="str">
        <f t="shared" si="293"/>
        <v>FY03</v>
      </c>
      <c r="R134" s="407" t="str">
        <f t="shared" si="293"/>
        <v>2/04</v>
      </c>
      <c r="S134" s="407" t="str">
        <f t="shared" si="293"/>
        <v>5/04</v>
      </c>
      <c r="T134" s="407" t="str">
        <f t="shared" si="293"/>
        <v>8/04</v>
      </c>
      <c r="U134" s="407" t="str">
        <f t="shared" si="293"/>
        <v>11/04</v>
      </c>
      <c r="V134" s="407" t="str">
        <f t="shared" si="293"/>
        <v>FY04</v>
      </c>
      <c r="W134" s="407" t="str">
        <f t="shared" si="293"/>
        <v>2/05</v>
      </c>
      <c r="X134" s="407" t="str">
        <f t="shared" si="293"/>
        <v xml:space="preserve"> 5/05</v>
      </c>
      <c r="Y134" s="407" t="str">
        <f t="shared" si="293"/>
        <v>8/05</v>
      </c>
      <c r="Z134" s="407" t="str">
        <f t="shared" si="293"/>
        <v>11/05</v>
      </c>
      <c r="AA134" s="407" t="str">
        <f t="shared" si="293"/>
        <v>FY05</v>
      </c>
      <c r="AB134" s="407" t="str">
        <f t="shared" si="293"/>
        <v>2/06</v>
      </c>
      <c r="AC134" s="407" t="str">
        <f t="shared" si="293"/>
        <v xml:space="preserve"> 5/06</v>
      </c>
      <c r="AD134" s="407" t="str">
        <f t="shared" si="293"/>
        <v>8/06</v>
      </c>
      <c r="AE134" s="407" t="str">
        <f t="shared" si="293"/>
        <v>11/06</v>
      </c>
      <c r="AF134" s="407" t="str">
        <f t="shared" si="293"/>
        <v>FY06</v>
      </c>
      <c r="AG134" s="407" t="str">
        <f t="shared" si="293"/>
        <v xml:space="preserve"> 2/07</v>
      </c>
      <c r="AH134" s="407" t="str">
        <f t="shared" si="293"/>
        <v>5/07</v>
      </c>
      <c r="AI134" s="407" t="str">
        <f t="shared" si="293"/>
        <v>8/07</v>
      </c>
      <c r="AJ134" s="407" t="str">
        <f t="shared" si="293"/>
        <v>11/07</v>
      </c>
      <c r="AK134" s="407" t="str">
        <f t="shared" si="293"/>
        <v>FY07</v>
      </c>
      <c r="AL134" s="407" t="str">
        <f t="shared" si="293"/>
        <v xml:space="preserve"> 2/08</v>
      </c>
      <c r="AM134" s="407" t="str">
        <f t="shared" si="293"/>
        <v>5/08</v>
      </c>
      <c r="AN134" s="407" t="str">
        <f t="shared" ref="AN134:BS134" si="294">AN6</f>
        <v>8/08</v>
      </c>
      <c r="AO134" s="407" t="str">
        <f t="shared" si="294"/>
        <v>11/08</v>
      </c>
      <c r="AP134" s="407" t="str">
        <f t="shared" si="294"/>
        <v>FY08</v>
      </c>
      <c r="AQ134" s="407" t="str">
        <f t="shared" si="294"/>
        <v xml:space="preserve"> 2/09</v>
      </c>
      <c r="AR134" s="407" t="str">
        <f t="shared" si="294"/>
        <v>5/09</v>
      </c>
      <c r="AS134" s="407" t="str">
        <f t="shared" si="294"/>
        <v>8/09</v>
      </c>
      <c r="AT134" s="407" t="str">
        <f t="shared" si="294"/>
        <v>11/09</v>
      </c>
      <c r="AU134" s="407" t="str">
        <f t="shared" si="294"/>
        <v>FY09</v>
      </c>
      <c r="AV134" s="407" t="str">
        <f t="shared" si="294"/>
        <v xml:space="preserve"> 2/10</v>
      </c>
      <c r="AW134" s="407" t="str">
        <f t="shared" si="294"/>
        <v>5/10</v>
      </c>
      <c r="AX134" s="407" t="str">
        <f t="shared" si="294"/>
        <v>8/10</v>
      </c>
      <c r="AY134" s="407" t="str">
        <f t="shared" si="294"/>
        <v>11/10</v>
      </c>
      <c r="AZ134" s="407" t="str">
        <f t="shared" si="294"/>
        <v>FY10</v>
      </c>
      <c r="BA134" s="407" t="str">
        <f t="shared" si="294"/>
        <v xml:space="preserve"> 2/11</v>
      </c>
      <c r="BB134" s="407" t="str">
        <f t="shared" si="294"/>
        <v>5/11</v>
      </c>
      <c r="BC134" s="407" t="str">
        <f t="shared" si="294"/>
        <v>8/11</v>
      </c>
      <c r="BD134" s="407" t="str">
        <f t="shared" si="294"/>
        <v>11/11</v>
      </c>
      <c r="BE134" s="407" t="str">
        <f t="shared" si="294"/>
        <v>FY11</v>
      </c>
      <c r="BF134" s="407" t="str">
        <f t="shared" si="294"/>
        <v xml:space="preserve"> 2/12</v>
      </c>
      <c r="BG134" s="407" t="str">
        <f t="shared" si="294"/>
        <v>5/12</v>
      </c>
      <c r="BH134" s="407" t="str">
        <f t="shared" si="294"/>
        <v>8/12</v>
      </c>
      <c r="BI134" s="407" t="str">
        <f t="shared" si="294"/>
        <v>11/12</v>
      </c>
      <c r="BJ134" s="407" t="str">
        <f t="shared" si="294"/>
        <v>FY12</v>
      </c>
      <c r="BK134" s="407" t="str">
        <f t="shared" si="294"/>
        <v xml:space="preserve"> 2/13</v>
      </c>
      <c r="BL134" s="407" t="str">
        <f t="shared" si="294"/>
        <v>5/13</v>
      </c>
      <c r="BM134" s="407" t="str">
        <f t="shared" si="294"/>
        <v>8/13</v>
      </c>
      <c r="BN134" s="407" t="str">
        <f t="shared" si="294"/>
        <v>11/13</v>
      </c>
      <c r="BO134" s="407" t="str">
        <f t="shared" si="294"/>
        <v>FY13</v>
      </c>
      <c r="BP134" s="407" t="str">
        <f t="shared" si="294"/>
        <v xml:space="preserve"> 2/14</v>
      </c>
      <c r="BQ134" s="407" t="str">
        <f t="shared" si="294"/>
        <v>5/14</v>
      </c>
      <c r="BR134" s="407" t="str">
        <f t="shared" si="294"/>
        <v>8/14</v>
      </c>
      <c r="BS134" s="407" t="str">
        <f t="shared" si="294"/>
        <v>11/14</v>
      </c>
      <c r="BT134" s="407" t="str">
        <f t="shared" ref="BT134:CN134" si="295">BT6</f>
        <v>FY14</v>
      </c>
      <c r="BU134" s="407" t="str">
        <f t="shared" si="295"/>
        <v xml:space="preserve"> 2/15</v>
      </c>
      <c r="BV134" s="407" t="str">
        <f t="shared" si="295"/>
        <v>5/15</v>
      </c>
      <c r="BW134" s="407" t="str">
        <f t="shared" si="295"/>
        <v>8/15</v>
      </c>
      <c r="BX134" s="407" t="str">
        <f t="shared" si="295"/>
        <v>11/15</v>
      </c>
      <c r="BY134" s="407" t="str">
        <f t="shared" si="295"/>
        <v>FY15</v>
      </c>
      <c r="BZ134" s="407" t="str">
        <f t="shared" si="295"/>
        <v xml:space="preserve"> 2/16</v>
      </c>
      <c r="CA134" s="407" t="str">
        <f>CA6</f>
        <v>5/16</v>
      </c>
      <c r="CB134" s="407" t="str">
        <f t="shared" si="295"/>
        <v>8/16</v>
      </c>
      <c r="CC134" s="407" t="str">
        <f t="shared" si="295"/>
        <v>11/16</v>
      </c>
      <c r="CD134" s="407" t="str">
        <f t="shared" si="295"/>
        <v>FY16</v>
      </c>
      <c r="CE134" s="407" t="str">
        <f t="shared" si="295"/>
        <v xml:space="preserve"> 2/17</v>
      </c>
      <c r="CF134" s="407" t="str">
        <f t="shared" si="295"/>
        <v>5/17</v>
      </c>
      <c r="CG134" s="407" t="str">
        <f t="shared" ref="CG134" si="296">CG6</f>
        <v>8/17</v>
      </c>
      <c r="CH134" s="407" t="str">
        <f t="shared" si="295"/>
        <v>11/17</v>
      </c>
      <c r="CI134" s="407" t="str">
        <f t="shared" si="295"/>
        <v>FY17</v>
      </c>
      <c r="CJ134" s="407" t="str">
        <f t="shared" ref="CJ134" si="297">CJ6</f>
        <v xml:space="preserve"> 2/18</v>
      </c>
      <c r="CK134" s="408" t="str">
        <f t="shared" si="295"/>
        <v>5/18E</v>
      </c>
      <c r="CL134" s="408" t="str">
        <f t="shared" si="295"/>
        <v>8/18E</v>
      </c>
      <c r="CM134" s="408" t="str">
        <f t="shared" si="295"/>
        <v>11/18E</v>
      </c>
      <c r="CN134" s="408" t="str">
        <f t="shared" si="295"/>
        <v>FY18E</v>
      </c>
      <c r="CO134" s="408" t="str">
        <f t="shared" ref="CO134:CX134" si="298">CO6</f>
        <v xml:space="preserve"> 2/19E</v>
      </c>
      <c r="CP134" s="408" t="str">
        <f t="shared" si="298"/>
        <v>5/19E</v>
      </c>
      <c r="CQ134" s="408" t="str">
        <f t="shared" si="298"/>
        <v>8/19E</v>
      </c>
      <c r="CR134" s="408" t="str">
        <f t="shared" si="298"/>
        <v>11/19E</v>
      </c>
      <c r="CS134" s="408" t="str">
        <f t="shared" si="298"/>
        <v>FY19E</v>
      </c>
      <c r="CT134" s="408" t="str">
        <f t="shared" si="298"/>
        <v xml:space="preserve"> 2/20E</v>
      </c>
      <c r="CU134" s="408" t="str">
        <f t="shared" si="298"/>
        <v>5/20E</v>
      </c>
      <c r="CV134" s="408" t="str">
        <f t="shared" si="298"/>
        <v>8/20E</v>
      </c>
      <c r="CW134" s="408" t="str">
        <f t="shared" si="298"/>
        <v>11/20E</v>
      </c>
      <c r="CX134" s="408" t="str">
        <f t="shared" si="298"/>
        <v>FY20E</v>
      </c>
      <c r="DA134" s="410"/>
      <c r="DB134" s="409"/>
      <c r="DC134" s="409"/>
    </row>
    <row r="135" spans="1:107" ht="5.25" hidden="1" customHeight="1" outlineLevel="1">
      <c r="A135" s="114"/>
      <c r="B135" s="293"/>
      <c r="C135" s="117"/>
      <c r="D135" s="117"/>
      <c r="E135" s="117"/>
      <c r="F135" s="117"/>
      <c r="G135" s="117"/>
      <c r="H135" s="117"/>
      <c r="I135" s="117"/>
      <c r="J135" s="117"/>
      <c r="K135" s="117"/>
      <c r="L135" s="117"/>
      <c r="M135" s="117"/>
      <c r="N135" s="117"/>
      <c r="O135" s="117"/>
      <c r="P135" s="117"/>
      <c r="Q135" s="117"/>
      <c r="R135" s="117"/>
      <c r="S135" s="117"/>
      <c r="T135" s="117"/>
      <c r="U135" s="117"/>
      <c r="V135" s="117"/>
      <c r="W135" s="117"/>
      <c r="X135" s="117"/>
      <c r="Y135" s="117"/>
      <c r="Z135" s="117"/>
      <c r="AA135" s="121"/>
      <c r="AB135" s="121"/>
      <c r="AC135" s="121"/>
      <c r="AD135" s="121"/>
      <c r="AE135" s="121"/>
      <c r="AF135" s="121"/>
      <c r="AG135" s="121"/>
      <c r="AH135" s="121"/>
      <c r="AI135" s="121"/>
      <c r="AJ135" s="121"/>
      <c r="AK135" s="121"/>
      <c r="AL135" s="121"/>
      <c r="AM135" s="121"/>
      <c r="AN135" s="121"/>
      <c r="AO135" s="121"/>
      <c r="AP135" s="121"/>
      <c r="AQ135" s="121"/>
      <c r="AR135" s="121"/>
      <c r="AS135" s="121"/>
      <c r="AT135" s="121"/>
      <c r="AU135" s="121"/>
      <c r="AV135" s="121"/>
      <c r="AW135" s="121"/>
      <c r="AX135" s="121"/>
      <c r="AY135" s="121"/>
      <c r="AZ135" s="121"/>
      <c r="BA135" s="121"/>
      <c r="BB135" s="121"/>
      <c r="BC135" s="121"/>
      <c r="BD135" s="121"/>
      <c r="BE135" s="121"/>
      <c r="BF135" s="121"/>
      <c r="BG135" s="121"/>
      <c r="BH135" s="121"/>
      <c r="BI135" s="121"/>
      <c r="BJ135" s="121"/>
      <c r="BK135" s="121"/>
      <c r="BL135" s="121"/>
      <c r="BM135" s="121"/>
      <c r="BN135" s="121"/>
      <c r="BO135" s="121"/>
      <c r="BP135" s="121"/>
      <c r="BQ135" s="121"/>
      <c r="BR135" s="121"/>
      <c r="BS135" s="121"/>
      <c r="BT135" s="121"/>
      <c r="BU135" s="121"/>
      <c r="BV135" s="121"/>
      <c r="BW135" s="121"/>
      <c r="BX135" s="121"/>
      <c r="BY135" s="121"/>
      <c r="BZ135" s="123"/>
      <c r="CA135" s="121"/>
      <c r="CB135" s="121"/>
      <c r="CC135" s="121"/>
      <c r="CD135" s="121"/>
      <c r="CE135" s="123"/>
      <c r="CF135" s="123"/>
      <c r="CG135" s="123"/>
      <c r="CH135" s="121"/>
      <c r="CI135" s="121"/>
      <c r="CJ135" s="123"/>
      <c r="CK135" s="123"/>
      <c r="CL135" s="123"/>
      <c r="CM135" s="123"/>
      <c r="CN135" s="123"/>
      <c r="CO135" s="123"/>
      <c r="CP135" s="123"/>
      <c r="CQ135" s="123"/>
      <c r="CR135" s="123"/>
      <c r="CS135" s="123"/>
      <c r="CT135" s="123"/>
      <c r="CU135" s="123"/>
      <c r="CV135" s="123"/>
      <c r="CW135" s="123"/>
      <c r="CX135" s="123"/>
      <c r="DA135" s="126"/>
      <c r="DB135" s="117"/>
      <c r="DC135" s="117"/>
    </row>
    <row r="136" spans="1:107" hidden="1" outlineLevel="1">
      <c r="A136" s="411" t="s">
        <v>340</v>
      </c>
      <c r="B136" s="412"/>
      <c r="C136" s="411"/>
      <c r="D136" s="411"/>
      <c r="E136" s="411"/>
      <c r="F136" s="411"/>
      <c r="G136" s="411"/>
      <c r="H136" s="411"/>
      <c r="I136" s="411"/>
      <c r="J136" s="411"/>
      <c r="K136" s="411"/>
      <c r="L136" s="411"/>
      <c r="M136" s="411"/>
      <c r="N136" s="411"/>
      <c r="O136" s="411"/>
      <c r="P136" s="411"/>
      <c r="Q136" s="411"/>
      <c r="R136" s="411"/>
      <c r="S136" s="411"/>
      <c r="T136" s="411"/>
      <c r="U136" s="411"/>
      <c r="V136" s="411"/>
      <c r="W136" s="411"/>
      <c r="X136" s="411"/>
      <c r="Y136" s="411"/>
      <c r="Z136" s="411"/>
      <c r="AA136" s="411"/>
      <c r="AB136" s="411"/>
      <c r="AC136" s="411"/>
      <c r="AD136" s="411"/>
      <c r="AE136" s="411"/>
      <c r="AF136" s="411"/>
      <c r="AG136" s="411"/>
      <c r="AH136" s="411"/>
      <c r="AI136" s="411"/>
      <c r="AJ136" s="411"/>
      <c r="AK136" s="411"/>
      <c r="AL136" s="411"/>
      <c r="AM136" s="411"/>
      <c r="AN136" s="411"/>
      <c r="AO136" s="411"/>
      <c r="AP136" s="411"/>
      <c r="AQ136" s="411"/>
      <c r="AR136" s="411"/>
      <c r="AS136" s="411"/>
      <c r="AT136" s="411"/>
      <c r="AU136" s="411"/>
      <c r="AV136" s="411"/>
      <c r="AW136" s="411"/>
      <c r="AX136" s="411"/>
      <c r="AY136" s="411"/>
      <c r="AZ136" s="411"/>
      <c r="BA136" s="411"/>
      <c r="BB136" s="411"/>
      <c r="BC136" s="411"/>
      <c r="BD136" s="411"/>
      <c r="BE136" s="411"/>
      <c r="BF136" s="411"/>
      <c r="BG136" s="411"/>
      <c r="BH136" s="411"/>
      <c r="BI136" s="411"/>
      <c r="BJ136" s="411"/>
      <c r="BK136" s="411"/>
      <c r="BL136" s="411"/>
      <c r="BM136" s="411"/>
      <c r="BN136" s="411"/>
      <c r="BO136" s="411"/>
      <c r="BP136" s="411"/>
      <c r="BQ136" s="411"/>
      <c r="BR136" s="411"/>
      <c r="BS136" s="411"/>
      <c r="BT136" s="411"/>
      <c r="BU136" s="411"/>
      <c r="BV136" s="411"/>
      <c r="BW136" s="411"/>
      <c r="BX136" s="411"/>
      <c r="BY136" s="411"/>
      <c r="BZ136" s="413"/>
      <c r="CA136" s="411"/>
      <c r="CB136" s="411"/>
      <c r="CC136" s="411"/>
      <c r="CD136" s="411"/>
      <c r="CE136" s="413"/>
      <c r="CF136" s="413"/>
      <c r="CG136" s="413"/>
      <c r="CH136" s="411"/>
      <c r="CI136" s="411"/>
      <c r="CJ136" s="413"/>
      <c r="CK136" s="413"/>
      <c r="CL136" s="413"/>
      <c r="CM136" s="413"/>
      <c r="CN136" s="413"/>
      <c r="CO136" s="413"/>
      <c r="CP136" s="413"/>
      <c r="CQ136" s="413"/>
      <c r="CR136" s="413"/>
      <c r="CS136" s="413"/>
      <c r="CT136" s="413"/>
      <c r="CU136" s="413"/>
      <c r="CV136" s="413"/>
      <c r="CW136" s="413"/>
      <c r="CX136" s="413"/>
      <c r="DA136" s="415"/>
      <c r="DB136" s="414"/>
      <c r="DC136" s="414"/>
    </row>
    <row r="137" spans="1:107" hidden="1" outlineLevel="1">
      <c r="A137" s="90" t="s">
        <v>611</v>
      </c>
      <c r="B137" s="412"/>
      <c r="C137" s="416"/>
      <c r="D137" s="416"/>
      <c r="E137" s="416"/>
      <c r="F137" s="416"/>
      <c r="G137" s="416"/>
      <c r="H137" s="417">
        <f t="shared" ref="H137:AM137" si="299">H18/C18-1</f>
        <v>-0.18564971167496025</v>
      </c>
      <c r="I137" s="417">
        <f t="shared" si="299"/>
        <v>-8.0905452886283591E-2</v>
      </c>
      <c r="J137" s="417">
        <f t="shared" si="299"/>
        <v>-3.9754482777507705E-2</v>
      </c>
      <c r="K137" s="417">
        <f t="shared" si="299"/>
        <v>9.0625236259167075E-2</v>
      </c>
      <c r="L137" s="417">
        <f t="shared" si="299"/>
        <v>-6.2250756269719876E-2</v>
      </c>
      <c r="M137" s="417">
        <f t="shared" si="299"/>
        <v>8.5327888434317822E-2</v>
      </c>
      <c r="N137" s="417">
        <f t="shared" si="299"/>
        <v>-6.6528802797752862E-3</v>
      </c>
      <c r="O137" s="417">
        <f t="shared" si="299"/>
        <v>0.11453628277570815</v>
      </c>
      <c r="P137" s="417">
        <f t="shared" si="299"/>
        <v>0.2181939177994825</v>
      </c>
      <c r="Q137" s="417">
        <f t="shared" si="299"/>
        <v>0.10044928366960937</v>
      </c>
      <c r="R137" s="417">
        <f t="shared" si="299"/>
        <v>0.42990490275317716</v>
      </c>
      <c r="S137" s="417">
        <f t="shared" si="299"/>
        <v>0.28140378799936339</v>
      </c>
      <c r="T137" s="417">
        <f t="shared" si="299"/>
        <v>0.26490165785441722</v>
      </c>
      <c r="U137" s="417">
        <f t="shared" si="299"/>
        <v>0.1955751054156023</v>
      </c>
      <c r="V137" s="417">
        <f t="shared" si="299"/>
        <v>0.28759168607821572</v>
      </c>
      <c r="W137" s="417">
        <f t="shared" si="299"/>
        <v>0.11399824895610844</v>
      </c>
      <c r="X137" s="417">
        <f t="shared" si="299"/>
        <v>0.20635046813711488</v>
      </c>
      <c r="Y137" s="417">
        <f t="shared" si="299"/>
        <v>0.20382854975344533</v>
      </c>
      <c r="Z137" s="417">
        <f t="shared" si="299"/>
        <v>0.18622621393418481</v>
      </c>
      <c r="AA137" s="417">
        <f t="shared" si="299"/>
        <v>0.17706625441642054</v>
      </c>
      <c r="AB137" s="417">
        <f t="shared" si="299"/>
        <v>0.37499757096558972</v>
      </c>
      <c r="AC137" s="417">
        <f t="shared" si="299"/>
        <v>0.26620608706395932</v>
      </c>
      <c r="AD137" s="417">
        <f t="shared" si="299"/>
        <v>0.21663718821814326</v>
      </c>
      <c r="AE137" s="417">
        <f t="shared" si="299"/>
        <v>0.31165777589641586</v>
      </c>
      <c r="AF137" s="417">
        <f t="shared" si="299"/>
        <v>0.29191463740551282</v>
      </c>
      <c r="AG137" s="417">
        <f t="shared" si="299"/>
        <v>-2.5953714201367384E-2</v>
      </c>
      <c r="AH137" s="417">
        <f t="shared" si="299"/>
        <v>0.16031029687995524</v>
      </c>
      <c r="AI137" s="417">
        <f t="shared" si="299"/>
        <v>0.40435612110120256</v>
      </c>
      <c r="AJ137" s="417">
        <f t="shared" si="299"/>
        <v>0.33430457093475896</v>
      </c>
      <c r="AK137" s="417">
        <f t="shared" si="299"/>
        <v>0.21524153110764188</v>
      </c>
      <c r="AL137" s="417">
        <f t="shared" si="299"/>
        <v>0.37347210534291575</v>
      </c>
      <c r="AM137" s="417">
        <f t="shared" si="299"/>
        <v>0.1791696625922079</v>
      </c>
      <c r="AN137" s="417">
        <f t="shared" ref="AN137:BS137" si="300">AN18/AI18-1</f>
        <v>3.1265752131224955E-2</v>
      </c>
      <c r="AO137" s="417">
        <f t="shared" si="300"/>
        <v>-9.0660553087834606E-3</v>
      </c>
      <c r="AP137" s="417">
        <f t="shared" si="300"/>
        <v>0.1248600772837043</v>
      </c>
      <c r="AQ137" s="417">
        <f t="shared" si="300"/>
        <v>-0.12883555839344951</v>
      </c>
      <c r="AR137" s="417">
        <f t="shared" si="300"/>
        <v>-0.21543537925189682</v>
      </c>
      <c r="AS137" s="417">
        <f t="shared" si="300"/>
        <v>-0.22525640398992386</v>
      </c>
      <c r="AT137" s="417">
        <f t="shared" si="300"/>
        <v>-0.18183942456961866</v>
      </c>
      <c r="AU137" s="417">
        <f t="shared" si="300"/>
        <v>-0.18758814111528732</v>
      </c>
      <c r="AV137" s="417">
        <f t="shared" si="300"/>
        <v>7.7130257518536194E-2</v>
      </c>
      <c r="AW137" s="417">
        <f t="shared" si="300"/>
        <v>0.34464400693881569</v>
      </c>
      <c r="AX137" s="417">
        <f t="shared" si="300"/>
        <v>0.42757034153247231</v>
      </c>
      <c r="AY137" s="417">
        <f t="shared" si="300"/>
        <v>0.31668438733613069</v>
      </c>
      <c r="AZ137" s="417">
        <f t="shared" si="300"/>
        <v>0.28505383977841503</v>
      </c>
      <c r="BA137" s="417">
        <f t="shared" si="300"/>
        <v>0.18689841077247338</v>
      </c>
      <c r="BB137" s="417">
        <f t="shared" si="300"/>
        <v>5.8488697398086043E-2</v>
      </c>
      <c r="BC137" s="417">
        <f t="shared" si="300"/>
        <v>-1.3506113860959346E-3</v>
      </c>
      <c r="BD137" s="417">
        <f t="shared" si="300"/>
        <v>0.13860665296471208</v>
      </c>
      <c r="BE137" s="417">
        <f t="shared" si="300"/>
        <v>9.2824071071183401E-2</v>
      </c>
      <c r="BF137" s="417">
        <f t="shared" si="300"/>
        <v>6.2085028349809779E-3</v>
      </c>
      <c r="BG137" s="417">
        <f t="shared" si="300"/>
        <v>9.6962052264623066E-2</v>
      </c>
      <c r="BH137" s="417">
        <f t="shared" si="300"/>
        <v>6.1417739280606565E-2</v>
      </c>
      <c r="BI137" s="417">
        <f t="shared" si="300"/>
        <v>-1.2215042081159533E-2</v>
      </c>
      <c r="BJ137" s="417">
        <f t="shared" si="300"/>
        <v>3.6368450294533172E-2</v>
      </c>
      <c r="BK137" s="417">
        <f t="shared" si="300"/>
        <v>-5.7288235361890205E-2</v>
      </c>
      <c r="BL137" s="417">
        <f t="shared" si="300"/>
        <v>-0.12723511243123775</v>
      </c>
      <c r="BM137" s="417">
        <f t="shared" si="300"/>
        <v>-0.10357472261401268</v>
      </c>
      <c r="BN137" s="417">
        <f t="shared" si="300"/>
        <v>-0.11497737210945402</v>
      </c>
      <c r="BO137" s="417">
        <f t="shared" si="300"/>
        <v>-0.10161604103933997</v>
      </c>
      <c r="BP137" s="417">
        <f t="shared" si="300"/>
        <v>-5.5974357122619001E-3</v>
      </c>
      <c r="BQ137" s="417">
        <f t="shared" si="300"/>
        <v>6.2841609036935031E-2</v>
      </c>
      <c r="BR137" s="417">
        <f t="shared" si="300"/>
        <v>1.7015985951602142E-2</v>
      </c>
      <c r="BS137" s="417">
        <f t="shared" si="300"/>
        <v>3.2310090565345728E-2</v>
      </c>
      <c r="BT137" s="417">
        <f t="shared" ref="BT137:CN137" si="301">BT18/BO18-1</f>
        <v>2.6727890654925091E-2</v>
      </c>
      <c r="BU137" s="417">
        <f t="shared" si="301"/>
        <v>0.12200773840049961</v>
      </c>
      <c r="BV137" s="417">
        <f t="shared" si="301"/>
        <v>9.6826059348851024E-2</v>
      </c>
      <c r="BW137" s="417">
        <f t="shared" si="301"/>
        <v>0.23187220866368308</v>
      </c>
      <c r="BX137" s="417">
        <f t="shared" si="301"/>
        <v>0.24560954326709528</v>
      </c>
      <c r="BY137" s="417">
        <f t="shared" si="301"/>
        <v>0.17402690377652208</v>
      </c>
      <c r="BZ137" s="417">
        <f t="shared" si="301"/>
        <v>0.26602444095692568</v>
      </c>
      <c r="CA137" s="417">
        <f t="shared" si="301"/>
        <v>0.22098882118376628</v>
      </c>
      <c r="CB137" s="417">
        <f t="shared" si="301"/>
        <v>0.22198327965425668</v>
      </c>
      <c r="CC137" s="417">
        <f t="shared" si="301"/>
        <v>0.24520651380534098</v>
      </c>
      <c r="CD137" s="417">
        <f t="shared" si="301"/>
        <v>0.23827755486830471</v>
      </c>
      <c r="CE137" s="417">
        <f t="shared" si="301"/>
        <v>0.23272600565377899</v>
      </c>
      <c r="CF137" s="417">
        <f t="shared" si="301"/>
        <v>0.29294224063589658</v>
      </c>
      <c r="CG137" s="417">
        <f t="shared" si="301"/>
        <v>0.28137647621969197</v>
      </c>
      <c r="CH137" s="417">
        <f t="shared" si="301"/>
        <v>0.27264807482015563</v>
      </c>
      <c r="CI137" s="417">
        <f t="shared" si="301"/>
        <v>0.27023501433802299</v>
      </c>
      <c r="CJ137" s="417">
        <f t="shared" si="301"/>
        <v>0.25377398881218638</v>
      </c>
      <c r="CK137" s="418">
        <f t="shared" si="301"/>
        <v>0.23033193197184287</v>
      </c>
      <c r="CL137" s="418">
        <f t="shared" si="301"/>
        <v>0.23263677565583207</v>
      </c>
      <c r="CM137" s="418">
        <f t="shared" si="301"/>
        <v>0.18949612777831049</v>
      </c>
      <c r="CN137" s="418">
        <f t="shared" si="301"/>
        <v>0.22500960116171043</v>
      </c>
      <c r="CO137" s="418">
        <f t="shared" ref="CO137:CX137" si="302">CO18/CJ18-1</f>
        <v>0.19214125281664796</v>
      </c>
      <c r="CP137" s="418">
        <f t="shared" si="302"/>
        <v>0.18714839778801129</v>
      </c>
      <c r="CQ137" s="418">
        <f t="shared" si="302"/>
        <v>0.18937638986722138</v>
      </c>
      <c r="CR137" s="418">
        <f t="shared" si="302"/>
        <v>0.1887385952782239</v>
      </c>
      <c r="CS137" s="418">
        <f t="shared" si="302"/>
        <v>0.18931225832859599</v>
      </c>
      <c r="CT137" s="418">
        <f t="shared" si="302"/>
        <v>0.18186935856693998</v>
      </c>
      <c r="CU137" s="418">
        <f t="shared" si="302"/>
        <v>0.1736639916462972</v>
      </c>
      <c r="CV137" s="418">
        <f t="shared" si="302"/>
        <v>0.16470530609521639</v>
      </c>
      <c r="CW137" s="418">
        <f t="shared" si="302"/>
        <v>0.15617311257750544</v>
      </c>
      <c r="CX137" s="418">
        <f t="shared" si="302"/>
        <v>0.16862628870807517</v>
      </c>
      <c r="DA137" s="415"/>
      <c r="DB137" s="414"/>
      <c r="DC137" s="414"/>
    </row>
    <row r="138" spans="1:107" hidden="1" outlineLevel="1">
      <c r="A138" s="90" t="s">
        <v>556</v>
      </c>
      <c r="B138" s="412"/>
      <c r="C138" s="417"/>
      <c r="D138" s="417"/>
      <c r="E138" s="417"/>
      <c r="F138" s="417"/>
      <c r="G138" s="417"/>
      <c r="H138" s="419" t="s">
        <v>131</v>
      </c>
      <c r="I138" s="419" t="s">
        <v>131</v>
      </c>
      <c r="J138" s="419" t="s">
        <v>131</v>
      </c>
      <c r="K138" s="419" t="s">
        <v>131</v>
      </c>
      <c r="L138" s="419" t="s">
        <v>131</v>
      </c>
      <c r="M138" s="419" t="s">
        <v>131</v>
      </c>
      <c r="N138" s="419">
        <f>N21/I21-1</f>
        <v>4.426244343891403</v>
      </c>
      <c r="O138" s="419">
        <f>O21/J21-1</f>
        <v>0.48353909465020584</v>
      </c>
      <c r="P138" s="419">
        <f>P21/K21-1</f>
        <v>0.15960912052117271</v>
      </c>
      <c r="Q138" s="419">
        <f>Q21/L21-1</f>
        <v>1.215767277734745</v>
      </c>
      <c r="R138" s="419" t="s">
        <v>131</v>
      </c>
      <c r="S138" s="419">
        <f>S21/N21-1</f>
        <v>0.25617078052034681</v>
      </c>
      <c r="T138" s="419">
        <f>T21/O21-1</f>
        <v>0.27338572969640929</v>
      </c>
      <c r="U138" s="419">
        <f>U21/P21-1</f>
        <v>0.30589887640449454</v>
      </c>
      <c r="V138" s="419">
        <f>V21/Q21-1</f>
        <v>0.26711982909302767</v>
      </c>
      <c r="W138" s="419" t="s">
        <v>131</v>
      </c>
      <c r="X138" s="419">
        <f>X21/S21-1</f>
        <v>0.38197026022304836</v>
      </c>
      <c r="Y138" s="419">
        <f>Y21/T21-1</f>
        <v>0.32942030739440886</v>
      </c>
      <c r="Z138" s="419">
        <f>Z21/U21-1</f>
        <v>0.28135082813508272</v>
      </c>
      <c r="AA138" s="419">
        <f>AA21/V21-1</f>
        <v>0.31944699895775863</v>
      </c>
      <c r="AB138" s="419" t="s">
        <v>131</v>
      </c>
      <c r="AC138" s="419">
        <f>AC21/X21-1</f>
        <v>0.97530982803343247</v>
      </c>
      <c r="AD138" s="419">
        <f>AD21/Y21-1</f>
        <v>1.0943104233045062</v>
      </c>
      <c r="AE138" s="419">
        <f>AE21/Z21-1</f>
        <v>1.3812321638408593</v>
      </c>
      <c r="AF138" s="419">
        <f>AF21/AA21-1</f>
        <v>1.1046163139186396</v>
      </c>
      <c r="AG138" s="419" t="s">
        <v>131</v>
      </c>
      <c r="AH138" s="419">
        <f>AH21/AC21-1</f>
        <v>0.56159719857983537</v>
      </c>
      <c r="AI138" s="419">
        <f>AI21/AD21-1</f>
        <v>0.6649569677475442</v>
      </c>
      <c r="AJ138" s="419">
        <f>AJ21/AE21-1</f>
        <v>0.36891082129009511</v>
      </c>
      <c r="AK138" s="419">
        <f>AK21/AF21-1</f>
        <v>0.52730463963615892</v>
      </c>
      <c r="AL138" s="419" t="s">
        <v>131</v>
      </c>
      <c r="AM138" s="419">
        <f>AM21/AH21-1</f>
        <v>0.41973962875295889</v>
      </c>
      <c r="AN138" s="419">
        <f>AN21/AI21-1</f>
        <v>0.26472431077694236</v>
      </c>
      <c r="AO138" s="419">
        <f>AO21/AJ21-1</f>
        <v>0.30896590792048628</v>
      </c>
      <c r="AP138" s="419">
        <f>AP21/AK21-1</f>
        <v>0.32517328360690101</v>
      </c>
      <c r="AQ138" s="419" t="s">
        <v>131</v>
      </c>
      <c r="AR138" s="419">
        <f>AR21/AM21-1</f>
        <v>-2.1213118350334459E-2</v>
      </c>
      <c r="AS138" s="419">
        <f>AS21/AN21-1</f>
        <v>-1.6555197754107853E-2</v>
      </c>
      <c r="AT138" s="419">
        <f>AT21/AO21-1</f>
        <v>-1.6209304612963438E-2</v>
      </c>
      <c r="AU138" s="419">
        <f>AU21/AP21-1</f>
        <v>1.6989642590279574E-2</v>
      </c>
      <c r="AV138" s="419" t="s">
        <v>131</v>
      </c>
      <c r="AW138" s="419">
        <f>AW21/AR21-1</f>
        <v>0.24380294948227177</v>
      </c>
      <c r="AX138" s="419">
        <f>AX21/AS21-1</f>
        <v>0.31377775912010408</v>
      </c>
      <c r="AY138" s="419">
        <f>AY21/AT21-1</f>
        <v>0.53350262942152704</v>
      </c>
      <c r="AZ138" s="419">
        <f>AZ21/AU21-1</f>
        <v>0.36239019210348489</v>
      </c>
      <c r="BA138" s="419" t="s">
        <v>131</v>
      </c>
      <c r="BB138" s="419">
        <f>BB21/AW21-1</f>
        <v>0.50873936860314251</v>
      </c>
      <c r="BC138" s="419">
        <f>BC21/AX21-1</f>
        <v>0.38577431260085304</v>
      </c>
      <c r="BD138" s="419">
        <f>BD21/AY21-1</f>
        <v>0.1973739112293329</v>
      </c>
      <c r="BE138" s="419">
        <f>BE21/AZ21-1</f>
        <v>0.34289504554508432</v>
      </c>
      <c r="BF138" s="419" t="s">
        <v>131</v>
      </c>
      <c r="BG138" s="419">
        <f>BG21/BB21-1</f>
        <v>0.12157078192740878</v>
      </c>
      <c r="BH138" s="419">
        <f>BH21/BC21-1</f>
        <v>0.12066361529681702</v>
      </c>
      <c r="BI138" s="419">
        <f>BI21/BD21-1</f>
        <v>0.15484215226126841</v>
      </c>
      <c r="BJ138" s="419">
        <f>BJ21/BE21-1</f>
        <v>0.13626916729446203</v>
      </c>
      <c r="BK138" s="419" t="s">
        <v>131</v>
      </c>
      <c r="BL138" s="419">
        <f>BL21/BG21-1</f>
        <v>0.18338160753077482</v>
      </c>
      <c r="BM138" s="419">
        <f>BM21/BH21-1</f>
        <v>0.1686367704700471</v>
      </c>
      <c r="BN138" s="419">
        <f>BN21/BI21-1</f>
        <v>8.2000603500301805E-2</v>
      </c>
      <c r="BO138" s="419">
        <f>BO21/BJ21-1</f>
        <v>0.15390529063947911</v>
      </c>
      <c r="BP138" s="419" t="s">
        <v>131</v>
      </c>
      <c r="BQ138" s="419">
        <f>BQ21/BL21-1</f>
        <v>1.0240351303440143E-2</v>
      </c>
      <c r="BR138" s="419">
        <f>BR21/BM21-1</f>
        <v>-4.1463092565693804E-2</v>
      </c>
      <c r="BS138" s="419">
        <f>BS21/BN21-1</f>
        <v>1.4632573380743308E-2</v>
      </c>
      <c r="BT138" s="419">
        <f>BT21/BO21-1</f>
        <v>-1.0302133310678308E-2</v>
      </c>
      <c r="BU138" s="419" t="s">
        <v>131</v>
      </c>
      <c r="BV138" s="419">
        <f>BV21/BQ21-1</f>
        <v>1.2381198393116355E-2</v>
      </c>
      <c r="BW138" s="419">
        <f>BW21/BR21-1</f>
        <v>4.1144326583092194E-2</v>
      </c>
      <c r="BX138" s="419">
        <f>BX21/BS21-1</f>
        <v>-1.6740678388290964E-2</v>
      </c>
      <c r="BY138" s="419">
        <f>BY21/BT21-1</f>
        <v>8.5457149440451019E-3</v>
      </c>
      <c r="BZ138" s="419" t="s">
        <v>131</v>
      </c>
      <c r="CA138" s="419">
        <f>CA21/BV21-1</f>
        <v>4.2619460306008605E-2</v>
      </c>
      <c r="CB138" s="419">
        <f>CB21/BW21-1</f>
        <v>9.1739072906100727E-3</v>
      </c>
      <c r="CC138" s="419">
        <f>CC21/BX21-1</f>
        <v>8.5137236403026062E-2</v>
      </c>
      <c r="CD138" s="419">
        <f>CD21/BY21-1</f>
        <v>5.0705436757074063E-2</v>
      </c>
      <c r="CE138" s="419" t="s">
        <v>131</v>
      </c>
      <c r="CF138" s="419">
        <f>CF21/CA21-1</f>
        <v>-1.3046303406722415E-2</v>
      </c>
      <c r="CG138" s="419">
        <f>CG21/CB21-1</f>
        <v>-2.2971023993706541E-2</v>
      </c>
      <c r="CH138" s="419">
        <f>CH21/CC21-1</f>
        <v>-5.2229914667525357E-2</v>
      </c>
      <c r="CI138" s="419">
        <f>CI21/CD21-1</f>
        <v>-1.7544271038736015E-2</v>
      </c>
      <c r="CJ138" s="419" t="s">
        <v>131</v>
      </c>
      <c r="CK138" s="420">
        <f>CK21/CF21-1</f>
        <v>0.18432933266995355</v>
      </c>
      <c r="CL138" s="420">
        <f>CL21/CG21-1</f>
        <v>0.16196270441133676</v>
      </c>
      <c r="CM138" s="420">
        <f>CM21/CH21-1</f>
        <v>0.12976296887677075</v>
      </c>
      <c r="CN138" s="420">
        <f>CN21/CI21-1</f>
        <v>0.11828783486240191</v>
      </c>
      <c r="CO138" s="420" t="s">
        <v>131</v>
      </c>
      <c r="CP138" s="420">
        <f>CP21/CK21-1</f>
        <v>0.10706958887880735</v>
      </c>
      <c r="CQ138" s="420">
        <f>CQ21/CL21-1</f>
        <v>9.9953588779245095E-2</v>
      </c>
      <c r="CR138" s="420">
        <f>CR21/CM21-1</f>
        <v>9.6536922348256837E-2</v>
      </c>
      <c r="CS138" s="420">
        <f>CS21/CN21-1</f>
        <v>0.10207534673808638</v>
      </c>
      <c r="CT138" s="420" t="s">
        <v>131</v>
      </c>
      <c r="CU138" s="420">
        <f>CU21/CP21-1</f>
        <v>8.5337775349375811E-2</v>
      </c>
      <c r="CV138" s="420">
        <f>CV21/CQ21-1</f>
        <v>6.555556393625972E-2</v>
      </c>
      <c r="CW138" s="420">
        <f>CW21/CR21-1</f>
        <v>5.3901422218277428E-2</v>
      </c>
      <c r="CX138" s="420">
        <f>CX21/CS21-1</f>
        <v>7.0923053712574458E-2</v>
      </c>
      <c r="DA138" s="201"/>
      <c r="DB138" s="200"/>
      <c r="DC138" s="200"/>
    </row>
    <row r="139" spans="1:107" hidden="1" outlineLevel="1">
      <c r="A139" s="281" t="s">
        <v>191</v>
      </c>
      <c r="B139" s="412"/>
      <c r="C139" s="421"/>
      <c r="D139" s="421"/>
      <c r="E139" s="421"/>
      <c r="F139" s="421"/>
      <c r="G139" s="421"/>
      <c r="H139" s="421">
        <f t="shared" ref="H139:AM139" si="303">H24/C24-1</f>
        <v>-0.18564971167496025</v>
      </c>
      <c r="I139" s="421">
        <f t="shared" si="303"/>
        <v>-7.7694111766295704E-2</v>
      </c>
      <c r="J139" s="421">
        <f t="shared" si="303"/>
        <v>-2.4781081617702316E-2</v>
      </c>
      <c r="K139" s="421">
        <f t="shared" si="303"/>
        <v>0.1138353368110685</v>
      </c>
      <c r="L139" s="421">
        <f t="shared" si="303"/>
        <v>-5.2802263930000315E-2</v>
      </c>
      <c r="M139" s="421">
        <f t="shared" si="303"/>
        <v>0.10824723026846228</v>
      </c>
      <c r="N139" s="421">
        <f t="shared" si="303"/>
        <v>8.7818527282979009E-3</v>
      </c>
      <c r="O139" s="421">
        <f t="shared" si="303"/>
        <v>0.12020191028471716</v>
      </c>
      <c r="P139" s="421">
        <f t="shared" si="303"/>
        <v>0.21697312780413602</v>
      </c>
      <c r="Q139" s="421">
        <f t="shared" si="303"/>
        <v>0.11157481018004978</v>
      </c>
      <c r="R139" s="421">
        <f t="shared" si="303"/>
        <v>0.42569258492059503</v>
      </c>
      <c r="S139" s="421">
        <f t="shared" si="303"/>
        <v>0.28093120013993622</v>
      </c>
      <c r="T139" s="421">
        <f t="shared" si="303"/>
        <v>0.26507417226013885</v>
      </c>
      <c r="U139" s="421">
        <f t="shared" si="303"/>
        <v>0.19776566848677879</v>
      </c>
      <c r="V139" s="421">
        <f t="shared" si="303"/>
        <v>0.28718462033954095</v>
      </c>
      <c r="W139" s="421">
        <f t="shared" si="303"/>
        <v>0.11718220283924863</v>
      </c>
      <c r="X139" s="421">
        <f t="shared" si="303"/>
        <v>0.20957606349903068</v>
      </c>
      <c r="Y139" s="421">
        <f t="shared" si="303"/>
        <v>0.20639910035099196</v>
      </c>
      <c r="Z139" s="421">
        <f t="shared" si="303"/>
        <v>0.18828550274503986</v>
      </c>
      <c r="AA139" s="421">
        <f t="shared" si="303"/>
        <v>0.17985324445676487</v>
      </c>
      <c r="AB139" s="421">
        <f t="shared" si="303"/>
        <v>0.38613438447646575</v>
      </c>
      <c r="AC139" s="421">
        <f t="shared" si="303"/>
        <v>0.28108638809424447</v>
      </c>
      <c r="AD139" s="421">
        <f t="shared" si="303"/>
        <v>0.23643281133543703</v>
      </c>
      <c r="AE139" s="421">
        <f t="shared" si="303"/>
        <v>0.33662570953286886</v>
      </c>
      <c r="AF139" s="421">
        <f t="shared" si="303"/>
        <v>0.30970477353392445</v>
      </c>
      <c r="AG139" s="421">
        <f t="shared" si="303"/>
        <v>-9.2619431926014295E-3</v>
      </c>
      <c r="AH139" s="421">
        <f t="shared" si="303"/>
        <v>0.17329445311713165</v>
      </c>
      <c r="AI139" s="421">
        <f t="shared" si="303"/>
        <v>0.41431207042283935</v>
      </c>
      <c r="AJ139" s="421">
        <f t="shared" si="303"/>
        <v>0.33574376076519963</v>
      </c>
      <c r="AK139" s="421">
        <f t="shared" si="303"/>
        <v>0.22621869296780961</v>
      </c>
      <c r="AL139" s="421">
        <f t="shared" si="303"/>
        <v>0.37116631018760171</v>
      </c>
      <c r="AM139" s="421">
        <f t="shared" si="303"/>
        <v>0.18952971993503032</v>
      </c>
      <c r="AN139" s="421">
        <f t="shared" ref="AN139:BS139" si="304">AN24/AI24-1</f>
        <v>4.1765392409878865E-2</v>
      </c>
      <c r="AO139" s="421">
        <f t="shared" si="304"/>
        <v>4.4885322938374994E-3</v>
      </c>
      <c r="AP139" s="421">
        <f t="shared" si="304"/>
        <v>0.13363644798521546</v>
      </c>
      <c r="AQ139" s="421">
        <f t="shared" si="304"/>
        <v>-0.11685730168623554</v>
      </c>
      <c r="AR139" s="421">
        <f t="shared" si="304"/>
        <v>-0.2054525609830351</v>
      </c>
      <c r="AS139" s="421">
        <f t="shared" si="304"/>
        <v>-0.21386137274769301</v>
      </c>
      <c r="AT139" s="421">
        <f t="shared" si="304"/>
        <v>-0.17264047564680907</v>
      </c>
      <c r="AU139" s="421">
        <f t="shared" si="304"/>
        <v>-0.17711051934850508</v>
      </c>
      <c r="AV139" s="421">
        <f t="shared" si="304"/>
        <v>9.195183051666489E-2</v>
      </c>
      <c r="AW139" s="421">
        <f t="shared" si="304"/>
        <v>0.33825902226990379</v>
      </c>
      <c r="AX139" s="421">
        <f t="shared" si="304"/>
        <v>0.41979793751173822</v>
      </c>
      <c r="AY139" s="421">
        <f t="shared" si="304"/>
        <v>0.33100307282746333</v>
      </c>
      <c r="AZ139" s="421">
        <f t="shared" si="304"/>
        <v>0.28994895536199539</v>
      </c>
      <c r="BA139" s="421">
        <f t="shared" si="304"/>
        <v>0.19681611738674754</v>
      </c>
      <c r="BB139" s="421">
        <f t="shared" si="304"/>
        <v>8.4985180825738249E-2</v>
      </c>
      <c r="BC139" s="421">
        <f t="shared" si="304"/>
        <v>2.3116793679612169E-2</v>
      </c>
      <c r="BD139" s="421">
        <f t="shared" si="304"/>
        <v>0.14307810140622612</v>
      </c>
      <c r="BE139" s="421">
        <f t="shared" si="304"/>
        <v>0.10954157894736838</v>
      </c>
      <c r="BF139" s="421">
        <f t="shared" si="304"/>
        <v>1.704183881382404E-2</v>
      </c>
      <c r="BG139" s="421">
        <f t="shared" si="304"/>
        <v>9.8975839027188872E-2</v>
      </c>
      <c r="BH139" s="421">
        <f t="shared" si="304"/>
        <v>6.6489540194944352E-2</v>
      </c>
      <c r="BI139" s="421">
        <f t="shared" si="304"/>
        <v>1.0996727019922936E-3</v>
      </c>
      <c r="BJ139" s="421">
        <f t="shared" si="304"/>
        <v>4.4451501781911817E-2</v>
      </c>
      <c r="BK139" s="421">
        <f t="shared" si="304"/>
        <v>-3.573123361588959E-2</v>
      </c>
      <c r="BL139" s="421">
        <f t="shared" si="304"/>
        <v>-0.10129405602210517</v>
      </c>
      <c r="BM139" s="421">
        <f t="shared" si="304"/>
        <v>-7.9088082326158049E-2</v>
      </c>
      <c r="BN139" s="421">
        <f t="shared" si="304"/>
        <v>-9.6866904566214829E-2</v>
      </c>
      <c r="BO139" s="421">
        <f t="shared" si="304"/>
        <v>-7.9124104697052E-2</v>
      </c>
      <c r="BP139" s="421">
        <f t="shared" si="304"/>
        <v>-7.6924374400345608E-3</v>
      </c>
      <c r="BQ139" s="421">
        <f t="shared" si="304"/>
        <v>5.7057104603537301E-2</v>
      </c>
      <c r="BR139" s="421">
        <f t="shared" si="304"/>
        <v>1.034047184306619E-2</v>
      </c>
      <c r="BS139" s="421">
        <f t="shared" si="304"/>
        <v>3.0362897535660682E-2</v>
      </c>
      <c r="BT139" s="421">
        <f t="shared" ref="BT139:CN139" si="305">BT24/BO24-1</f>
        <v>2.2643542675649275E-2</v>
      </c>
      <c r="BU139" s="421">
        <f t="shared" si="305"/>
        <v>0.10904791425029003</v>
      </c>
      <c r="BV139" s="421">
        <f t="shared" si="305"/>
        <v>8.7951035753336182E-2</v>
      </c>
      <c r="BW139" s="421">
        <f t="shared" si="305"/>
        <v>0.21121652979036387</v>
      </c>
      <c r="BX139" s="421">
        <f t="shared" si="305"/>
        <v>0.21715263181431932</v>
      </c>
      <c r="BY139" s="421">
        <f t="shared" si="305"/>
        <v>0.15636263236771075</v>
      </c>
      <c r="BZ139" s="421">
        <f t="shared" si="305"/>
        <v>0.24716795545542158</v>
      </c>
      <c r="CA139" s="421">
        <f t="shared" si="305"/>
        <v>0.20354461269465962</v>
      </c>
      <c r="CB139" s="421">
        <f t="shared" si="305"/>
        <v>0.20217233496035369</v>
      </c>
      <c r="CC139" s="421">
        <f t="shared" si="305"/>
        <v>0.23118040054990652</v>
      </c>
      <c r="CD139" s="421">
        <f t="shared" si="305"/>
        <v>0.22081463268460877</v>
      </c>
      <c r="CE139" s="421">
        <f t="shared" si="305"/>
        <v>0.21564624620934181</v>
      </c>
      <c r="CF139" s="421">
        <f t="shared" si="305"/>
        <v>0.26701837194155464</v>
      </c>
      <c r="CG139" s="421">
        <f t="shared" si="305"/>
        <v>0.2575925550234397</v>
      </c>
      <c r="CH139" s="421">
        <f t="shared" si="305"/>
        <v>0.24755738399011706</v>
      </c>
      <c r="CI139" s="421">
        <f t="shared" si="305"/>
        <v>0.24717607008709641</v>
      </c>
      <c r="CJ139" s="421">
        <f t="shared" si="305"/>
        <v>0.2362572146575439</v>
      </c>
      <c r="CK139" s="422">
        <f t="shared" si="305"/>
        <v>0.22729600805772954</v>
      </c>
      <c r="CL139" s="422">
        <f t="shared" si="305"/>
        <v>0.22834594559604304</v>
      </c>
      <c r="CM139" s="422">
        <f t="shared" si="305"/>
        <v>0.18599143237949023</v>
      </c>
      <c r="CN139" s="422">
        <f t="shared" si="305"/>
        <v>0.21827335244139912</v>
      </c>
      <c r="CO139" s="422">
        <f t="shared" ref="CO139:CX139" si="306">CO24/CJ24-1</f>
        <v>0.1873574206309605</v>
      </c>
      <c r="CP139" s="422">
        <f t="shared" si="306"/>
        <v>0.18204864316185554</v>
      </c>
      <c r="CQ139" s="422">
        <f t="shared" si="306"/>
        <v>0.18424067426403723</v>
      </c>
      <c r="CR139" s="422">
        <f t="shared" si="306"/>
        <v>0.18358536700575123</v>
      </c>
      <c r="CS139" s="422">
        <f t="shared" si="306"/>
        <v>0.18425780434137162</v>
      </c>
      <c r="CT139" s="422">
        <f t="shared" si="306"/>
        <v>0.17662998696590315</v>
      </c>
      <c r="CU139" s="422">
        <f t="shared" si="306"/>
        <v>0.16839580838089674</v>
      </c>
      <c r="CV139" s="422">
        <f t="shared" si="306"/>
        <v>0.15941624390929077</v>
      </c>
      <c r="CW139" s="422">
        <f t="shared" si="306"/>
        <v>0.15087745754951265</v>
      </c>
      <c r="CX139" s="422">
        <f t="shared" si="306"/>
        <v>0.16335826233020456</v>
      </c>
      <c r="DA139" s="415"/>
      <c r="DB139" s="414"/>
      <c r="DC139" s="414"/>
    </row>
    <row r="140" spans="1:107" ht="5.25" hidden="1" customHeight="1" outlineLevel="1">
      <c r="A140" s="114"/>
      <c r="B140" s="293"/>
      <c r="C140" s="117"/>
      <c r="D140" s="117"/>
      <c r="E140" s="117"/>
      <c r="F140" s="117"/>
      <c r="G140" s="117"/>
      <c r="H140" s="117"/>
      <c r="I140" s="117"/>
      <c r="J140" s="117"/>
      <c r="K140" s="117"/>
      <c r="L140" s="117"/>
      <c r="M140" s="117"/>
      <c r="N140" s="117"/>
      <c r="O140" s="117"/>
      <c r="P140" s="117"/>
      <c r="Q140" s="117"/>
      <c r="R140" s="117"/>
      <c r="S140" s="117"/>
      <c r="T140" s="117"/>
      <c r="U140" s="117"/>
      <c r="V140" s="117"/>
      <c r="W140" s="117"/>
      <c r="X140" s="117"/>
      <c r="Y140" s="117"/>
      <c r="Z140" s="117"/>
      <c r="AA140" s="121"/>
      <c r="AB140" s="121"/>
      <c r="AC140" s="121"/>
      <c r="AD140" s="121"/>
      <c r="AE140" s="121"/>
      <c r="AF140" s="121"/>
      <c r="AG140" s="121"/>
      <c r="AH140" s="121"/>
      <c r="AI140" s="121"/>
      <c r="AJ140" s="121"/>
      <c r="AK140" s="121"/>
      <c r="AL140" s="121"/>
      <c r="AM140" s="121"/>
      <c r="AN140" s="121"/>
      <c r="AO140" s="121"/>
      <c r="AP140" s="121"/>
      <c r="AQ140" s="121"/>
      <c r="AR140" s="121"/>
      <c r="AS140" s="121"/>
      <c r="AT140" s="121"/>
      <c r="AU140" s="121"/>
      <c r="AV140" s="121"/>
      <c r="AW140" s="121"/>
      <c r="AX140" s="121"/>
      <c r="AY140" s="121"/>
      <c r="AZ140" s="121"/>
      <c r="BA140" s="121"/>
      <c r="BB140" s="121"/>
      <c r="BC140" s="121"/>
      <c r="BD140" s="121"/>
      <c r="BE140" s="121"/>
      <c r="BF140" s="121"/>
      <c r="BG140" s="121"/>
      <c r="BH140" s="121"/>
      <c r="BI140" s="121"/>
      <c r="BJ140" s="121"/>
      <c r="BK140" s="121"/>
      <c r="BL140" s="121"/>
      <c r="BM140" s="121"/>
      <c r="BN140" s="121"/>
      <c r="BO140" s="121"/>
      <c r="BP140" s="121"/>
      <c r="BQ140" s="121"/>
      <c r="BR140" s="121"/>
      <c r="BS140" s="121"/>
      <c r="BT140" s="121"/>
      <c r="BU140" s="121"/>
      <c r="BV140" s="121"/>
      <c r="BW140" s="121"/>
      <c r="BX140" s="121"/>
      <c r="BY140" s="121"/>
      <c r="BZ140" s="121"/>
      <c r="CA140" s="121"/>
      <c r="CB140" s="121"/>
      <c r="CC140" s="121"/>
      <c r="CD140" s="121"/>
      <c r="CE140" s="121"/>
      <c r="CF140" s="121"/>
      <c r="CG140" s="121"/>
      <c r="CH140" s="121"/>
      <c r="CI140" s="121"/>
      <c r="CJ140" s="121"/>
      <c r="CK140" s="123"/>
      <c r="CL140" s="123"/>
      <c r="CM140" s="123"/>
      <c r="CN140" s="123"/>
      <c r="CO140" s="123"/>
      <c r="CP140" s="123"/>
      <c r="CQ140" s="123"/>
      <c r="CR140" s="123"/>
      <c r="CS140" s="123"/>
      <c r="CT140" s="123"/>
      <c r="CU140" s="123"/>
      <c r="CV140" s="123"/>
      <c r="CW140" s="123"/>
      <c r="CX140" s="123"/>
      <c r="DA140" s="126"/>
      <c r="DB140" s="117"/>
      <c r="DC140" s="117"/>
    </row>
    <row r="141" spans="1:107" hidden="1" outlineLevel="1">
      <c r="A141" s="90" t="s">
        <v>34</v>
      </c>
      <c r="B141" s="412"/>
      <c r="C141" s="419"/>
      <c r="D141" s="419"/>
      <c r="E141" s="419"/>
      <c r="F141" s="419"/>
      <c r="G141" s="419"/>
      <c r="H141" s="419">
        <f t="shared" ref="H141:AM141" si="307">H32/C32-1</f>
        <v>4.901079136690667E-2</v>
      </c>
      <c r="I141" s="419">
        <f t="shared" si="307"/>
        <v>0.12406637148351907</v>
      </c>
      <c r="J141" s="419">
        <f t="shared" si="307"/>
        <v>0.57856394391497434</v>
      </c>
      <c r="K141" s="419">
        <f t="shared" si="307"/>
        <v>0.39332807985290263</v>
      </c>
      <c r="L141" s="419">
        <f t="shared" si="307"/>
        <v>0.2803771592736739</v>
      </c>
      <c r="M141" s="419">
        <f t="shared" si="307"/>
        <v>6.5009287041005726E-2</v>
      </c>
      <c r="N141" s="419">
        <f t="shared" si="307"/>
        <v>-7.070385548879965E-2</v>
      </c>
      <c r="O141" s="419">
        <f t="shared" si="307"/>
        <v>-0.3021557719054242</v>
      </c>
      <c r="P141" s="419">
        <f t="shared" si="307"/>
        <v>-4.8827388583063236E-2</v>
      </c>
      <c r="Q141" s="419">
        <f t="shared" si="307"/>
        <v>-0.10802776925437263</v>
      </c>
      <c r="R141" s="419">
        <f t="shared" si="307"/>
        <v>8.1388069045702505E-2</v>
      </c>
      <c r="S141" s="419">
        <f t="shared" si="307"/>
        <v>0.16693783182051702</v>
      </c>
      <c r="T141" s="419">
        <f t="shared" si="307"/>
        <v>6.758164605698247E-2</v>
      </c>
      <c r="U141" s="419">
        <f t="shared" si="307"/>
        <v>0.16430808260990215</v>
      </c>
      <c r="V141" s="419">
        <f t="shared" si="307"/>
        <v>0.12207864806174884</v>
      </c>
      <c r="W141" s="419">
        <f t="shared" si="307"/>
        <v>0.11525101315027708</v>
      </c>
      <c r="X141" s="419">
        <f t="shared" si="307"/>
        <v>6.5676022748120122E-3</v>
      </c>
      <c r="Y141" s="419">
        <f t="shared" si="307"/>
        <v>0.16593830879545179</v>
      </c>
      <c r="Z141" s="419">
        <f t="shared" si="307"/>
        <v>4.5042897998092801E-2</v>
      </c>
      <c r="AA141" s="419">
        <f t="shared" si="307"/>
        <v>7.8560616221809099E-2</v>
      </c>
      <c r="AB141" s="419">
        <f t="shared" si="307"/>
        <v>0.50732322295969423</v>
      </c>
      <c r="AC141" s="419">
        <f t="shared" si="307"/>
        <v>5.5114092002624293E-2</v>
      </c>
      <c r="AD141" s="419">
        <f t="shared" si="307"/>
        <v>0.24188500727802054</v>
      </c>
      <c r="AE141" s="419">
        <f t="shared" si="307"/>
        <v>0.40149861540967668</v>
      </c>
      <c r="AF141" s="419">
        <f t="shared" si="307"/>
        <v>0.30347847714473519</v>
      </c>
      <c r="AG141" s="419">
        <f t="shared" si="307"/>
        <v>6.1794297803252185E-2</v>
      </c>
      <c r="AH141" s="419">
        <f t="shared" si="307"/>
        <v>0.7930283977060737</v>
      </c>
      <c r="AI141" s="419">
        <f t="shared" si="307"/>
        <v>0.82855217276643112</v>
      </c>
      <c r="AJ141" s="419">
        <f t="shared" si="307"/>
        <v>0.59687579906552912</v>
      </c>
      <c r="AK141" s="419">
        <f t="shared" si="307"/>
        <v>0.54121832046503071</v>
      </c>
      <c r="AL141" s="419">
        <f t="shared" si="307"/>
        <v>0.38301322892292022</v>
      </c>
      <c r="AM141" s="419">
        <f t="shared" si="307"/>
        <v>0.11184755592377771</v>
      </c>
      <c r="AN141" s="419">
        <f t="shared" ref="AN141:BS141" si="308">AN32/AI32-1</f>
        <v>-3.4485521529413643E-2</v>
      </c>
      <c r="AO141" s="419">
        <f t="shared" si="308"/>
        <v>-7.3890765110049994E-2</v>
      </c>
      <c r="AP141" s="419">
        <f t="shared" si="308"/>
        <v>6.6805799357100959E-2</v>
      </c>
      <c r="AQ141" s="419">
        <f t="shared" si="308"/>
        <v>5.3019515872351208E-2</v>
      </c>
      <c r="AR141" s="419">
        <f t="shared" si="308"/>
        <v>-2.3255813953488191E-2</v>
      </c>
      <c r="AS141" s="419">
        <f t="shared" si="308"/>
        <v>-0.16135831770427034</v>
      </c>
      <c r="AT141" s="419">
        <f t="shared" si="308"/>
        <v>-4.0238918579065253E-3</v>
      </c>
      <c r="AU141" s="419">
        <f t="shared" si="308"/>
        <v>-3.3800026526078386E-2</v>
      </c>
      <c r="AV141" s="419">
        <f t="shared" si="308"/>
        <v>0.12427616926503315</v>
      </c>
      <c r="AW141" s="419">
        <f t="shared" si="308"/>
        <v>0.56754311262508006</v>
      </c>
      <c r="AX141" s="419">
        <f t="shared" si="308"/>
        <v>0.59654851669338393</v>
      </c>
      <c r="AY141" s="419">
        <f t="shared" si="308"/>
        <v>0.40330471561138825</v>
      </c>
      <c r="AZ141" s="419">
        <f t="shared" si="308"/>
        <v>0.40966124306678608</v>
      </c>
      <c r="BA141" s="419">
        <f t="shared" si="308"/>
        <v>0.24574088748019052</v>
      </c>
      <c r="BB141" s="419">
        <f t="shared" si="308"/>
        <v>1.8652450963747569E-2</v>
      </c>
      <c r="BC141" s="419">
        <f t="shared" si="308"/>
        <v>7.9110472034906731E-2</v>
      </c>
      <c r="BD141" s="419">
        <f t="shared" si="308"/>
        <v>7.7148865821702994E-2</v>
      </c>
      <c r="BE141" s="419">
        <f t="shared" si="308"/>
        <v>9.8160162621418356E-2</v>
      </c>
      <c r="BF141" s="419">
        <f t="shared" si="308"/>
        <v>-7.655698042912662E-3</v>
      </c>
      <c r="BG141" s="419">
        <f t="shared" si="308"/>
        <v>0.20361995977822467</v>
      </c>
      <c r="BH141" s="419">
        <f t="shared" si="308"/>
        <v>0.10989730512095974</v>
      </c>
      <c r="BI141" s="419">
        <f t="shared" si="308"/>
        <v>5.2193069461990538E-2</v>
      </c>
      <c r="BJ141" s="419">
        <f t="shared" si="308"/>
        <v>8.9277945426784466E-2</v>
      </c>
      <c r="BK141" s="419">
        <f t="shared" si="308"/>
        <v>0.22227436616494023</v>
      </c>
      <c r="BL141" s="419">
        <f t="shared" si="308"/>
        <v>3.2808071856508247E-2</v>
      </c>
      <c r="BM141" s="419">
        <f t="shared" si="308"/>
        <v>0.26966187474772574</v>
      </c>
      <c r="BN141" s="419">
        <f t="shared" si="308"/>
        <v>0.25142392188771345</v>
      </c>
      <c r="BO141" s="419">
        <f t="shared" si="308"/>
        <v>0.1891826574508193</v>
      </c>
      <c r="BP141" s="419">
        <f t="shared" si="308"/>
        <v>0.17909986514833687</v>
      </c>
      <c r="BQ141" s="419">
        <f t="shared" si="308"/>
        <v>0.17807313127340674</v>
      </c>
      <c r="BR141" s="419">
        <f t="shared" si="308"/>
        <v>9.5764452704685477E-2</v>
      </c>
      <c r="BS141" s="419">
        <f t="shared" si="308"/>
        <v>8.6642456151479363E-2</v>
      </c>
      <c r="BT141" s="419">
        <f t="shared" ref="BT141:CN141" si="309">BT32/BO32-1</f>
        <v>0.13203995233786214</v>
      </c>
      <c r="BU141" s="419">
        <f t="shared" si="309"/>
        <v>0.13016543694255356</v>
      </c>
      <c r="BV141" s="419">
        <f t="shared" si="309"/>
        <v>0.20006221358987597</v>
      </c>
      <c r="BW141" s="419">
        <f t="shared" si="309"/>
        <v>0.21693298815687667</v>
      </c>
      <c r="BX141" s="419">
        <f t="shared" si="309"/>
        <v>0.29055114088278877</v>
      </c>
      <c r="BY141" s="419">
        <f t="shared" si="309"/>
        <v>0.21115121508749368</v>
      </c>
      <c r="BZ141" s="419">
        <f t="shared" si="309"/>
        <v>0.23102222097288805</v>
      </c>
      <c r="CA141" s="419">
        <f t="shared" si="309"/>
        <v>0.15807375468632445</v>
      </c>
      <c r="CB141" s="419">
        <f t="shared" si="309"/>
        <v>0.12663752789069882</v>
      </c>
      <c r="CC141" s="419">
        <f t="shared" si="309"/>
        <v>0.12323236892248723</v>
      </c>
      <c r="CD141" s="419">
        <f t="shared" si="309"/>
        <v>0.15663182596186398</v>
      </c>
      <c r="CE141" s="419">
        <f t="shared" si="309"/>
        <v>0.21958418012011038</v>
      </c>
      <c r="CF141" s="419">
        <f t="shared" si="309"/>
        <v>0.16532733545879408</v>
      </c>
      <c r="CG141" s="419">
        <f t="shared" si="309"/>
        <v>0.28822958095723861</v>
      </c>
      <c r="CH141" s="419">
        <f t="shared" si="309"/>
        <v>0.23767719072164928</v>
      </c>
      <c r="CI141" s="419">
        <f t="shared" si="309"/>
        <v>0.22809235065189082</v>
      </c>
      <c r="CJ141" s="419">
        <f t="shared" si="309"/>
        <v>9.8133750239893125E-2</v>
      </c>
      <c r="CK141" s="420">
        <f t="shared" si="309"/>
        <v>0.18737276780311696</v>
      </c>
      <c r="CL141" s="420">
        <f t="shared" si="309"/>
        <v>0.18432607077639718</v>
      </c>
      <c r="CM141" s="420">
        <f t="shared" si="309"/>
        <v>0.14462350102749055</v>
      </c>
      <c r="CN141" s="420">
        <f t="shared" si="309"/>
        <v>0.15409151104938257</v>
      </c>
      <c r="CO141" s="420">
        <f t="shared" ref="CO141:CX141" si="310">CO32/CJ32-1</f>
        <v>0.13558419665725063</v>
      </c>
      <c r="CP141" s="420">
        <f t="shared" si="310"/>
        <v>0.13153821733219151</v>
      </c>
      <c r="CQ141" s="420">
        <f t="shared" si="310"/>
        <v>0.13525706461856712</v>
      </c>
      <c r="CR141" s="420">
        <f t="shared" si="310"/>
        <v>0.13232746593774247</v>
      </c>
      <c r="CS141" s="420">
        <f t="shared" si="310"/>
        <v>0.1336482885522543</v>
      </c>
      <c r="CT141" s="420">
        <f t="shared" si="310"/>
        <v>0.12009151021341213</v>
      </c>
      <c r="CU141" s="420">
        <f t="shared" si="310"/>
        <v>0.11495178320521515</v>
      </c>
      <c r="CV141" s="420">
        <f t="shared" si="310"/>
        <v>0.10793845299690008</v>
      </c>
      <c r="CW141" s="420">
        <f t="shared" si="310"/>
        <v>9.7141314088854847E-2</v>
      </c>
      <c r="CX141" s="420">
        <f t="shared" si="310"/>
        <v>0.10945667640619505</v>
      </c>
      <c r="DA141" s="201"/>
      <c r="DB141" s="200"/>
      <c r="DC141" s="200"/>
    </row>
    <row r="142" spans="1:107" hidden="1" outlineLevel="1">
      <c r="A142" s="90"/>
      <c r="B142" s="412"/>
      <c r="C142" s="419"/>
      <c r="D142" s="419"/>
      <c r="E142" s="419"/>
      <c r="F142" s="419"/>
      <c r="G142" s="419"/>
      <c r="H142" s="419"/>
      <c r="I142" s="419"/>
      <c r="J142" s="419"/>
      <c r="K142" s="419"/>
      <c r="L142" s="419"/>
      <c r="M142" s="419"/>
      <c r="N142" s="419"/>
      <c r="O142" s="419"/>
      <c r="P142" s="419"/>
      <c r="Q142" s="419"/>
      <c r="R142" s="419"/>
      <c r="S142" s="419"/>
      <c r="T142" s="419"/>
      <c r="U142" s="419"/>
      <c r="V142" s="419"/>
      <c r="W142" s="419"/>
      <c r="X142" s="419"/>
      <c r="Y142" s="419"/>
      <c r="Z142" s="419"/>
      <c r="AA142" s="419"/>
      <c r="AB142" s="419"/>
      <c r="AC142" s="419"/>
      <c r="AD142" s="419"/>
      <c r="AE142" s="419"/>
      <c r="AF142" s="419"/>
      <c r="AG142" s="419"/>
      <c r="AH142" s="419"/>
      <c r="AI142" s="419"/>
      <c r="AJ142" s="419"/>
      <c r="AK142" s="419"/>
      <c r="AL142" s="419"/>
      <c r="AM142" s="419"/>
      <c r="AN142" s="419"/>
      <c r="AO142" s="419"/>
      <c r="AP142" s="419"/>
      <c r="AQ142" s="419"/>
      <c r="AR142" s="419"/>
      <c r="AS142" s="419"/>
      <c r="AT142" s="419"/>
      <c r="AU142" s="419"/>
      <c r="AV142" s="419"/>
      <c r="AW142" s="419"/>
      <c r="AX142" s="419"/>
      <c r="AY142" s="419"/>
      <c r="AZ142" s="419"/>
      <c r="BA142" s="419"/>
      <c r="BB142" s="419"/>
      <c r="BC142" s="419"/>
      <c r="BD142" s="419"/>
      <c r="BE142" s="419"/>
      <c r="BF142" s="419"/>
      <c r="BG142" s="419"/>
      <c r="BH142" s="419"/>
      <c r="BI142" s="419"/>
      <c r="BJ142" s="419"/>
      <c r="BK142" s="419"/>
      <c r="BL142" s="419"/>
      <c r="BM142" s="419"/>
      <c r="BN142" s="419"/>
      <c r="BO142" s="419"/>
      <c r="BP142" s="419"/>
      <c r="BQ142" s="419"/>
      <c r="BR142" s="419"/>
      <c r="BS142" s="419"/>
      <c r="BT142" s="419"/>
      <c r="BU142" s="419"/>
      <c r="BV142" s="419"/>
      <c r="BW142" s="419"/>
      <c r="BX142" s="419"/>
      <c r="BY142" s="419"/>
      <c r="BZ142" s="419"/>
      <c r="CA142" s="419"/>
      <c r="CB142" s="419"/>
      <c r="CC142" s="419"/>
      <c r="CD142" s="419"/>
      <c r="CE142" s="419"/>
      <c r="CF142" s="419"/>
      <c r="CG142" s="419"/>
      <c r="CH142" s="419"/>
      <c r="CI142" s="419"/>
      <c r="CJ142" s="419"/>
      <c r="CK142" s="420"/>
      <c r="CL142" s="420"/>
      <c r="CM142" s="420"/>
      <c r="CN142" s="420"/>
      <c r="CO142" s="420"/>
      <c r="CP142" s="420"/>
      <c r="CQ142" s="420"/>
      <c r="CR142" s="420"/>
      <c r="CS142" s="420"/>
      <c r="CT142" s="420"/>
      <c r="CU142" s="420"/>
      <c r="CV142" s="420"/>
      <c r="CW142" s="420"/>
      <c r="CX142" s="420"/>
      <c r="DA142" s="201"/>
      <c r="DB142" s="200"/>
      <c r="DC142" s="200"/>
    </row>
    <row r="143" spans="1:107" hidden="1" outlineLevel="1">
      <c r="A143" s="90" t="s">
        <v>193</v>
      </c>
      <c r="B143" s="412"/>
      <c r="C143" s="417"/>
      <c r="D143" s="417"/>
      <c r="E143" s="417"/>
      <c r="F143" s="417"/>
      <c r="G143" s="417"/>
      <c r="H143" s="417">
        <f t="shared" ref="H143:AM143" si="311">H44/C44-1</f>
        <v>6.4826620216567488E-2</v>
      </c>
      <c r="I143" s="417">
        <f t="shared" si="311"/>
        <v>5.4717519338221665E-2</v>
      </c>
      <c r="J143" s="417">
        <f t="shared" si="311"/>
        <v>0.10254848770045588</v>
      </c>
      <c r="K143" s="417">
        <f t="shared" si="311"/>
        <v>0.17442222181558575</v>
      </c>
      <c r="L143" s="417">
        <f t="shared" si="311"/>
        <v>9.7982348899260163E-2</v>
      </c>
      <c r="M143" s="417">
        <f t="shared" si="311"/>
        <v>0.11229910450781677</v>
      </c>
      <c r="N143" s="417">
        <f t="shared" si="311"/>
        <v>9.957364217760678E-2</v>
      </c>
      <c r="O143" s="417">
        <f t="shared" si="311"/>
        <v>0.15177585110300251</v>
      </c>
      <c r="P143" s="417">
        <f t="shared" si="311"/>
        <v>0.13885729421479942</v>
      </c>
      <c r="Q143" s="417">
        <f t="shared" si="311"/>
        <v>0.12555977275867414</v>
      </c>
      <c r="R143" s="417">
        <f t="shared" si="311"/>
        <v>0.13819819273455014</v>
      </c>
      <c r="S143" s="417">
        <f t="shared" si="311"/>
        <v>0.10035157775945125</v>
      </c>
      <c r="T143" s="417">
        <f t="shared" si="311"/>
        <v>0.1636004301450289</v>
      </c>
      <c r="U143" s="417">
        <f t="shared" si="311"/>
        <v>9.5864173039825529E-2</v>
      </c>
      <c r="V143" s="417">
        <f t="shared" si="311"/>
        <v>0.12389342190771879</v>
      </c>
      <c r="W143" s="417">
        <f t="shared" si="311"/>
        <v>0.15472019821235916</v>
      </c>
      <c r="X143" s="417">
        <f t="shared" si="311"/>
        <v>0.17561437418642267</v>
      </c>
      <c r="Y143" s="417">
        <f t="shared" si="311"/>
        <v>0.18126186432211</v>
      </c>
      <c r="Z143" s="417">
        <f t="shared" si="311"/>
        <v>0.18161048689138504</v>
      </c>
      <c r="AA143" s="417">
        <f t="shared" si="311"/>
        <v>0.17357113486842102</v>
      </c>
      <c r="AB143" s="417">
        <f t="shared" si="311"/>
        <v>0.31315321966638199</v>
      </c>
      <c r="AC143" s="417">
        <f t="shared" si="311"/>
        <v>0.28641411938395445</v>
      </c>
      <c r="AD143" s="417">
        <f t="shared" si="311"/>
        <v>0.21957795022519178</v>
      </c>
      <c r="AE143" s="417">
        <f t="shared" si="311"/>
        <v>0.3138398470104713</v>
      </c>
      <c r="AF143" s="417">
        <f t="shared" si="311"/>
        <v>0.28255978189462616</v>
      </c>
      <c r="AG143" s="417">
        <f t="shared" si="311"/>
        <v>8.2463630613535566E-2</v>
      </c>
      <c r="AH143" s="417">
        <f t="shared" si="311"/>
        <v>0.13608423102671785</v>
      </c>
      <c r="AI143" s="417">
        <f t="shared" si="311"/>
        <v>0.25193533006805113</v>
      </c>
      <c r="AJ143" s="417">
        <f t="shared" si="311"/>
        <v>0.16562794026586047</v>
      </c>
      <c r="AK143" s="417">
        <f t="shared" si="311"/>
        <v>0.15941991868617356</v>
      </c>
      <c r="AL143" s="417">
        <f t="shared" si="311"/>
        <v>0.21884611951079003</v>
      </c>
      <c r="AM143" s="417">
        <f t="shared" si="311"/>
        <v>0.15406102442048231</v>
      </c>
      <c r="AN143" s="417">
        <f t="shared" ref="AN143:BS143" si="312">AN44/AI44-1</f>
        <v>2.5668723211256017E-2</v>
      </c>
      <c r="AO143" s="417">
        <f t="shared" si="312"/>
        <v>-5.0356337143921626E-2</v>
      </c>
      <c r="AP143" s="417">
        <f t="shared" si="312"/>
        <v>8.0082539963037602E-2</v>
      </c>
      <c r="AQ143" s="417">
        <f t="shared" si="312"/>
        <v>-0.14893631188201217</v>
      </c>
      <c r="AR143" s="417">
        <f t="shared" si="312"/>
        <v>-0.19184350132625994</v>
      </c>
      <c r="AS143" s="417">
        <f t="shared" si="312"/>
        <v>-0.18850422618886886</v>
      </c>
      <c r="AT143" s="417">
        <f t="shared" si="312"/>
        <v>-0.12274787864698355</v>
      </c>
      <c r="AU143" s="417">
        <f t="shared" si="312"/>
        <v>-0.16380886806633754</v>
      </c>
      <c r="AV143" s="417">
        <f t="shared" si="312"/>
        <v>0.1480475993021273</v>
      </c>
      <c r="AW143" s="417">
        <f t="shared" si="312"/>
        <v>0.18747846065479612</v>
      </c>
      <c r="AX143" s="417">
        <f t="shared" si="312"/>
        <v>0.24869802499126492</v>
      </c>
      <c r="AY143" s="417">
        <f t="shared" si="312"/>
        <v>0.23954882734861527</v>
      </c>
      <c r="AZ143" s="417">
        <f t="shared" si="312"/>
        <v>0.20501955605014643</v>
      </c>
      <c r="BA143" s="417">
        <f t="shared" si="312"/>
        <v>2.6986506746626837E-2</v>
      </c>
      <c r="BB143" s="417">
        <f t="shared" si="312"/>
        <v>8.2871515637308324E-2</v>
      </c>
      <c r="BC143" s="417">
        <f t="shared" si="312"/>
        <v>5.0254503784244564E-2</v>
      </c>
      <c r="BD143" s="417">
        <f t="shared" si="312"/>
        <v>0.10505885968545803</v>
      </c>
      <c r="BE143" s="417">
        <f t="shared" si="312"/>
        <v>6.6337748971639021E-2</v>
      </c>
      <c r="BF143" s="417">
        <f t="shared" si="312"/>
        <v>8.1486396814862694E-3</v>
      </c>
      <c r="BG143" s="417">
        <f t="shared" si="312"/>
        <v>5.8706791482410203E-4</v>
      </c>
      <c r="BH143" s="417">
        <f t="shared" si="312"/>
        <v>7.0160302970712074E-3</v>
      </c>
      <c r="BI143" s="417">
        <f t="shared" si="312"/>
        <v>5.7072725404014868E-3</v>
      </c>
      <c r="BJ143" s="417">
        <f t="shared" si="312"/>
        <v>5.3453627788271341E-3</v>
      </c>
      <c r="BK143" s="417">
        <f t="shared" si="312"/>
        <v>0.16922489600336998</v>
      </c>
      <c r="BL143" s="417">
        <f t="shared" si="312"/>
        <v>0.11475545748486948</v>
      </c>
      <c r="BM143" s="417">
        <f t="shared" si="312"/>
        <v>0.1219251000031496</v>
      </c>
      <c r="BN143" s="417">
        <f t="shared" si="312"/>
        <v>4.4178734813371978E-2</v>
      </c>
      <c r="BO143" s="417">
        <f t="shared" si="312"/>
        <v>0.11108464034911947</v>
      </c>
      <c r="BP143" s="417">
        <f t="shared" si="312"/>
        <v>3.8674157556379818E-3</v>
      </c>
      <c r="BQ143" s="417">
        <f t="shared" si="312"/>
        <v>2.3427175523607513E-2</v>
      </c>
      <c r="BR143" s="417">
        <f t="shared" si="312"/>
        <v>1.8804042672655896E-2</v>
      </c>
      <c r="BS143" s="417">
        <f t="shared" si="312"/>
        <v>5.0035694546794351E-2</v>
      </c>
      <c r="BT143" s="417">
        <f t="shared" ref="BT143:CN143" si="313">BT44/BO44-1</f>
        <v>2.3887048425871749E-2</v>
      </c>
      <c r="BU143" s="417">
        <f t="shared" si="313"/>
        <v>3.4117482125332721E-2</v>
      </c>
      <c r="BV143" s="417">
        <f t="shared" si="313"/>
        <v>3.0744806922600176E-4</v>
      </c>
      <c r="BW143" s="417">
        <f t="shared" si="313"/>
        <v>4.5252384967676695E-2</v>
      </c>
      <c r="BX143" s="417">
        <f t="shared" si="313"/>
        <v>4.7300520322172135E-2</v>
      </c>
      <c r="BY143" s="417">
        <f t="shared" si="313"/>
        <v>3.1865896126914262E-2</v>
      </c>
      <c r="BZ143" s="417">
        <f t="shared" si="313"/>
        <v>0.10842746286786431</v>
      </c>
      <c r="CA143" s="417">
        <f t="shared" si="313"/>
        <v>0.13041291555600276</v>
      </c>
      <c r="CB143" s="417">
        <f t="shared" si="313"/>
        <v>0.14863439839713166</v>
      </c>
      <c r="CC143" s="417">
        <f t="shared" si="313"/>
        <v>0.18812757180101958</v>
      </c>
      <c r="CD143" s="417">
        <f t="shared" si="313"/>
        <v>0.14442562799887093</v>
      </c>
      <c r="CE143" s="417">
        <f t="shared" si="313"/>
        <v>0.20583256687736062</v>
      </c>
      <c r="CF143" s="417">
        <f t="shared" si="313"/>
        <v>0.24281208597812975</v>
      </c>
      <c r="CG143" s="417">
        <f t="shared" si="313"/>
        <v>0.2263254532935508</v>
      </c>
      <c r="CH143" s="417">
        <f t="shared" si="313"/>
        <v>0.20346862070333005</v>
      </c>
      <c r="CI143" s="417">
        <f t="shared" si="313"/>
        <v>0.21923059306836179</v>
      </c>
      <c r="CJ143" s="417">
        <f t="shared" si="313"/>
        <v>0.17158598976780803</v>
      </c>
      <c r="CK143" s="418">
        <f t="shared" si="313"/>
        <v>0.1840383895017208</v>
      </c>
      <c r="CL143" s="418">
        <f t="shared" si="313"/>
        <v>0.18602078261121591</v>
      </c>
      <c r="CM143" s="418">
        <f t="shared" si="313"/>
        <v>0.18587386817330387</v>
      </c>
      <c r="CN143" s="418">
        <f t="shared" si="313"/>
        <v>0.1820750034015246</v>
      </c>
      <c r="CO143" s="418">
        <f t="shared" ref="CO143:CX143" si="314">CO44/CJ44-1</f>
        <v>0.1659869381038499</v>
      </c>
      <c r="CP143" s="418">
        <f t="shared" si="314"/>
        <v>0.16045618054666066</v>
      </c>
      <c r="CQ143" s="418">
        <f t="shared" si="314"/>
        <v>0.16310985586423987</v>
      </c>
      <c r="CR143" s="418">
        <f t="shared" si="314"/>
        <v>0.16184437632738469</v>
      </c>
      <c r="CS143" s="418">
        <f t="shared" si="314"/>
        <v>0.16280918063993388</v>
      </c>
      <c r="CT143" s="418">
        <f t="shared" si="314"/>
        <v>0.17662998696590315</v>
      </c>
      <c r="CU143" s="418">
        <f t="shared" si="314"/>
        <v>0.14665561410632244</v>
      </c>
      <c r="CV143" s="418">
        <f t="shared" si="314"/>
        <v>0.13835252926849395</v>
      </c>
      <c r="CW143" s="418">
        <f t="shared" si="314"/>
        <v>0.12934168512909738</v>
      </c>
      <c r="CX143" s="418">
        <f t="shared" si="314"/>
        <v>0.14701790169649254</v>
      </c>
      <c r="DA143" s="201"/>
      <c r="DB143" s="200"/>
      <c r="DC143" s="200"/>
    </row>
    <row r="144" spans="1:107" hidden="1" outlineLevel="1">
      <c r="A144" s="90" t="s">
        <v>192</v>
      </c>
      <c r="B144" s="412"/>
      <c r="C144" s="417"/>
      <c r="D144" s="417"/>
      <c r="E144" s="417"/>
      <c r="F144" s="417"/>
      <c r="G144" s="417"/>
      <c r="H144" s="417">
        <f t="shared" ref="H144:AM144" si="315">H48/C48-1</f>
        <v>-0.14001540535336032</v>
      </c>
      <c r="I144" s="417">
        <f t="shared" si="315"/>
        <v>-5.1869832636746938E-2</v>
      </c>
      <c r="J144" s="417">
        <f t="shared" si="315"/>
        <v>-1.6868000041908027E-2</v>
      </c>
      <c r="K144" s="417">
        <f t="shared" si="315"/>
        <v>-1.5996878657822844E-2</v>
      </c>
      <c r="L144" s="417">
        <f t="shared" si="315"/>
        <v>-5.7844545724759722E-2</v>
      </c>
      <c r="M144" s="417">
        <f t="shared" si="315"/>
        <v>9.751673794755833E-2</v>
      </c>
      <c r="N144" s="417">
        <f t="shared" si="315"/>
        <v>1.7459431365377753E-2</v>
      </c>
      <c r="O144" s="417">
        <f t="shared" si="315"/>
        <v>0.13104638895105336</v>
      </c>
      <c r="P144" s="417">
        <f t="shared" si="315"/>
        <v>0.21678419101099422</v>
      </c>
      <c r="Q144" s="417">
        <f t="shared" si="315"/>
        <v>0.1131801654717679</v>
      </c>
      <c r="R144" s="417">
        <f t="shared" si="315"/>
        <v>0.29915942383808702</v>
      </c>
      <c r="S144" s="417">
        <f t="shared" si="315"/>
        <v>0.23506319055547142</v>
      </c>
      <c r="T144" s="417">
        <f t="shared" si="315"/>
        <v>0.15833757325644937</v>
      </c>
      <c r="U144" s="417">
        <f t="shared" si="315"/>
        <v>0.23555833472781273</v>
      </c>
      <c r="V144" s="417">
        <f t="shared" si="315"/>
        <v>0.2308032034613634</v>
      </c>
      <c r="W144" s="417">
        <f t="shared" si="315"/>
        <v>0.15727028597452786</v>
      </c>
      <c r="X144" s="417">
        <f t="shared" si="315"/>
        <v>0.18690114199492935</v>
      </c>
      <c r="Y144" s="417">
        <f t="shared" si="315"/>
        <v>0.16926280513099989</v>
      </c>
      <c r="Z144" s="417">
        <f t="shared" si="315"/>
        <v>4.9469309781950077E-2</v>
      </c>
      <c r="AA144" s="417">
        <f t="shared" si="315"/>
        <v>0.13850325150678411</v>
      </c>
      <c r="AB144" s="417">
        <f t="shared" si="315"/>
        <v>0.33126615688376537</v>
      </c>
      <c r="AC144" s="417">
        <f t="shared" si="315"/>
        <v>0.26465027135509778</v>
      </c>
      <c r="AD144" s="417">
        <f t="shared" si="315"/>
        <v>0.35041878843531737</v>
      </c>
      <c r="AE144" s="417">
        <f t="shared" si="315"/>
        <v>0.42061007002696504</v>
      </c>
      <c r="AF144" s="417">
        <f t="shared" si="315"/>
        <v>0.34067784326580974</v>
      </c>
      <c r="AG144" s="417">
        <f t="shared" si="315"/>
        <v>3.8592091984954502E-2</v>
      </c>
      <c r="AH144" s="417">
        <f t="shared" si="315"/>
        <v>0.12499107024401179</v>
      </c>
      <c r="AI144" s="417">
        <f t="shared" si="315"/>
        <v>0.23365444055223583</v>
      </c>
      <c r="AJ144" s="417">
        <f t="shared" si="315"/>
        <v>0.28706939829313183</v>
      </c>
      <c r="AK144" s="417">
        <f t="shared" si="315"/>
        <v>0.17281430124897068</v>
      </c>
      <c r="AL144" s="417">
        <f t="shared" si="315"/>
        <v>0.21796759218365103</v>
      </c>
      <c r="AM144" s="417">
        <f t="shared" si="315"/>
        <v>0.19048483006681227</v>
      </c>
      <c r="AN144" s="417">
        <f t="shared" ref="AN144:BS144" si="316">AN48/AI48-1</f>
        <v>6.7071159234498579E-2</v>
      </c>
      <c r="AO144" s="417">
        <f t="shared" si="316"/>
        <v>-1.6549218601990323E-2</v>
      </c>
      <c r="AP144" s="417">
        <f t="shared" si="316"/>
        <v>0.10506784604484198</v>
      </c>
      <c r="AQ144" s="417">
        <f t="shared" si="316"/>
        <v>-5.0379741735329109E-2</v>
      </c>
      <c r="AR144" s="417">
        <f t="shared" si="316"/>
        <v>-0.13013544663097953</v>
      </c>
      <c r="AS144" s="417">
        <f t="shared" si="316"/>
        <v>-0.14995362743064666</v>
      </c>
      <c r="AT144" s="417">
        <f t="shared" si="316"/>
        <v>-8.8233072198593443E-2</v>
      </c>
      <c r="AU144" s="417">
        <f t="shared" si="316"/>
        <v>-0.10508651804516456</v>
      </c>
      <c r="AV144" s="417">
        <f t="shared" si="316"/>
        <v>0.15657364939687968</v>
      </c>
      <c r="AW144" s="417">
        <f t="shared" si="316"/>
        <v>0.30076343902342884</v>
      </c>
      <c r="AX144" s="417">
        <f t="shared" si="316"/>
        <v>0.29883988583003407</v>
      </c>
      <c r="AY144" s="417">
        <f t="shared" si="316"/>
        <v>0.22961434732354835</v>
      </c>
      <c r="AZ144" s="417">
        <f t="shared" si="316"/>
        <v>0.24486046544396656</v>
      </c>
      <c r="BA144" s="417">
        <f t="shared" si="316"/>
        <v>0.1147640813811015</v>
      </c>
      <c r="BB144" s="417">
        <f t="shared" si="316"/>
        <v>7.6484295027207549E-2</v>
      </c>
      <c r="BC144" s="417">
        <f t="shared" si="316"/>
        <v>0.12189243409160189</v>
      </c>
      <c r="BD144" s="417">
        <f t="shared" si="316"/>
        <v>0.16381633918223204</v>
      </c>
      <c r="BE144" s="417">
        <f t="shared" si="316"/>
        <v>0.11929348583210286</v>
      </c>
      <c r="BF144" s="417">
        <f t="shared" si="316"/>
        <v>9.5712753144354012E-2</v>
      </c>
      <c r="BG144" s="417">
        <f t="shared" si="316"/>
        <v>0.12877787856986456</v>
      </c>
      <c r="BH144" s="417">
        <f t="shared" si="316"/>
        <v>7.1501687075861575E-2</v>
      </c>
      <c r="BI144" s="417">
        <f t="shared" si="316"/>
        <v>8.4390469849173311E-2</v>
      </c>
      <c r="BJ144" s="417">
        <f t="shared" si="316"/>
        <v>9.4931864254365284E-2</v>
      </c>
      <c r="BK144" s="417">
        <f t="shared" si="316"/>
        <v>0.10322468262239348</v>
      </c>
      <c r="BL144" s="417">
        <f t="shared" si="316"/>
        <v>3.3666889283626267E-2</v>
      </c>
      <c r="BM144" s="417">
        <f t="shared" si="316"/>
        <v>6.0789135383127579E-2</v>
      </c>
      <c r="BN144" s="417">
        <f t="shared" si="316"/>
        <v>5.8889799536015142E-2</v>
      </c>
      <c r="BO144" s="417">
        <f t="shared" si="316"/>
        <v>6.336856927489376E-2</v>
      </c>
      <c r="BP144" s="417">
        <f t="shared" si="316"/>
        <v>3.296191738830978E-2</v>
      </c>
      <c r="BQ144" s="417">
        <f t="shared" si="316"/>
        <v>6.4132672757688747E-2</v>
      </c>
      <c r="BR144" s="417">
        <f t="shared" si="316"/>
        <v>4.5867811091994115E-2</v>
      </c>
      <c r="BS144" s="417">
        <f t="shared" si="316"/>
        <v>3.0808793868495332E-3</v>
      </c>
      <c r="BT144" s="417">
        <f t="shared" ref="BT144:CN144" si="317">BT48/BO48-1</f>
        <v>3.5913717284203006E-2</v>
      </c>
      <c r="BU144" s="417">
        <f t="shared" si="317"/>
        <v>-4.9546569822449538E-2</v>
      </c>
      <c r="BV144" s="417">
        <f t="shared" si="317"/>
        <v>-7.3866928677600585E-3</v>
      </c>
      <c r="BW144" s="417">
        <f t="shared" si="317"/>
        <v>3.3369211348083239E-2</v>
      </c>
      <c r="BX144" s="417">
        <f t="shared" si="317"/>
        <v>3.4207840909662002E-2</v>
      </c>
      <c r="BY144" s="417">
        <f t="shared" si="317"/>
        <v>2.859707915082943E-3</v>
      </c>
      <c r="BZ144" s="417">
        <f t="shared" si="317"/>
        <v>0.22362959286381767</v>
      </c>
      <c r="CA144" s="417">
        <f t="shared" si="317"/>
        <v>9.0840562642449996E-2</v>
      </c>
      <c r="CB144" s="417">
        <f t="shared" si="317"/>
        <v>0.14516332288320632</v>
      </c>
      <c r="CC144" s="417">
        <f t="shared" si="317"/>
        <v>0.12484446086246459</v>
      </c>
      <c r="CD144" s="417">
        <f t="shared" si="317"/>
        <v>0.14422081338082093</v>
      </c>
      <c r="CE144" s="417">
        <f t="shared" si="317"/>
        <v>9.360263408952374E-2</v>
      </c>
      <c r="CF144" s="417">
        <f t="shared" si="317"/>
        <v>0.1919755973279913</v>
      </c>
      <c r="CG144" s="417">
        <f t="shared" si="317"/>
        <v>0.14332266576834529</v>
      </c>
      <c r="CH144" s="417">
        <f t="shared" si="317"/>
        <v>0.15266980956784404</v>
      </c>
      <c r="CI144" s="417">
        <f t="shared" si="317"/>
        <v>0.14517504244892487</v>
      </c>
      <c r="CJ144" s="417">
        <f t="shared" si="317"/>
        <v>0.11181171868038953</v>
      </c>
      <c r="CK144" s="418">
        <f t="shared" si="317"/>
        <v>0.12115652905723429</v>
      </c>
      <c r="CL144" s="418">
        <f t="shared" si="317"/>
        <v>0.16171345064593701</v>
      </c>
      <c r="CM144" s="418">
        <f t="shared" si="317"/>
        <v>0.17210438761517022</v>
      </c>
      <c r="CN144" s="418">
        <f t="shared" si="317"/>
        <v>0.14241715425773394</v>
      </c>
      <c r="CO144" s="418">
        <f t="shared" ref="CO144:CX144" si="318">CO48/CJ48-1</f>
        <v>0.17585606500821926</v>
      </c>
      <c r="CP144" s="418">
        <f t="shared" si="318"/>
        <v>0.15966782052258677</v>
      </c>
      <c r="CQ144" s="418">
        <f t="shared" si="318"/>
        <v>0.16159914400149433</v>
      </c>
      <c r="CR144" s="418">
        <f t="shared" si="318"/>
        <v>0.16106336994916592</v>
      </c>
      <c r="CS144" s="418">
        <f t="shared" si="318"/>
        <v>0.16426504741723669</v>
      </c>
      <c r="CT144" s="418">
        <f t="shared" si="318"/>
        <v>0.16512106141013638</v>
      </c>
      <c r="CU144" s="418">
        <f t="shared" si="318"/>
        <v>0.14584654134332875</v>
      </c>
      <c r="CV144" s="418">
        <f t="shared" si="318"/>
        <v>0.1368172620583521</v>
      </c>
      <c r="CW144" s="418">
        <f t="shared" si="318"/>
        <v>0.1285530441003524</v>
      </c>
      <c r="CX144" s="418">
        <f t="shared" si="318"/>
        <v>0.1434117827253798</v>
      </c>
      <c r="DA144" s="201"/>
      <c r="DB144" s="200"/>
      <c r="DC144" s="200"/>
    </row>
    <row r="145" spans="1:107" hidden="1" outlineLevel="1">
      <c r="A145" s="90" t="s">
        <v>194</v>
      </c>
      <c r="B145" s="412"/>
      <c r="C145" s="417"/>
      <c r="D145" s="417"/>
      <c r="E145" s="417"/>
      <c r="F145" s="417"/>
      <c r="G145" s="417"/>
      <c r="H145" s="417">
        <f t="shared" ref="H145:AM145" si="319">H52/C52-1</f>
        <v>-0.15709581824168595</v>
      </c>
      <c r="I145" s="417">
        <f t="shared" si="319"/>
        <v>-6.465004022526144E-2</v>
      </c>
      <c r="J145" s="417">
        <f t="shared" si="319"/>
        <v>2.3780253553592035E-2</v>
      </c>
      <c r="K145" s="417">
        <f t="shared" si="319"/>
        <v>-4.7280736030691717E-2</v>
      </c>
      <c r="L145" s="417">
        <f t="shared" si="319"/>
        <v>-6.4795115285489424E-2</v>
      </c>
      <c r="M145" s="417">
        <f t="shared" si="319"/>
        <v>0.1735224032188758</v>
      </c>
      <c r="N145" s="417">
        <f t="shared" si="319"/>
        <v>4.9335993944815248E-2</v>
      </c>
      <c r="O145" s="417">
        <f t="shared" si="319"/>
        <v>0.13779128672745689</v>
      </c>
      <c r="P145" s="417">
        <f t="shared" si="319"/>
        <v>0.17692020879940351</v>
      </c>
      <c r="Q145" s="417">
        <f t="shared" si="319"/>
        <v>0.13217859322692216</v>
      </c>
      <c r="R145" s="417">
        <f t="shared" si="319"/>
        <v>0.11221330847841271</v>
      </c>
      <c r="S145" s="417">
        <f t="shared" si="319"/>
        <v>0.12711475409836082</v>
      </c>
      <c r="T145" s="417">
        <f t="shared" si="319"/>
        <v>0.21430691599881269</v>
      </c>
      <c r="U145" s="417">
        <f t="shared" si="319"/>
        <v>5.6930144146997597E-2</v>
      </c>
      <c r="V145" s="417">
        <f t="shared" si="319"/>
        <v>0.12695728883334545</v>
      </c>
      <c r="W145" s="417">
        <f t="shared" si="319"/>
        <v>0.23105471088231777</v>
      </c>
      <c r="X145" s="417">
        <f t="shared" si="319"/>
        <v>0.22229979346656181</v>
      </c>
      <c r="Y145" s="417">
        <f t="shared" si="319"/>
        <v>2.221679024416745E-2</v>
      </c>
      <c r="Z145" s="417">
        <f t="shared" si="319"/>
        <v>0.37491757088903532</v>
      </c>
      <c r="AA145" s="417">
        <f t="shared" si="319"/>
        <v>0.20792925998405432</v>
      </c>
      <c r="AB145" s="417">
        <f t="shared" si="319"/>
        <v>0.27365554799183145</v>
      </c>
      <c r="AC145" s="417">
        <f t="shared" si="319"/>
        <v>0.24834003665008697</v>
      </c>
      <c r="AD145" s="417">
        <f t="shared" si="319"/>
        <v>0.36408321598427063</v>
      </c>
      <c r="AE145" s="417">
        <f t="shared" si="319"/>
        <v>0.12668410725964696</v>
      </c>
      <c r="AF145" s="417">
        <f t="shared" si="319"/>
        <v>0.24724285662854473</v>
      </c>
      <c r="AG145" s="417">
        <f t="shared" si="319"/>
        <v>8.2728869206688538E-2</v>
      </c>
      <c r="AH145" s="417">
        <f t="shared" si="319"/>
        <v>0.15308651389789141</v>
      </c>
      <c r="AI145" s="417">
        <f t="shared" si="319"/>
        <v>0.2569536423841059</v>
      </c>
      <c r="AJ145" s="417">
        <f t="shared" si="319"/>
        <v>0.28050927807124482</v>
      </c>
      <c r="AK145" s="417">
        <f t="shared" si="319"/>
        <v>0.19268941562471431</v>
      </c>
      <c r="AL145" s="417">
        <f t="shared" si="319"/>
        <v>0.29454180035964872</v>
      </c>
      <c r="AM145" s="417">
        <f t="shared" si="319"/>
        <v>9.5793928972951692E-2</v>
      </c>
      <c r="AN145" s="417">
        <f t="shared" ref="AN145:BS145" si="320">AN52/AI52-1</f>
        <v>0.10679972726709241</v>
      </c>
      <c r="AO145" s="417">
        <f t="shared" si="320"/>
        <v>0.12466378554806723</v>
      </c>
      <c r="AP145" s="417">
        <f t="shared" si="320"/>
        <v>0.15183771922748024</v>
      </c>
      <c r="AQ145" s="417">
        <f t="shared" si="320"/>
        <v>-0.11415108472129543</v>
      </c>
      <c r="AR145" s="417">
        <f t="shared" si="320"/>
        <v>-8.8174054739129204E-2</v>
      </c>
      <c r="AS145" s="417">
        <f t="shared" si="320"/>
        <v>1.4602934587813587E-2</v>
      </c>
      <c r="AT145" s="417">
        <f t="shared" si="320"/>
        <v>-0.10520234320417021</v>
      </c>
      <c r="AU145" s="417">
        <f t="shared" si="320"/>
        <v>-7.3585493715834449E-2</v>
      </c>
      <c r="AV145" s="417">
        <f t="shared" si="320"/>
        <v>0.22077882146755434</v>
      </c>
      <c r="AW145" s="417">
        <f t="shared" si="320"/>
        <v>0.29930171757619894</v>
      </c>
      <c r="AX145" s="417">
        <f t="shared" si="320"/>
        <v>0.2761256847944582</v>
      </c>
      <c r="AY145" s="417">
        <f t="shared" si="320"/>
        <v>0.33071563710621898</v>
      </c>
      <c r="AZ145" s="417">
        <f t="shared" si="320"/>
        <v>0.28155405865142535</v>
      </c>
      <c r="BA145" s="417">
        <f t="shared" si="320"/>
        <v>7.0156659278661992E-2</v>
      </c>
      <c r="BB145" s="417">
        <f t="shared" si="320"/>
        <v>2.3241893991492679E-2</v>
      </c>
      <c r="BC145" s="417">
        <f t="shared" si="320"/>
        <v>-7.1196081187754778E-2</v>
      </c>
      <c r="BD145" s="417">
        <f t="shared" si="320"/>
        <v>0.1395010324633561</v>
      </c>
      <c r="BE145" s="417">
        <f t="shared" si="320"/>
        <v>3.88608677698139E-2</v>
      </c>
      <c r="BF145" s="417">
        <f t="shared" si="320"/>
        <v>1.6498193671377726E-2</v>
      </c>
      <c r="BG145" s="417">
        <f t="shared" si="320"/>
        <v>0.17120738795474622</v>
      </c>
      <c r="BH145" s="417">
        <f t="shared" si="320"/>
        <v>9.4955351425610734E-2</v>
      </c>
      <c r="BI145" s="417">
        <f t="shared" si="320"/>
        <v>-3.7995365694254546E-2</v>
      </c>
      <c r="BJ145" s="417">
        <f t="shared" si="320"/>
        <v>5.5300180292727097E-2</v>
      </c>
      <c r="BK145" s="417">
        <f t="shared" si="320"/>
        <v>0.336555492527292</v>
      </c>
      <c r="BL145" s="417">
        <f t="shared" si="320"/>
        <v>0.10060253126892893</v>
      </c>
      <c r="BM145" s="417">
        <f t="shared" si="320"/>
        <v>0.18600942062116577</v>
      </c>
      <c r="BN145" s="417">
        <f t="shared" si="320"/>
        <v>0.24404780285952499</v>
      </c>
      <c r="BO145" s="417">
        <f t="shared" si="320"/>
        <v>0.21454361524098586</v>
      </c>
      <c r="BP145" s="417">
        <f t="shared" si="320"/>
        <v>-3.437762552727075E-2</v>
      </c>
      <c r="BQ145" s="417">
        <f t="shared" si="320"/>
        <v>6.4381577676933421E-2</v>
      </c>
      <c r="BR145" s="417">
        <f t="shared" si="320"/>
        <v>0.10608464896945557</v>
      </c>
      <c r="BS145" s="417">
        <f t="shared" si="320"/>
        <v>-4.5706531632163538E-2</v>
      </c>
      <c r="BT145" s="417">
        <f t="shared" ref="BT145:CN145" si="321">BT52/BO52-1</f>
        <v>1.9954632451974152E-2</v>
      </c>
      <c r="BU145" s="417">
        <f t="shared" si="321"/>
        <v>0.13631552509777167</v>
      </c>
      <c r="BV145" s="417">
        <f t="shared" si="321"/>
        <v>1.5149041165478438E-2</v>
      </c>
      <c r="BW145" s="417">
        <f t="shared" si="321"/>
        <v>-6.8068343924263863E-2</v>
      </c>
      <c r="BX145" s="417">
        <f t="shared" si="321"/>
        <v>1.316177363136628E-2</v>
      </c>
      <c r="BY145" s="417">
        <f t="shared" si="321"/>
        <v>2.1690499357125415E-2</v>
      </c>
      <c r="BZ145" s="417">
        <f t="shared" si="321"/>
        <v>3.5838049904881597E-3</v>
      </c>
      <c r="CA145" s="417">
        <f t="shared" si="321"/>
        <v>7.1380062193945104E-2</v>
      </c>
      <c r="CB145" s="417">
        <f t="shared" si="321"/>
        <v>9.0660822070309122E-2</v>
      </c>
      <c r="CC145" s="417">
        <f t="shared" si="321"/>
        <v>0.11488891931674283</v>
      </c>
      <c r="CD145" s="417">
        <f t="shared" si="321"/>
        <v>6.8643060760726238E-2</v>
      </c>
      <c r="CE145" s="417">
        <f t="shared" si="321"/>
        <v>2.9677114877885602E-2</v>
      </c>
      <c r="CF145" s="417">
        <f t="shared" si="321"/>
        <v>0.13289017148195104</v>
      </c>
      <c r="CG145" s="417">
        <f t="shared" si="321"/>
        <v>1.3556402609208762E-2</v>
      </c>
      <c r="CH145" s="417">
        <f t="shared" si="321"/>
        <v>0.13425240065399091</v>
      </c>
      <c r="CI145" s="417">
        <f t="shared" si="321"/>
        <v>7.7372640289630201E-2</v>
      </c>
      <c r="CJ145" s="417">
        <f t="shared" si="321"/>
        <v>0.13866226662999992</v>
      </c>
      <c r="CK145" s="418">
        <f t="shared" si="321"/>
        <v>0.1072000576796901</v>
      </c>
      <c r="CL145" s="418">
        <f t="shared" si="321"/>
        <v>0.13938291655471047</v>
      </c>
      <c r="CM145" s="418">
        <f t="shared" si="321"/>
        <v>0.14341368674624655</v>
      </c>
      <c r="CN145" s="418">
        <f t="shared" si="321"/>
        <v>0.13223733552424477</v>
      </c>
      <c r="CO145" s="418">
        <f t="shared" ref="CO145:CX145" si="322">CO52/CJ52-1</f>
        <v>0.16251722392277101</v>
      </c>
      <c r="CP145" s="418">
        <f t="shared" si="322"/>
        <v>0.16495335802237898</v>
      </c>
      <c r="CQ145" s="418">
        <f t="shared" si="322"/>
        <v>0.15650101730611587</v>
      </c>
      <c r="CR145" s="418">
        <f t="shared" si="322"/>
        <v>0.1585789608351611</v>
      </c>
      <c r="CS145" s="418">
        <f t="shared" si="322"/>
        <v>0.16060881264964033</v>
      </c>
      <c r="CT145" s="418">
        <f t="shared" si="322"/>
        <v>0.17662998696590315</v>
      </c>
      <c r="CU145" s="418">
        <f t="shared" si="322"/>
        <v>0.16839580838089674</v>
      </c>
      <c r="CV145" s="418">
        <f t="shared" si="322"/>
        <v>0.15941624390929077</v>
      </c>
      <c r="CW145" s="418">
        <f t="shared" si="322"/>
        <v>0.15087745754951265</v>
      </c>
      <c r="CX145" s="418">
        <f t="shared" si="322"/>
        <v>0.16346924926425332</v>
      </c>
      <c r="DA145" s="201"/>
      <c r="DB145" s="200"/>
      <c r="DC145" s="200"/>
    </row>
    <row r="146" spans="1:107" hidden="1" outlineLevel="1">
      <c r="A146" s="90" t="s">
        <v>449</v>
      </c>
      <c r="B146" s="412"/>
      <c r="C146" s="417"/>
      <c r="D146" s="417"/>
      <c r="E146" s="417"/>
      <c r="F146" s="417"/>
      <c r="G146" s="417"/>
      <c r="H146" s="417">
        <f t="shared" ref="H146:AM146" si="323">H65/C65-1</f>
        <v>-8.2683488050042886E-2</v>
      </c>
      <c r="I146" s="417">
        <f t="shared" si="323"/>
        <v>-2.213189249652936E-2</v>
      </c>
      <c r="J146" s="417">
        <f t="shared" si="323"/>
        <v>2.5992508510468637E-2</v>
      </c>
      <c r="K146" s="417">
        <f t="shared" si="323"/>
        <v>3.7628567085699727E-2</v>
      </c>
      <c r="L146" s="417">
        <f t="shared" si="323"/>
        <v>-1.1950749729645382E-2</v>
      </c>
      <c r="M146" s="417">
        <f t="shared" si="323"/>
        <v>0.11371646365963706</v>
      </c>
      <c r="N146" s="417">
        <f t="shared" si="323"/>
        <v>4.8549192634126825E-2</v>
      </c>
      <c r="O146" s="417">
        <f t="shared" si="323"/>
        <v>0.13891539793155472</v>
      </c>
      <c r="P146" s="417">
        <f t="shared" si="323"/>
        <v>0.1838483031766267</v>
      </c>
      <c r="Q146" s="417">
        <f t="shared" si="323"/>
        <v>0.12012393425930079</v>
      </c>
      <c r="R146" s="417">
        <f t="shared" si="323"/>
        <v>0.21549800283468623</v>
      </c>
      <c r="S146" s="417">
        <f t="shared" si="323"/>
        <v>0.17368223680045203</v>
      </c>
      <c r="T146" s="417">
        <f t="shared" si="323"/>
        <v>0.16836931051449566</v>
      </c>
      <c r="U146" s="417">
        <f t="shared" si="323"/>
        <v>0.16292317633741371</v>
      </c>
      <c r="V146" s="417">
        <f t="shared" si="323"/>
        <v>0.17936399521647384</v>
      </c>
      <c r="W146" s="417">
        <f t="shared" si="323"/>
        <v>0.16691189253594652</v>
      </c>
      <c r="X146" s="417">
        <f t="shared" si="323"/>
        <v>0.18838877800415776</v>
      </c>
      <c r="Y146" s="417">
        <f t="shared" si="323"/>
        <v>0.15069424175457624</v>
      </c>
      <c r="Z146" s="417">
        <f t="shared" si="323"/>
        <v>0.13396991538949576</v>
      </c>
      <c r="AA146" s="417">
        <f t="shared" si="323"/>
        <v>0.15962341651818979</v>
      </c>
      <c r="AB146" s="417">
        <f t="shared" si="323"/>
        <v>0.31695015643111768</v>
      </c>
      <c r="AC146" s="417">
        <f t="shared" si="323"/>
        <v>0.2690517509279271</v>
      </c>
      <c r="AD146" s="417">
        <f t="shared" si="323"/>
        <v>0.30743810038011232</v>
      </c>
      <c r="AE146" s="417">
        <f t="shared" si="323"/>
        <v>0.33863546322103533</v>
      </c>
      <c r="AF146" s="417">
        <f t="shared" si="323"/>
        <v>0.30797229916405189</v>
      </c>
      <c r="AG146" s="417">
        <f t="shared" si="323"/>
        <v>5.8751303714413172E-2</v>
      </c>
      <c r="AH146" s="417">
        <f t="shared" si="323"/>
        <v>0.13255650786226258</v>
      </c>
      <c r="AI146" s="417">
        <f t="shared" si="323"/>
        <v>0.24281418455441162</v>
      </c>
      <c r="AJ146" s="417">
        <f t="shared" si="323"/>
        <v>0.24698393247954908</v>
      </c>
      <c r="AK146" s="417">
        <f t="shared" si="323"/>
        <v>0.17135717551718099</v>
      </c>
      <c r="AL146" s="417">
        <f t="shared" si="323"/>
        <v>0.22956903358968428</v>
      </c>
      <c r="AM146" s="417">
        <f t="shared" si="323"/>
        <v>0.16500818712313725</v>
      </c>
      <c r="AN146" s="417">
        <f t="shared" ref="AN146:BS146" si="324">AN65/AI65-1</f>
        <v>5.9454625735349875E-2</v>
      </c>
      <c r="AO146" s="417">
        <f t="shared" si="324"/>
        <v>-7.2951061995911726E-3</v>
      </c>
      <c r="AP146" s="417">
        <f t="shared" si="324"/>
        <v>0.10392038926064728</v>
      </c>
      <c r="AQ146" s="417">
        <f t="shared" si="324"/>
        <v>-9.1676928587627438E-2</v>
      </c>
      <c r="AR146" s="417">
        <f t="shared" si="324"/>
        <v>-0.14374102009621681</v>
      </c>
      <c r="AS146" s="417">
        <f t="shared" si="324"/>
        <v>-0.13723381191234452</v>
      </c>
      <c r="AT146" s="417">
        <f t="shared" si="324"/>
        <v>-0.10084560566086009</v>
      </c>
      <c r="AU146" s="417">
        <f t="shared" si="324"/>
        <v>-0.1184637702632908</v>
      </c>
      <c r="AV146" s="417">
        <f t="shared" si="324"/>
        <v>0.16377594474454837</v>
      </c>
      <c r="AW146" s="417">
        <f t="shared" si="324"/>
        <v>0.266925304362015</v>
      </c>
      <c r="AX146" s="417">
        <f t="shared" si="324"/>
        <v>0.28011973973441595</v>
      </c>
      <c r="AY146" s="417">
        <f t="shared" si="324"/>
        <v>0.24811712650997242</v>
      </c>
      <c r="AZ146" s="417">
        <f t="shared" si="324"/>
        <v>0.23899534506702258</v>
      </c>
      <c r="BA146" s="417">
        <f t="shared" si="324"/>
        <v>8.1835899122191469E-2</v>
      </c>
      <c r="BB146" s="417">
        <f t="shared" si="324"/>
        <v>7.0224675903855394E-2</v>
      </c>
      <c r="BC146" s="417">
        <f t="shared" si="324"/>
        <v>6.7369026904539275E-2</v>
      </c>
      <c r="BD146" s="417">
        <f t="shared" si="324"/>
        <v>0.14335397087322388</v>
      </c>
      <c r="BE146" s="417">
        <f t="shared" si="324"/>
        <v>9.1114281783397422E-2</v>
      </c>
      <c r="BF146" s="417">
        <f t="shared" si="324"/>
        <v>5.8779702607880235E-2</v>
      </c>
      <c r="BG146" s="417">
        <f t="shared" si="324"/>
        <v>9.881849598022785E-2</v>
      </c>
      <c r="BH146" s="417">
        <f t="shared" si="324"/>
        <v>5.694787664090728E-2</v>
      </c>
      <c r="BI146" s="417">
        <f t="shared" si="324"/>
        <v>4.2917921803670822E-2</v>
      </c>
      <c r="BJ146" s="417">
        <f t="shared" si="324"/>
        <v>6.3876764630673044E-2</v>
      </c>
      <c r="BK146" s="417">
        <f t="shared" si="324"/>
        <v>0.15605876010026742</v>
      </c>
      <c r="BL146" s="417">
        <f t="shared" si="324"/>
        <v>6.4747084256209675E-2</v>
      </c>
      <c r="BM146" s="417">
        <f t="shared" si="324"/>
        <v>9.7079145198074146E-2</v>
      </c>
      <c r="BN146" s="417">
        <f t="shared" si="324"/>
        <v>8.3245439030085633E-2</v>
      </c>
      <c r="BO146" s="417">
        <f t="shared" si="324"/>
        <v>9.9187174480245721E-2</v>
      </c>
      <c r="BP146" s="417">
        <f t="shared" si="324"/>
        <v>1.3364141824040443E-2</v>
      </c>
      <c r="BQ146" s="417">
        <f t="shared" si="324"/>
        <v>5.3248896564958459E-2</v>
      </c>
      <c r="BR146" s="417">
        <f t="shared" si="324"/>
        <v>4.8788449930398992E-2</v>
      </c>
      <c r="BS146" s="417">
        <f t="shared" si="324"/>
        <v>6.3498815093880889E-3</v>
      </c>
      <c r="BT146" s="417">
        <f t="shared" ref="BT146:CN146" si="325">BT65/BO65-1</f>
        <v>3.0004422394886987E-2</v>
      </c>
      <c r="BU146" s="417">
        <f t="shared" si="325"/>
        <v>3.7071348524466696E-3</v>
      </c>
      <c r="BV146" s="417">
        <f t="shared" si="325"/>
        <v>-1.7593213421566167E-3</v>
      </c>
      <c r="BW146" s="417">
        <f t="shared" si="325"/>
        <v>1.8160328879753385E-2</v>
      </c>
      <c r="BX146" s="417">
        <f t="shared" si="325"/>
        <v>3.4151208410786449E-2</v>
      </c>
      <c r="BY146" s="417">
        <f t="shared" si="325"/>
        <v>1.3688907694858532E-2</v>
      </c>
      <c r="BZ146" s="417">
        <f t="shared" si="325"/>
        <v>0.1505051873443386</v>
      </c>
      <c r="CA146" s="417">
        <f t="shared" si="325"/>
        <v>9.8000592827949928E-2</v>
      </c>
      <c r="CB146" s="417">
        <f t="shared" si="325"/>
        <v>0.13707606252045879</v>
      </c>
      <c r="CC146" s="417">
        <f t="shared" si="325"/>
        <v>0.14003152898915405</v>
      </c>
      <c r="CD146" s="417">
        <f t="shared" si="325"/>
        <v>0.13143792263353227</v>
      </c>
      <c r="CE146" s="417">
        <f t="shared" si="325"/>
        <v>0.11276994940672624</v>
      </c>
      <c r="CF146" s="417">
        <f t="shared" si="325"/>
        <v>0.19623016374345226</v>
      </c>
      <c r="CG146" s="417">
        <f t="shared" si="325"/>
        <v>0.14561708096235138</v>
      </c>
      <c r="CH146" s="417">
        <f t="shared" si="325"/>
        <v>0.16380227005565406</v>
      </c>
      <c r="CI146" s="417">
        <f t="shared" si="325"/>
        <v>0.15442137184152394</v>
      </c>
      <c r="CJ146" s="417">
        <f t="shared" si="325"/>
        <v>0.13303069134005119</v>
      </c>
      <c r="CK146" s="418">
        <f t="shared" si="325"/>
        <v>0.13662338394875939</v>
      </c>
      <c r="CL146" s="418">
        <f t="shared" si="325"/>
        <v>0.16576013213940133</v>
      </c>
      <c r="CM146" s="418">
        <f t="shared" si="325"/>
        <v>0.1716027770187647</v>
      </c>
      <c r="CN146" s="418">
        <f t="shared" si="325"/>
        <v>0.15227481770390261</v>
      </c>
      <c r="CO146" s="418">
        <f t="shared" ref="CO146:CX146" si="326">CO65/CJ65-1</f>
        <v>0.17089069650000521</v>
      </c>
      <c r="CP146" s="418">
        <f t="shared" si="326"/>
        <v>0.16067480066392581</v>
      </c>
      <c r="CQ146" s="418">
        <f t="shared" si="326"/>
        <v>0.16135260407000374</v>
      </c>
      <c r="CR146" s="418">
        <f t="shared" si="326"/>
        <v>0.16091419791166151</v>
      </c>
      <c r="CS146" s="418">
        <f t="shared" si="326"/>
        <v>0.16329848270475678</v>
      </c>
      <c r="CT146" s="418">
        <f t="shared" si="326"/>
        <v>0.17026558767125533</v>
      </c>
      <c r="CU146" s="418">
        <f t="shared" si="326"/>
        <v>0.14941108047345852</v>
      </c>
      <c r="CV146" s="418">
        <f t="shared" si="326"/>
        <v>0.14037465375419966</v>
      </c>
      <c r="CW146" s="418">
        <f t="shared" si="326"/>
        <v>0.13214815388692136</v>
      </c>
      <c r="CX146" s="418">
        <f t="shared" si="326"/>
        <v>0.14741718999844156</v>
      </c>
      <c r="DA146" s="201"/>
      <c r="DB146" s="200"/>
      <c r="DC146" s="200"/>
    </row>
    <row r="147" spans="1:107" ht="5.25" hidden="1" customHeight="1" outlineLevel="1">
      <c r="A147" s="114"/>
      <c r="B147" s="293"/>
      <c r="C147" s="117"/>
      <c r="D147" s="117"/>
      <c r="E147" s="117"/>
      <c r="F147" s="117"/>
      <c r="G147" s="117"/>
      <c r="H147" s="117"/>
      <c r="I147" s="117"/>
      <c r="J147" s="117"/>
      <c r="K147" s="117"/>
      <c r="L147" s="117"/>
      <c r="M147" s="117"/>
      <c r="N147" s="117"/>
      <c r="O147" s="117"/>
      <c r="P147" s="117"/>
      <c r="Q147" s="117"/>
      <c r="R147" s="117"/>
      <c r="S147" s="117"/>
      <c r="T147" s="117"/>
      <c r="U147" s="117"/>
      <c r="V147" s="117"/>
      <c r="W147" s="117"/>
      <c r="X147" s="117"/>
      <c r="Y147" s="117"/>
      <c r="Z147" s="117"/>
      <c r="AA147" s="121"/>
      <c r="AB147" s="121"/>
      <c r="AC147" s="121"/>
      <c r="AD147" s="121"/>
      <c r="AE147" s="121"/>
      <c r="AF147" s="121"/>
      <c r="AG147" s="121"/>
      <c r="AH147" s="121"/>
      <c r="AI147" s="121"/>
      <c r="AJ147" s="121"/>
      <c r="AK147" s="121"/>
      <c r="AL147" s="121"/>
      <c r="AM147" s="121"/>
      <c r="AN147" s="121"/>
      <c r="AO147" s="121"/>
      <c r="AP147" s="121"/>
      <c r="AQ147" s="121"/>
      <c r="AR147" s="121"/>
      <c r="AS147" s="121"/>
      <c r="AT147" s="121"/>
      <c r="AU147" s="121"/>
      <c r="AV147" s="121"/>
      <c r="AW147" s="121"/>
      <c r="AX147" s="121"/>
      <c r="AY147" s="121"/>
      <c r="AZ147" s="121"/>
      <c r="BA147" s="121"/>
      <c r="BB147" s="121"/>
      <c r="BC147" s="121"/>
      <c r="BD147" s="121"/>
      <c r="BE147" s="121"/>
      <c r="BF147" s="121"/>
      <c r="BG147" s="121"/>
      <c r="BH147" s="121"/>
      <c r="BI147" s="121"/>
      <c r="BJ147" s="121"/>
      <c r="BK147" s="121"/>
      <c r="BL147" s="121"/>
      <c r="BM147" s="121"/>
      <c r="BN147" s="121"/>
      <c r="BO147" s="121"/>
      <c r="BP147" s="121"/>
      <c r="BQ147" s="121"/>
      <c r="BR147" s="121"/>
      <c r="BS147" s="121"/>
      <c r="BT147" s="121"/>
      <c r="BU147" s="121"/>
      <c r="BV147" s="121"/>
      <c r="BW147" s="121"/>
      <c r="BX147" s="121"/>
      <c r="BY147" s="121"/>
      <c r="BZ147" s="121"/>
      <c r="CA147" s="121"/>
      <c r="CB147" s="121"/>
      <c r="CC147" s="121"/>
      <c r="CD147" s="121"/>
      <c r="CE147" s="121"/>
      <c r="CF147" s="121"/>
      <c r="CG147" s="121"/>
      <c r="CH147" s="121"/>
      <c r="CI147" s="121"/>
      <c r="CJ147" s="121"/>
      <c r="CK147" s="123"/>
      <c r="CL147" s="123"/>
      <c r="CM147" s="123"/>
      <c r="CN147" s="123"/>
      <c r="CO147" s="123"/>
      <c r="CP147" s="123"/>
      <c r="CQ147" s="123"/>
      <c r="CR147" s="123"/>
      <c r="CS147" s="123"/>
      <c r="CT147" s="123"/>
      <c r="CU147" s="123"/>
      <c r="CV147" s="123"/>
      <c r="CW147" s="123"/>
      <c r="CX147" s="123"/>
      <c r="DA147" s="126"/>
      <c r="DB147" s="117"/>
      <c r="DC147" s="117"/>
    </row>
    <row r="148" spans="1:107" hidden="1" outlineLevel="1">
      <c r="A148" s="90" t="s">
        <v>157</v>
      </c>
      <c r="B148" s="412"/>
      <c r="C148" s="417"/>
      <c r="D148" s="417"/>
      <c r="E148" s="417"/>
      <c r="F148" s="417"/>
      <c r="G148" s="417"/>
      <c r="H148" s="417">
        <f t="shared" ref="H148:AM148" si="327">H67/C67-1</f>
        <v>-0.38938640411304126</v>
      </c>
      <c r="I148" s="417">
        <f t="shared" si="327"/>
        <v>-0.206420810009878</v>
      </c>
      <c r="J148" s="417">
        <f t="shared" si="327"/>
        <v>-0.24271089398512591</v>
      </c>
      <c r="K148" s="417">
        <f t="shared" si="327"/>
        <v>0.23489112178448468</v>
      </c>
      <c r="L148" s="417">
        <f t="shared" si="327"/>
        <v>-0.19487106010113575</v>
      </c>
      <c r="M148" s="417">
        <f t="shared" si="327"/>
        <v>0.10762880924537321</v>
      </c>
      <c r="N148" s="417">
        <f t="shared" si="327"/>
        <v>-5.1273806066139294E-2</v>
      </c>
      <c r="O148" s="417">
        <f t="shared" si="327"/>
        <v>0.25701606607223493</v>
      </c>
      <c r="P148" s="417">
        <f t="shared" si="327"/>
        <v>0.37392175811589468</v>
      </c>
      <c r="Q148" s="417">
        <f t="shared" si="327"/>
        <v>0.16257513415992331</v>
      </c>
      <c r="R148" s="417">
        <f t="shared" si="327"/>
        <v>1.0278978486610035</v>
      </c>
      <c r="S148" s="417">
        <f t="shared" si="327"/>
        <v>0.55081400815648252</v>
      </c>
      <c r="T148" s="417">
        <f t="shared" si="327"/>
        <v>0.52887465132496514</v>
      </c>
      <c r="U148" s="417">
        <f t="shared" si="327"/>
        <v>0.27111446881675616</v>
      </c>
      <c r="V148" s="417">
        <f t="shared" si="327"/>
        <v>0.56186147905928463</v>
      </c>
      <c r="W148" s="417">
        <f t="shared" si="327"/>
        <v>4.5632174051524643E-2</v>
      </c>
      <c r="X148" s="417">
        <f t="shared" si="327"/>
        <v>0.28458322464202368</v>
      </c>
      <c r="Y148" s="417">
        <f t="shared" si="327"/>
        <v>0.30840828427669376</v>
      </c>
      <c r="Z148" s="417">
        <f t="shared" si="327"/>
        <v>0.31118534762500238</v>
      </c>
      <c r="AA148" s="417">
        <f t="shared" si="327"/>
        <v>0.23089115469234267</v>
      </c>
      <c r="AB148" s="417">
        <f t="shared" si="327"/>
        <v>0.47851937766530805</v>
      </c>
      <c r="AC148" s="417">
        <f t="shared" si="327"/>
        <v>0.33402669535246243</v>
      </c>
      <c r="AD148" s="417">
        <f t="shared" si="327"/>
        <v>0.12888097261258902</v>
      </c>
      <c r="AE148" s="417">
        <f t="shared" si="327"/>
        <v>0.32323763872244959</v>
      </c>
      <c r="AF148" s="417">
        <f t="shared" si="327"/>
        <v>0.31334341889587791</v>
      </c>
      <c r="AG148" s="417">
        <f t="shared" si="327"/>
        <v>-0.11836720139777568</v>
      </c>
      <c r="AH148" s="417">
        <f t="shared" si="327"/>
        <v>0.1604056528089195</v>
      </c>
      <c r="AI148" s="417">
        <f t="shared" si="327"/>
        <v>0.64467379818479209</v>
      </c>
      <c r="AJ148" s="417">
        <f t="shared" si="327"/>
        <v>0.42613074824092712</v>
      </c>
      <c r="AK148" s="417">
        <f t="shared" si="327"/>
        <v>0.26230709408749386</v>
      </c>
      <c r="AL148" s="417">
        <f t="shared" si="327"/>
        <v>0.61303673744522991</v>
      </c>
      <c r="AM148" s="417">
        <f t="shared" si="327"/>
        <v>0.23961014557496063</v>
      </c>
      <c r="AN148" s="417">
        <f t="shared" ref="AN148:BS148" si="328">AN67/AI67-1</f>
        <v>3.2453492226945713E-2</v>
      </c>
      <c r="AO148" s="417">
        <f t="shared" si="328"/>
        <v>3.4981349722385868E-2</v>
      </c>
      <c r="AP148" s="417">
        <f t="shared" si="328"/>
        <v>0.18857695533976071</v>
      </c>
      <c r="AQ148" s="417">
        <f t="shared" si="328"/>
        <v>-0.17820756057402198</v>
      </c>
      <c r="AR148" s="417">
        <f t="shared" si="328"/>
        <v>-0.32016348384181303</v>
      </c>
      <c r="AS148" s="417">
        <f t="shared" si="328"/>
        <v>-0.32629667622378977</v>
      </c>
      <c r="AT148" s="417">
        <f t="shared" si="328"/>
        <v>-0.29257888882071603</v>
      </c>
      <c r="AU148" s="417">
        <f t="shared" si="328"/>
        <v>-0.27896416230074683</v>
      </c>
      <c r="AV148" s="417">
        <f t="shared" si="328"/>
        <v>-1.9286380201711695E-2</v>
      </c>
      <c r="AW148" s="417">
        <f t="shared" si="328"/>
        <v>0.40711665320409196</v>
      </c>
      <c r="AX148" s="417">
        <f t="shared" si="328"/>
        <v>0.62360969931122856</v>
      </c>
      <c r="AY148" s="417">
        <f t="shared" si="328"/>
        <v>0.44773102652477847</v>
      </c>
      <c r="AZ148" s="417">
        <f t="shared" si="328"/>
        <v>0.34558711275757381</v>
      </c>
      <c r="BA148" s="417">
        <f t="shared" si="328"/>
        <v>0.38309493027661246</v>
      </c>
      <c r="BB148" s="417">
        <f t="shared" si="328"/>
        <v>0.12546566766128708</v>
      </c>
      <c r="BC148" s="417">
        <f t="shared" si="328"/>
        <v>-4.8937496752740839E-2</v>
      </c>
      <c r="BD148" s="417">
        <f t="shared" si="328"/>
        <v>0.15796341927182356</v>
      </c>
      <c r="BE148" s="417">
        <f t="shared" si="328"/>
        <v>0.13973402460128836</v>
      </c>
      <c r="BF148" s="417">
        <f t="shared" si="328"/>
        <v>-3.3808202744245675E-2</v>
      </c>
      <c r="BG148" s="417">
        <f t="shared" si="328"/>
        <v>7.4189092261509826E-2</v>
      </c>
      <c r="BH148" s="417">
        <f t="shared" si="328"/>
        <v>7.0764431770380831E-2</v>
      </c>
      <c r="BI148" s="417">
        <f t="shared" si="328"/>
        <v>-6.7459505176994061E-2</v>
      </c>
      <c r="BJ148" s="417">
        <f t="shared" si="328"/>
        <v>6.5001055314215517E-3</v>
      </c>
      <c r="BK148" s="417">
        <f t="shared" si="328"/>
        <v>-0.37745581155922536</v>
      </c>
      <c r="BL148" s="417">
        <f t="shared" si="328"/>
        <v>-0.38842903671755447</v>
      </c>
      <c r="BM148" s="417">
        <f t="shared" si="328"/>
        <v>-0.43106663367422693</v>
      </c>
      <c r="BN148" s="417">
        <f t="shared" si="328"/>
        <v>-0.45874671047077364</v>
      </c>
      <c r="BO148" s="417">
        <f t="shared" si="328"/>
        <v>-0.41448443276524538</v>
      </c>
      <c r="BP148" s="417">
        <f t="shared" si="328"/>
        <v>-0.14835559803045761</v>
      </c>
      <c r="BQ148" s="417">
        <f t="shared" si="328"/>
        <v>1.2337591440114704E-2</v>
      </c>
      <c r="BR148" s="417">
        <f t="shared" si="328"/>
        <v>-0.14860084205051338</v>
      </c>
      <c r="BS148" s="417">
        <f t="shared" si="328"/>
        <v>7.2699642139321119E-2</v>
      </c>
      <c r="BT148" s="417">
        <f t="shared" ref="BT148:CN148" si="329">BT67/BO67-1</f>
        <v>-5.2900764827758184E-2</v>
      </c>
      <c r="BU148" s="417">
        <f t="shared" si="329"/>
        <v>0.44003981245212587</v>
      </c>
      <c r="BV148" s="417">
        <f t="shared" si="329"/>
        <v>0.27477391109832761</v>
      </c>
      <c r="BW148" s="417">
        <f t="shared" si="329"/>
        <v>0.89964452168417597</v>
      </c>
      <c r="BX148" s="417">
        <f t="shared" si="329"/>
        <v>0.70420270708178445</v>
      </c>
      <c r="BY148" s="417">
        <f t="shared" si="329"/>
        <v>0.56362513714990015</v>
      </c>
      <c r="BZ148" s="417">
        <f t="shared" si="329"/>
        <v>0.47494511302650855</v>
      </c>
      <c r="CA148" s="417">
        <f t="shared" si="329"/>
        <v>0.45257761678553154</v>
      </c>
      <c r="CB148" s="417">
        <f t="shared" si="329"/>
        <v>0.36157454382142151</v>
      </c>
      <c r="CC148" s="417">
        <f t="shared" si="329"/>
        <v>0.43756170695140328</v>
      </c>
      <c r="CD148" s="417">
        <f t="shared" si="329"/>
        <v>0.42919918596768936</v>
      </c>
      <c r="CE148" s="417">
        <f t="shared" si="329"/>
        <v>0.39669402503370943</v>
      </c>
      <c r="CF148" s="417">
        <f t="shared" si="329"/>
        <v>0.42203018353452748</v>
      </c>
      <c r="CG148" s="417">
        <f t="shared" si="329"/>
        <v>0.42587332710291759</v>
      </c>
      <c r="CH148" s="417">
        <f t="shared" si="329"/>
        <v>0.36736109344661205</v>
      </c>
      <c r="CI148" s="417">
        <f t="shared" si="329"/>
        <v>0.40112823408836817</v>
      </c>
      <c r="CJ148" s="417">
        <f t="shared" si="329"/>
        <v>0.43079008004578778</v>
      </c>
      <c r="CK148" s="418">
        <f t="shared" si="329"/>
        <v>0.3639530253062262</v>
      </c>
      <c r="CL148" s="418">
        <f t="shared" si="329"/>
        <v>0.32400207867218356</v>
      </c>
      <c r="CM148" s="418">
        <f t="shared" si="329"/>
        <v>0.21563664477210676</v>
      </c>
      <c r="CN148" s="418">
        <f t="shared" si="329"/>
        <v>0.3254036884809548</v>
      </c>
      <c r="CO148" s="418">
        <f t="shared" ref="CO148:CX148" si="330">CO67/CJ67-1</f>
        <v>0.21976245046540721</v>
      </c>
      <c r="CP148" s="418">
        <f t="shared" si="330"/>
        <v>0.22059224153539803</v>
      </c>
      <c r="CQ148" s="418">
        <f t="shared" si="330"/>
        <v>0.22509118185067067</v>
      </c>
      <c r="CR148" s="418">
        <f t="shared" si="330"/>
        <v>0.2241647329246701</v>
      </c>
      <c r="CS148" s="418">
        <f t="shared" si="330"/>
        <v>0.22248298827835833</v>
      </c>
      <c r="CT148" s="418">
        <f t="shared" si="330"/>
        <v>0.19766727139779583</v>
      </c>
      <c r="CU148" s="418">
        <f t="shared" si="330"/>
        <v>0.20289069654571423</v>
      </c>
      <c r="CV148" s="418">
        <f t="shared" si="330"/>
        <v>0.19438446992582814</v>
      </c>
      <c r="CW148" s="418">
        <f t="shared" si="330"/>
        <v>0.18541025613613549</v>
      </c>
      <c r="CX148" s="418">
        <f t="shared" si="330"/>
        <v>0.19484067282594908</v>
      </c>
      <c r="DA148" s="201"/>
      <c r="DB148" s="200"/>
      <c r="DC148" s="200"/>
    </row>
    <row r="149" spans="1:107" hidden="1" outlineLevel="1">
      <c r="A149" s="281" t="s">
        <v>538</v>
      </c>
      <c r="B149" s="412"/>
      <c r="C149" s="416"/>
      <c r="D149" s="416"/>
      <c r="E149" s="416"/>
      <c r="F149" s="416"/>
      <c r="G149" s="416"/>
      <c r="H149" s="416">
        <f t="shared" ref="H149:AM149" si="331">H84/C84-1</f>
        <v>-0.36846513742805487</v>
      </c>
      <c r="I149" s="416">
        <f t="shared" si="331"/>
        <v>-0.20214213858808217</v>
      </c>
      <c r="J149" s="416">
        <f t="shared" si="331"/>
        <v>-0.24092079752293272</v>
      </c>
      <c r="K149" s="416">
        <f t="shared" si="331"/>
        <v>0.21276333620796084</v>
      </c>
      <c r="L149" s="416">
        <f t="shared" si="331"/>
        <v>-0.18945578945159147</v>
      </c>
      <c r="M149" s="416">
        <f t="shared" si="331"/>
        <v>2.7416726666414037E-2</v>
      </c>
      <c r="N149" s="416">
        <f t="shared" si="331"/>
        <v>-4.7007342579545974E-2</v>
      </c>
      <c r="O149" s="416">
        <f t="shared" si="331"/>
        <v>0.22152755275146219</v>
      </c>
      <c r="P149" s="416">
        <f t="shared" si="331"/>
        <v>0.40938642828118565</v>
      </c>
      <c r="Q149" s="416">
        <f t="shared" si="331"/>
        <v>0.14707405489383651</v>
      </c>
      <c r="R149" s="416">
        <f t="shared" si="331"/>
        <v>1.2830428769017974</v>
      </c>
      <c r="S149" s="416">
        <f t="shared" si="331"/>
        <v>0.6927902126202421</v>
      </c>
      <c r="T149" s="416">
        <f t="shared" si="331"/>
        <v>0.64729655925723595</v>
      </c>
      <c r="U149" s="416">
        <f t="shared" si="331"/>
        <v>0.32651001874008956</v>
      </c>
      <c r="V149" s="416">
        <f t="shared" si="331"/>
        <v>0.68752445447705046</v>
      </c>
      <c r="W149" s="416">
        <f t="shared" si="331"/>
        <v>8.0421331523934381E-2</v>
      </c>
      <c r="X149" s="416">
        <f t="shared" si="331"/>
        <v>0.31379706680152597</v>
      </c>
      <c r="Y149" s="416">
        <f t="shared" si="331"/>
        <v>0.38720433468792348</v>
      </c>
      <c r="Z149" s="416">
        <f t="shared" si="331"/>
        <v>0.37174889516771925</v>
      </c>
      <c r="AA149" s="416">
        <f t="shared" si="331"/>
        <v>0.28092896126132616</v>
      </c>
      <c r="AB149" s="416">
        <f t="shared" si="331"/>
        <v>0.48336498347713031</v>
      </c>
      <c r="AC149" s="416">
        <f t="shared" si="331"/>
        <v>0.32560434484399758</v>
      </c>
      <c r="AD149" s="416">
        <f t="shared" si="331"/>
        <v>0.17102900104477503</v>
      </c>
      <c r="AE149" s="416">
        <f t="shared" si="331"/>
        <v>0.30046080515467866</v>
      </c>
      <c r="AF149" s="416">
        <f t="shared" si="331"/>
        <v>0.31630328272587516</v>
      </c>
      <c r="AG149" s="416">
        <f t="shared" si="331"/>
        <v>-8.1091297642208238E-2</v>
      </c>
      <c r="AH149" s="416">
        <f t="shared" si="331"/>
        <v>0.17850637522768675</v>
      </c>
      <c r="AI149" s="416">
        <f t="shared" si="331"/>
        <v>0.57076547183784387</v>
      </c>
      <c r="AJ149" s="416">
        <f t="shared" si="331"/>
        <v>0.47021108099052733</v>
      </c>
      <c r="AK149" s="416">
        <f t="shared" si="331"/>
        <v>0.27532705881108477</v>
      </c>
      <c r="AL149" s="416">
        <f t="shared" si="331"/>
        <v>0.49706829313777523</v>
      </c>
      <c r="AM149" s="416">
        <f t="shared" si="331"/>
        <v>0.22186233004054379</v>
      </c>
      <c r="AN149" s="416">
        <f t="shared" ref="AN149:BS149" si="332">AN84/AI84-1</f>
        <v>-9.7635585386557366E-4</v>
      </c>
      <c r="AO149" s="416">
        <f t="shared" si="332"/>
        <v>0.10805874086274381</v>
      </c>
      <c r="AP149" s="416">
        <f t="shared" si="332"/>
        <v>0.17747731495305374</v>
      </c>
      <c r="AQ149" s="416">
        <f t="shared" si="332"/>
        <v>-0.13259642193734167</v>
      </c>
      <c r="AR149" s="416">
        <f t="shared" si="332"/>
        <v>-0.32155768539770757</v>
      </c>
      <c r="AS149" s="416">
        <f t="shared" si="332"/>
        <v>-0.30837290881659973</v>
      </c>
      <c r="AT149" s="416">
        <f t="shared" si="332"/>
        <v>-0.35568982817398265</v>
      </c>
      <c r="AU149" s="416">
        <f t="shared" si="332"/>
        <v>-0.2826649150164966</v>
      </c>
      <c r="AV149" s="416">
        <f t="shared" si="332"/>
        <v>-0.10601267159450878</v>
      </c>
      <c r="AW149" s="416">
        <f t="shared" si="332"/>
        <v>0.26492404221858257</v>
      </c>
      <c r="AX149" s="416">
        <f t="shared" si="332"/>
        <v>0.52563117541814153</v>
      </c>
      <c r="AY149" s="416">
        <f t="shared" si="332"/>
        <v>0.38179945154597239</v>
      </c>
      <c r="AZ149" s="416">
        <f t="shared" si="332"/>
        <v>0.2463512878204821</v>
      </c>
      <c r="BA149" s="416">
        <f t="shared" si="332"/>
        <v>0.40879228354157715</v>
      </c>
      <c r="BB149" s="416">
        <f t="shared" si="332"/>
        <v>0.19613215114645866</v>
      </c>
      <c r="BC149" s="416">
        <f t="shared" si="332"/>
        <v>-3.9415112413366038E-2</v>
      </c>
      <c r="BD149" s="416">
        <f t="shared" si="332"/>
        <v>0.16449484608249776</v>
      </c>
      <c r="BE149" s="416">
        <f t="shared" si="332"/>
        <v>0.16568676573600905</v>
      </c>
      <c r="BF149" s="416">
        <f t="shared" si="332"/>
        <v>-4.591294315716099E-2</v>
      </c>
      <c r="BG149" s="416">
        <f t="shared" si="332"/>
        <v>7.0137589118601573E-2</v>
      </c>
      <c r="BH149" s="416">
        <f t="shared" si="332"/>
        <v>6.8239477929315173E-2</v>
      </c>
      <c r="BI149" s="416">
        <f t="shared" si="332"/>
        <v>-7.4883829973970806E-2</v>
      </c>
      <c r="BJ149" s="416">
        <f t="shared" si="332"/>
        <v>-2.9993266300476495E-4</v>
      </c>
      <c r="BK149" s="416">
        <f t="shared" si="332"/>
        <v>-0.3747359244664884</v>
      </c>
      <c r="BL149" s="416">
        <f t="shared" si="332"/>
        <v>-0.38657543391188287</v>
      </c>
      <c r="BM149" s="416">
        <f t="shared" si="332"/>
        <v>-0.43573357860886219</v>
      </c>
      <c r="BN149" s="416">
        <f t="shared" si="332"/>
        <v>-0.4653397793286288</v>
      </c>
      <c r="BO149" s="416">
        <f t="shared" si="332"/>
        <v>-0.41632241532600234</v>
      </c>
      <c r="BP149" s="416">
        <f t="shared" si="332"/>
        <v>-0.14932228449996365</v>
      </c>
      <c r="BQ149" s="416">
        <f t="shared" si="332"/>
        <v>1.3641161811277724E-2</v>
      </c>
      <c r="BR149" s="416">
        <f t="shared" si="332"/>
        <v>-0.14475829014913677</v>
      </c>
      <c r="BS149" s="416">
        <f t="shared" si="332"/>
        <v>9.5204239131756463E-2</v>
      </c>
      <c r="BT149" s="416">
        <f t="shared" ref="BT149:CN149" si="333">BT84/BO84-1</f>
        <v>-4.6605071000081932E-2</v>
      </c>
      <c r="BU149" s="416">
        <f t="shared" si="333"/>
        <v>0.4826257633032871</v>
      </c>
      <c r="BV149" s="416">
        <f t="shared" si="333"/>
        <v>0.2988206496357797</v>
      </c>
      <c r="BW149" s="416">
        <f t="shared" si="333"/>
        <v>0.9587446306147398</v>
      </c>
      <c r="BX149" s="416">
        <f t="shared" si="333"/>
        <v>0.73002125074211</v>
      </c>
      <c r="BY149" s="416">
        <f t="shared" si="333"/>
        <v>0.60001579476524936</v>
      </c>
      <c r="BZ149" s="416">
        <f t="shared" si="333"/>
        <v>0.48276538367246857</v>
      </c>
      <c r="CA149" s="416">
        <f t="shared" si="333"/>
        <v>0.47742978062127106</v>
      </c>
      <c r="CB149" s="416">
        <f t="shared" si="333"/>
        <v>0.36699186342462409</v>
      </c>
      <c r="CC149" s="416">
        <f t="shared" si="333"/>
        <v>0.4512668377164859</v>
      </c>
      <c r="CD149" s="416">
        <f t="shared" si="333"/>
        <v>0.4419510139303906</v>
      </c>
      <c r="CE149" s="416">
        <f t="shared" si="333"/>
        <v>0.41802670065624303</v>
      </c>
      <c r="CF149" s="416">
        <f t="shared" si="333"/>
        <v>0.42769383981447473</v>
      </c>
      <c r="CG149" s="416">
        <f t="shared" si="333"/>
        <v>0.4583653164267818</v>
      </c>
      <c r="CH149" s="416">
        <f t="shared" si="333"/>
        <v>0.39282659860112012</v>
      </c>
      <c r="CI149" s="416">
        <f t="shared" si="333"/>
        <v>0.42279265105685448</v>
      </c>
      <c r="CJ149" s="416">
        <f t="shared" si="333"/>
        <v>0.63725440314771031</v>
      </c>
      <c r="CK149" s="423">
        <f t="shared" si="333"/>
        <v>0.56537179267976878</v>
      </c>
      <c r="CL149" s="423">
        <f t="shared" si="333"/>
        <v>0.50182511398286267</v>
      </c>
      <c r="CM149" s="423">
        <f t="shared" si="333"/>
        <v>0.37765279871356916</v>
      </c>
      <c r="CN149" s="423">
        <f t="shared" si="333"/>
        <v>0.51017797004955523</v>
      </c>
      <c r="CO149" s="423">
        <f t="shared" ref="CO149:CX149" si="334">CO84/CJ84-1</f>
        <v>0.11452897957820052</v>
      </c>
      <c r="CP149" s="423">
        <f t="shared" si="334"/>
        <v>0.11531217410796546</v>
      </c>
      <c r="CQ149" s="423">
        <f t="shared" si="334"/>
        <v>0.11933922286955245</v>
      </c>
      <c r="CR149" s="423">
        <f t="shared" si="334"/>
        <v>0.12408671075408817</v>
      </c>
      <c r="CS149" s="423">
        <f t="shared" si="334"/>
        <v>0.11847832595409069</v>
      </c>
      <c r="CT149" s="423">
        <f t="shared" si="334"/>
        <v>0.20240116415521392</v>
      </c>
      <c r="CU149" s="423">
        <f t="shared" si="334"/>
        <v>0.2075552172718218</v>
      </c>
      <c r="CV149" s="423">
        <f t="shared" si="334"/>
        <v>0.198805659603285</v>
      </c>
      <c r="CW149" s="423">
        <f t="shared" si="334"/>
        <v>0.18951056218847384</v>
      </c>
      <c r="CX149" s="423">
        <f t="shared" si="334"/>
        <v>0.19930383225413073</v>
      </c>
      <c r="DA149" s="415"/>
      <c r="DB149" s="414"/>
      <c r="DC149" s="414"/>
    </row>
    <row r="150" spans="1:107" hidden="1" outlineLevel="1">
      <c r="A150" s="90" t="s">
        <v>224</v>
      </c>
      <c r="B150" s="412"/>
      <c r="C150" s="417"/>
      <c r="D150" s="417"/>
      <c r="E150" s="417"/>
      <c r="F150" s="417"/>
      <c r="G150" s="417"/>
      <c r="H150" s="417">
        <f t="shared" ref="H150:AM150" si="335">H87/C87-1</f>
        <v>-0.3125</v>
      </c>
      <c r="I150" s="417">
        <f t="shared" si="335"/>
        <v>-0.17647058823529405</v>
      </c>
      <c r="J150" s="417">
        <f t="shared" si="335"/>
        <v>-0.2142857142857143</v>
      </c>
      <c r="K150" s="417">
        <f t="shared" si="335"/>
        <v>0.30000000000000004</v>
      </c>
      <c r="L150" s="417">
        <f t="shared" si="335"/>
        <v>-0.1578947368421052</v>
      </c>
      <c r="M150" s="417">
        <f t="shared" si="335"/>
        <v>9.0909090909090828E-2</v>
      </c>
      <c r="N150" s="417">
        <f t="shared" si="335"/>
        <v>-7.1428571428571508E-2</v>
      </c>
      <c r="O150" s="417">
        <f t="shared" si="335"/>
        <v>0.18181818181818188</v>
      </c>
      <c r="P150" s="417">
        <f t="shared" si="335"/>
        <v>0.30769230769230771</v>
      </c>
      <c r="Q150" s="417">
        <f t="shared" si="335"/>
        <v>0.14583333333333348</v>
      </c>
      <c r="R150" s="417">
        <f t="shared" si="335"/>
        <v>1.0833333333333335</v>
      </c>
      <c r="S150" s="417">
        <f t="shared" si="335"/>
        <v>0.69230769230769229</v>
      </c>
      <c r="T150" s="417">
        <f t="shared" si="335"/>
        <v>0.6153846153846152</v>
      </c>
      <c r="U150" s="417">
        <f t="shared" si="335"/>
        <v>0.29411764705882337</v>
      </c>
      <c r="V150" s="417">
        <f t="shared" si="335"/>
        <v>-9.0909090909090939E-2</v>
      </c>
      <c r="W150" s="417">
        <f t="shared" si="335"/>
        <v>4.0000000000000036E-2</v>
      </c>
      <c r="X150" s="417">
        <f t="shared" si="335"/>
        <v>0.27272727272727293</v>
      </c>
      <c r="Y150" s="417">
        <f t="shared" si="335"/>
        <v>0.38095238095238093</v>
      </c>
      <c r="Z150" s="417">
        <f t="shared" si="335"/>
        <v>0.35516401641148354</v>
      </c>
      <c r="AA150" s="417">
        <f t="shared" si="335"/>
        <v>1.2599999999999998</v>
      </c>
      <c r="AB150" s="417">
        <f t="shared" si="335"/>
        <v>0.23076923076923084</v>
      </c>
      <c r="AC150" s="417">
        <f t="shared" si="335"/>
        <v>0.10714285714285698</v>
      </c>
      <c r="AD150" s="417">
        <f t="shared" si="335"/>
        <v>0</v>
      </c>
      <c r="AE150" s="417">
        <f t="shared" si="335"/>
        <v>0.10687708781704996</v>
      </c>
      <c r="AF150" s="417">
        <f t="shared" si="335"/>
        <v>9.7345132743362983E-2</v>
      </c>
      <c r="AG150" s="417">
        <f t="shared" si="335"/>
        <v>-6.25E-2</v>
      </c>
      <c r="AH150" s="417">
        <f t="shared" si="335"/>
        <v>0.19354838709677424</v>
      </c>
      <c r="AI150" s="417">
        <f t="shared" si="335"/>
        <v>0.5517241379310347</v>
      </c>
      <c r="AJ150" s="417">
        <f t="shared" si="335"/>
        <v>0.48484848484848486</v>
      </c>
      <c r="AK150" s="417">
        <f t="shared" si="335"/>
        <v>0.29838709677419373</v>
      </c>
      <c r="AL150" s="417">
        <f t="shared" si="335"/>
        <v>0.60000000000000009</v>
      </c>
      <c r="AM150" s="417">
        <f t="shared" si="335"/>
        <v>0.35907512450722345</v>
      </c>
      <c r="AN150" s="417">
        <f t="shared" ref="AN150:BS150" si="336">AN87/AI87-1</f>
        <v>0.10475001123814831</v>
      </c>
      <c r="AO150" s="417">
        <f t="shared" si="336"/>
        <v>0.22436923080679771</v>
      </c>
      <c r="AP150" s="417">
        <f t="shared" si="336"/>
        <v>0.28571428571428559</v>
      </c>
      <c r="AQ150" s="417">
        <f t="shared" si="336"/>
        <v>-6.2499999999999889E-2</v>
      </c>
      <c r="AR150" s="417">
        <f t="shared" si="336"/>
        <v>-0.30397817685837702</v>
      </c>
      <c r="AS150" s="417">
        <f t="shared" si="336"/>
        <v>-0.29596943211968518</v>
      </c>
      <c r="AT150" s="417">
        <f t="shared" si="336"/>
        <v>-0.34993599371778672</v>
      </c>
      <c r="AU150" s="417">
        <f t="shared" si="336"/>
        <v>-0.25603864734299508</v>
      </c>
      <c r="AV150" s="417">
        <f t="shared" si="336"/>
        <v>-0.11111111111111105</v>
      </c>
      <c r="AW150" s="417">
        <f t="shared" si="336"/>
        <v>0.25714285714285734</v>
      </c>
      <c r="AX150" s="417">
        <f t="shared" si="336"/>
        <v>0.55069570562164927</v>
      </c>
      <c r="AY150" s="417">
        <f t="shared" si="336"/>
        <v>0.43102951630796582</v>
      </c>
      <c r="AZ150" s="417">
        <f t="shared" si="336"/>
        <v>0.25526292407776752</v>
      </c>
      <c r="BA150" s="417">
        <f t="shared" si="336"/>
        <v>0.44999999999999973</v>
      </c>
      <c r="BB150" s="417">
        <f t="shared" si="336"/>
        <v>0.25</v>
      </c>
      <c r="BC150" s="417">
        <f t="shared" si="336"/>
        <v>1.3370041415450284E-2</v>
      </c>
      <c r="BD150" s="417">
        <f t="shared" si="336"/>
        <v>0.20049845119966458</v>
      </c>
      <c r="BE150" s="417">
        <f t="shared" si="336"/>
        <v>0.2156608760631944</v>
      </c>
      <c r="BF150" s="417">
        <f t="shared" si="336"/>
        <v>-1.7241379310344862E-2</v>
      </c>
      <c r="BG150" s="417">
        <f t="shared" si="336"/>
        <v>8.6462427928031937E-2</v>
      </c>
      <c r="BH150" s="417">
        <f t="shared" si="336"/>
        <v>6.0053367754910214E-2</v>
      </c>
      <c r="BI150" s="417">
        <f t="shared" si="336"/>
        <v>-8.5170934361041839E-2</v>
      </c>
      <c r="BJ150" s="417">
        <f t="shared" si="336"/>
        <v>4.2553191489360653E-3</v>
      </c>
      <c r="BK150" s="417">
        <f t="shared" si="336"/>
        <v>-0.38596491228070173</v>
      </c>
      <c r="BL150" s="417">
        <f t="shared" si="336"/>
        <v>-0.39982560372885756</v>
      </c>
      <c r="BM150" s="417">
        <f t="shared" si="336"/>
        <v>-0.45147618370906273</v>
      </c>
      <c r="BN150" s="417">
        <f t="shared" si="336"/>
        <v>-0.47467966304622011</v>
      </c>
      <c r="BO150" s="417">
        <f t="shared" si="336"/>
        <v>-0.42772783207575937</v>
      </c>
      <c r="BP150" s="417">
        <f t="shared" si="336"/>
        <v>-0.14952309758935278</v>
      </c>
      <c r="BQ150" s="417">
        <f t="shared" si="336"/>
        <v>2.5162198370082489E-2</v>
      </c>
      <c r="BR150" s="417">
        <f t="shared" si="336"/>
        <v>-0.13416652448582489</v>
      </c>
      <c r="BS150" s="417">
        <f t="shared" si="336"/>
        <v>0.1030408314180804</v>
      </c>
      <c r="BT150" s="417">
        <f t="shared" ref="BT150:CN150" si="337">BT87/BO87-1</f>
        <v>-3.9477227807664828E-2</v>
      </c>
      <c r="BU150" s="417">
        <f t="shared" si="337"/>
        <v>0.48500368556013451</v>
      </c>
      <c r="BV150" s="417">
        <f t="shared" si="337"/>
        <v>0.30165935199829952</v>
      </c>
      <c r="BW150" s="417">
        <f t="shared" si="337"/>
        <v>0.96649737275750636</v>
      </c>
      <c r="BX150" s="417">
        <f t="shared" si="337"/>
        <v>0.73494109568613886</v>
      </c>
      <c r="BY150" s="417">
        <f t="shared" si="337"/>
        <v>0.60425104679627983</v>
      </c>
      <c r="BZ150" s="417">
        <f t="shared" si="337"/>
        <v>0.48819003495074598</v>
      </c>
      <c r="CA150" s="417">
        <f t="shared" si="337"/>
        <v>0.47993838891686247</v>
      </c>
      <c r="CB150" s="417">
        <f t="shared" si="337"/>
        <v>0.37279996872339916</v>
      </c>
      <c r="CC150" s="417">
        <f t="shared" si="337"/>
        <v>0.46527055383057925</v>
      </c>
      <c r="CD150" s="417">
        <f t="shared" si="337"/>
        <v>0.44887940464194021</v>
      </c>
      <c r="CE150" s="417">
        <f t="shared" si="337"/>
        <v>0.43165882326842442</v>
      </c>
      <c r="CF150" s="417">
        <f t="shared" si="337"/>
        <v>0.44017454407078405</v>
      </c>
      <c r="CG150" s="417">
        <f t="shared" si="337"/>
        <v>0.46789835402891433</v>
      </c>
      <c r="CH150" s="417">
        <f t="shared" si="337"/>
        <v>0.39593501455928304</v>
      </c>
      <c r="CI150" s="417">
        <f t="shared" si="337"/>
        <v>0.43244250994006084</v>
      </c>
      <c r="CJ150" s="417">
        <f t="shared" si="337"/>
        <v>0.64193571032543972</v>
      </c>
      <c r="CK150" s="418">
        <f t="shared" si="337"/>
        <v>0.57315866651160663</v>
      </c>
      <c r="CL150" s="418">
        <f t="shared" si="337"/>
        <v>0.5109486005155881</v>
      </c>
      <c r="CM150" s="418">
        <f t="shared" si="337"/>
        <v>0.38647221338170512</v>
      </c>
      <c r="CN150" s="418">
        <f t="shared" si="337"/>
        <v>0.51784205208655409</v>
      </c>
      <c r="CO150" s="418">
        <f t="shared" ref="CO150:CX150" si="338">CO87/CJ87-1</f>
        <v>0.12137891750631669</v>
      </c>
      <c r="CP150" s="418">
        <f t="shared" si="338"/>
        <v>0.11978459827148047</v>
      </c>
      <c r="CQ150" s="418">
        <f t="shared" si="338"/>
        <v>0.12382779557928325</v>
      </c>
      <c r="CR150" s="418">
        <f t="shared" si="338"/>
        <v>0.12859432098535239</v>
      </c>
      <c r="CS150" s="418">
        <f t="shared" si="338"/>
        <v>0.12356161567246238</v>
      </c>
      <c r="CT150" s="418">
        <f t="shared" si="338"/>
        <v>0.20722281691365119</v>
      </c>
      <c r="CU150" s="418">
        <f t="shared" si="338"/>
        <v>0.21239753788651816</v>
      </c>
      <c r="CV150" s="418">
        <f t="shared" si="338"/>
        <v>0.20361289431643326</v>
      </c>
      <c r="CW150" s="418">
        <f t="shared" si="338"/>
        <v>0.19428052337476043</v>
      </c>
      <c r="CX150" s="418">
        <f t="shared" si="338"/>
        <v>0.20411306464958923</v>
      </c>
      <c r="DA150" s="201"/>
      <c r="DB150" s="200"/>
      <c r="DC150" s="200"/>
    </row>
    <row r="151" spans="1:107" ht="5.25" hidden="1" customHeight="1" outlineLevel="1">
      <c r="A151" s="114"/>
      <c r="B151" s="293"/>
      <c r="C151" s="117"/>
      <c r="D151" s="117"/>
      <c r="E151" s="117"/>
      <c r="F151" s="117"/>
      <c r="G151" s="117"/>
      <c r="H151" s="117"/>
      <c r="I151" s="117"/>
      <c r="J151" s="117"/>
      <c r="K151" s="117"/>
      <c r="L151" s="117"/>
      <c r="M151" s="117"/>
      <c r="N151" s="117"/>
      <c r="O151" s="117"/>
      <c r="P151" s="117"/>
      <c r="Q151" s="117"/>
      <c r="R151" s="117"/>
      <c r="S151" s="117"/>
      <c r="T151" s="117"/>
      <c r="U151" s="117"/>
      <c r="V151" s="117"/>
      <c r="W151" s="117"/>
      <c r="X151" s="117"/>
      <c r="Y151" s="117"/>
      <c r="Z151" s="117"/>
      <c r="AA151" s="121"/>
      <c r="AB151" s="121"/>
      <c r="AC151" s="121"/>
      <c r="AD151" s="121"/>
      <c r="AE151" s="121"/>
      <c r="AF151" s="121"/>
      <c r="AG151" s="121"/>
      <c r="AH151" s="121"/>
      <c r="AI151" s="121"/>
      <c r="AJ151" s="121"/>
      <c r="AK151" s="121"/>
      <c r="AL151" s="121"/>
      <c r="AM151" s="121"/>
      <c r="AN151" s="121"/>
      <c r="AO151" s="121"/>
      <c r="AP151" s="121"/>
      <c r="AQ151" s="121"/>
      <c r="AR151" s="121"/>
      <c r="AS151" s="121"/>
      <c r="AT151" s="121"/>
      <c r="AU151" s="121"/>
      <c r="AV151" s="121"/>
      <c r="AW151" s="121"/>
      <c r="AX151" s="121"/>
      <c r="AY151" s="121"/>
      <c r="AZ151" s="121"/>
      <c r="BA151" s="121"/>
      <c r="BB151" s="121"/>
      <c r="BC151" s="121"/>
      <c r="BD151" s="121"/>
      <c r="BE151" s="121"/>
      <c r="BF151" s="121"/>
      <c r="BG151" s="121"/>
      <c r="BH151" s="121"/>
      <c r="BI151" s="121"/>
      <c r="BJ151" s="121"/>
      <c r="BK151" s="121"/>
      <c r="BL151" s="121"/>
      <c r="BM151" s="121"/>
      <c r="BN151" s="121"/>
      <c r="BO151" s="121"/>
      <c r="BP151" s="121"/>
      <c r="BQ151" s="121"/>
      <c r="BR151" s="121"/>
      <c r="BS151" s="121"/>
      <c r="BT151" s="121"/>
      <c r="BU151" s="121"/>
      <c r="BV151" s="121"/>
      <c r="BW151" s="121"/>
      <c r="BX151" s="121"/>
      <c r="BY151" s="121"/>
      <c r="BZ151" s="121"/>
      <c r="CA151" s="121"/>
      <c r="CB151" s="121"/>
      <c r="CC151" s="121"/>
      <c r="CD151" s="121"/>
      <c r="CE151" s="121"/>
      <c r="CF151" s="121"/>
      <c r="CG151" s="121"/>
      <c r="CH151" s="121"/>
      <c r="CI151" s="121"/>
      <c r="CJ151" s="121"/>
      <c r="CK151" s="123"/>
      <c r="CL151" s="123"/>
      <c r="CM151" s="123"/>
      <c r="CN151" s="123"/>
      <c r="CO151" s="123"/>
      <c r="CP151" s="123"/>
      <c r="CQ151" s="123"/>
      <c r="CR151" s="123"/>
      <c r="CS151" s="123"/>
      <c r="CT151" s="123"/>
      <c r="CU151" s="123"/>
      <c r="CV151" s="123"/>
      <c r="CW151" s="123"/>
      <c r="CX151" s="123"/>
      <c r="DA151" s="126"/>
      <c r="DB151" s="117"/>
      <c r="DC151" s="117"/>
    </row>
    <row r="152" spans="1:107" hidden="1" outlineLevel="1">
      <c r="A152" s="411" t="s">
        <v>341</v>
      </c>
      <c r="B152" s="412"/>
      <c r="C152" s="411"/>
      <c r="D152" s="411"/>
      <c r="E152" s="411"/>
      <c r="F152" s="411"/>
      <c r="G152" s="411"/>
      <c r="H152" s="411"/>
      <c r="I152" s="411"/>
      <c r="J152" s="411"/>
      <c r="K152" s="411"/>
      <c r="L152" s="411"/>
      <c r="M152" s="411"/>
      <c r="N152" s="411"/>
      <c r="O152" s="411"/>
      <c r="P152" s="411"/>
      <c r="Q152" s="411"/>
      <c r="R152" s="411"/>
      <c r="S152" s="411"/>
      <c r="T152" s="411"/>
      <c r="U152" s="411"/>
      <c r="V152" s="411"/>
      <c r="W152" s="411"/>
      <c r="X152" s="411"/>
      <c r="Y152" s="411"/>
      <c r="Z152" s="411"/>
      <c r="AA152" s="411"/>
      <c r="AB152" s="411"/>
      <c r="AC152" s="411"/>
      <c r="AD152" s="411"/>
      <c r="AE152" s="411"/>
      <c r="AF152" s="411"/>
      <c r="AG152" s="411"/>
      <c r="AH152" s="411"/>
      <c r="AI152" s="411"/>
      <c r="AJ152" s="411"/>
      <c r="AK152" s="411"/>
      <c r="AL152" s="411"/>
      <c r="AM152" s="411"/>
      <c r="AN152" s="411"/>
      <c r="AO152" s="411"/>
      <c r="AP152" s="411"/>
      <c r="AQ152" s="411"/>
      <c r="AR152" s="411"/>
      <c r="AS152" s="411"/>
      <c r="AT152" s="411"/>
      <c r="AU152" s="411"/>
      <c r="AV152" s="411"/>
      <c r="AW152" s="411"/>
      <c r="AX152" s="411"/>
      <c r="AY152" s="411"/>
      <c r="AZ152" s="411"/>
      <c r="BA152" s="411"/>
      <c r="BB152" s="411"/>
      <c r="BC152" s="411"/>
      <c r="BD152" s="411"/>
      <c r="BE152" s="411"/>
      <c r="BF152" s="411"/>
      <c r="BG152" s="411"/>
      <c r="BH152" s="411"/>
      <c r="BI152" s="411"/>
      <c r="BJ152" s="411"/>
      <c r="BK152" s="411"/>
      <c r="BL152" s="411"/>
      <c r="BM152" s="411"/>
      <c r="BN152" s="411"/>
      <c r="BO152" s="411"/>
      <c r="BP152" s="411"/>
      <c r="BQ152" s="411"/>
      <c r="BR152" s="411"/>
      <c r="BS152" s="411"/>
      <c r="BT152" s="411"/>
      <c r="BU152" s="411"/>
      <c r="BV152" s="411"/>
      <c r="BW152" s="411"/>
      <c r="BX152" s="411"/>
      <c r="BY152" s="411"/>
      <c r="BZ152" s="411"/>
      <c r="CA152" s="411"/>
      <c r="CB152" s="411"/>
      <c r="CC152" s="411"/>
      <c r="CD152" s="411"/>
      <c r="CE152" s="411"/>
      <c r="CF152" s="411"/>
      <c r="CG152" s="411"/>
      <c r="CH152" s="411"/>
      <c r="CI152" s="411"/>
      <c r="CJ152" s="411"/>
      <c r="CK152" s="413"/>
      <c r="CL152" s="413"/>
      <c r="CM152" s="413"/>
      <c r="CN152" s="413"/>
      <c r="CO152" s="413"/>
      <c r="CP152" s="413"/>
      <c r="CQ152" s="413"/>
      <c r="CR152" s="413"/>
      <c r="CS152" s="413"/>
      <c r="CT152" s="413"/>
      <c r="CU152" s="413"/>
      <c r="CV152" s="413"/>
      <c r="CW152" s="413"/>
      <c r="CX152" s="413"/>
      <c r="DA152" s="415"/>
      <c r="DB152" s="414"/>
      <c r="DC152" s="414"/>
    </row>
    <row r="153" spans="1:107" hidden="1" outlineLevel="1">
      <c r="A153" s="90" t="s">
        <v>611</v>
      </c>
      <c r="B153" s="412"/>
      <c r="C153" s="419" t="s">
        <v>131</v>
      </c>
      <c r="D153" s="417">
        <f>D18/C18-1</f>
        <v>4.5973936753919142E-2</v>
      </c>
      <c r="E153" s="417">
        <f>E18/D18-1</f>
        <v>-0.15104928028178433</v>
      </c>
      <c r="F153" s="417">
        <f>F18/E18-1</f>
        <v>-9.4407054683381508E-2</v>
      </c>
      <c r="G153" s="419" t="s">
        <v>131</v>
      </c>
      <c r="H153" s="417">
        <f>H18/F18-1</f>
        <v>1.2686172223482561E-2</v>
      </c>
      <c r="I153" s="417">
        <f>I18/H18-1</f>
        <v>0.18051034729895177</v>
      </c>
      <c r="J153" s="417">
        <f>J18/I18-1</f>
        <v>-0.11303888646467719</v>
      </c>
      <c r="K153" s="417">
        <f>K18/J18-1</f>
        <v>2.8552075720575498E-2</v>
      </c>
      <c r="L153" s="419" t="s">
        <v>131</v>
      </c>
      <c r="M153" s="417">
        <f>M18/K18-1</f>
        <v>7.7673873711501251E-3</v>
      </c>
      <c r="N153" s="417">
        <f>N18/M18-1</f>
        <v>8.0462932709669532E-2</v>
      </c>
      <c r="O153" s="417">
        <f>O18/N18-1</f>
        <v>-4.8289033901002254E-3</v>
      </c>
      <c r="P153" s="417">
        <f>P18/O18-1</f>
        <v>0.12421273505995822</v>
      </c>
      <c r="Q153" s="419" t="s">
        <v>131</v>
      </c>
      <c r="R153" s="417">
        <f>R18/P18-1</f>
        <v>0.18290816181366099</v>
      </c>
      <c r="S153" s="417">
        <f>S18/R18-1</f>
        <v>-3.1747291654640297E-2</v>
      </c>
      <c r="T153" s="417">
        <f>T18/S18-1</f>
        <v>-1.7644881543548374E-2</v>
      </c>
      <c r="U153" s="417">
        <f>U18/T18-1</f>
        <v>6.2597041345302751E-2</v>
      </c>
      <c r="V153" s="419" t="s">
        <v>131</v>
      </c>
      <c r="W153" s="417">
        <f>W18/U18-1</f>
        <v>0.10219560023226815</v>
      </c>
      <c r="X153" s="417">
        <f>X18/W18-1</f>
        <v>4.8522391378978957E-2</v>
      </c>
      <c r="Y153" s="417">
        <f>Y18/X18-1</f>
        <v>-1.9698529714591739E-2</v>
      </c>
      <c r="Z153" s="417">
        <f>Z18/Y18-1</f>
        <v>4.7059787335050451E-2</v>
      </c>
      <c r="AA153" s="419" t="s">
        <v>131</v>
      </c>
      <c r="AB153" s="417">
        <f>AB18/Z18-1</f>
        <v>0.27759465711184683</v>
      </c>
      <c r="AC153" s="417">
        <f>AC18/AB18-1</f>
        <v>-3.4437978348873965E-2</v>
      </c>
      <c r="AD153" s="417">
        <f>AD18/AC18-1</f>
        <v>-5.8074955886777468E-2</v>
      </c>
      <c r="AE153" s="417">
        <f>AE18/AD18-1</f>
        <v>0.12883620950128205</v>
      </c>
      <c r="AF153" s="419" t="s">
        <v>131</v>
      </c>
      <c r="AG153" s="417">
        <f>AG18/AE18-1</f>
        <v>-5.1249225686557875E-2</v>
      </c>
      <c r="AH153" s="417">
        <f>AH18/AG18-1</f>
        <v>0.15020361181238706</v>
      </c>
      <c r="AI153" s="417">
        <f>AI18/AH18-1</f>
        <v>0.14003831981487624</v>
      </c>
      <c r="AJ153" s="417">
        <f>AJ18/AI18-1</f>
        <v>7.2528037256787137E-2</v>
      </c>
      <c r="AK153" s="419" t="s">
        <v>131</v>
      </c>
      <c r="AL153" s="417">
        <f>AL18/AJ18-1</f>
        <v>-2.3399340879782238E-2</v>
      </c>
      <c r="AM153" s="417">
        <f>AM18/AL18-1</f>
        <v>-1.2513468910585135E-2</v>
      </c>
      <c r="AN153" s="417">
        <f>AN18/AM18-1</f>
        <v>-2.9573244296631218E-3</v>
      </c>
      <c r="AO153" s="417">
        <f>AO18/AN18-1</f>
        <v>3.0582501701809539E-2</v>
      </c>
      <c r="AP153" s="419" t="s">
        <v>131</v>
      </c>
      <c r="AQ153" s="417">
        <f>AQ18/AO18-1</f>
        <v>-0.14143644747161843</v>
      </c>
      <c r="AR153" s="417">
        <f>AR18/AQ18-1</f>
        <v>-0.11067651667544687</v>
      </c>
      <c r="AS153" s="417">
        <f>AS18/AR18-1</f>
        <v>-1.5438107430441272E-2</v>
      </c>
      <c r="AT153" s="417">
        <f>AT18/AS18-1</f>
        <v>8.8336808414055223E-2</v>
      </c>
      <c r="AU153" s="419" t="s">
        <v>131</v>
      </c>
      <c r="AV153" s="417">
        <f>AV18/AT18-1</f>
        <v>0.13032185637208871</v>
      </c>
      <c r="AW153" s="417">
        <f>AW18/AV18-1</f>
        <v>0.11019394705076646</v>
      </c>
      <c r="AX153" s="417">
        <f>AX18/AW18-1</f>
        <v>4.5281390451574532E-2</v>
      </c>
      <c r="AY153" s="417">
        <f>AY18/AX18-1</f>
        <v>3.8006829587979851E-3</v>
      </c>
      <c r="AZ153" s="419" t="s">
        <v>131</v>
      </c>
      <c r="BA153" s="417">
        <f>BA18/AY18-1</f>
        <v>1.890569060642977E-2</v>
      </c>
      <c r="BB153" s="417">
        <f>BB18/BA18-1</f>
        <v>-9.9171637544001046E-3</v>
      </c>
      <c r="BC153" s="417">
        <f>BC18/BB18-1</f>
        <v>-1.3811272553089449E-2</v>
      </c>
      <c r="BD153" s="417">
        <f>BD18/BC18-1</f>
        <v>0.14447988342912632</v>
      </c>
      <c r="BE153" s="419" t="s">
        <v>131</v>
      </c>
      <c r="BF153" s="417">
        <f>BF18/BD18-1</f>
        <v>-9.9573529800100258E-2</v>
      </c>
      <c r="BG153" s="417">
        <f>BG18/BF18-1</f>
        <v>7.9381954038278302E-2</v>
      </c>
      <c r="BH153" s="417">
        <f>BH18/BG18-1</f>
        <v>-4.5766252871065061E-2</v>
      </c>
      <c r="BI153" s="417">
        <f>BI18/BH18-1</f>
        <v>6.5084906399071718E-2</v>
      </c>
      <c r="BJ153" s="419" t="s">
        <v>131</v>
      </c>
      <c r="BK153" s="417">
        <f>BK18/BI18-1</f>
        <v>-0.14066050526074581</v>
      </c>
      <c r="BL153" s="417">
        <f>BL18/BK18-1</f>
        <v>-7.055124409063307E-4</v>
      </c>
      <c r="BM153" s="417">
        <f>BM18/BL18-1</f>
        <v>-1.9897267127704454E-2</v>
      </c>
      <c r="BN153" s="417">
        <f>BN18/BM18-1</f>
        <v>5.1536883851148518E-2</v>
      </c>
      <c r="BO153" s="419" t="s">
        <v>131</v>
      </c>
      <c r="BP153" s="417">
        <f>BP18/BN18-1</f>
        <v>-3.4454746994190488E-2</v>
      </c>
      <c r="BQ153" s="417">
        <f>BQ18/BP18-1</f>
        <v>6.807021542607572E-2</v>
      </c>
      <c r="BR153" s="417">
        <f>BR18/BQ18-1</f>
        <v>-6.2155509597349501E-2</v>
      </c>
      <c r="BS153" s="417">
        <f>BS18/BR18-1</f>
        <v>6.7350121134514884E-2</v>
      </c>
      <c r="BT153" s="419" t="s">
        <v>131</v>
      </c>
      <c r="BU153" s="417">
        <f>BU18/BS18-1</f>
        <v>4.9441689613911599E-2</v>
      </c>
      <c r="BV153" s="417">
        <f>BV18/BU18-1</f>
        <v>4.4099078285946502E-2</v>
      </c>
      <c r="BW153" s="417">
        <f>BW18/BV18-1</f>
        <v>5.3316115101463835E-2</v>
      </c>
      <c r="BX153" s="417">
        <f>BX18/BW18-1</f>
        <v>7.9252772765014079E-2</v>
      </c>
      <c r="BY153" s="419" t="s">
        <v>131</v>
      </c>
      <c r="BZ153" s="417">
        <f>BZ18/BX18-1</f>
        <v>6.6641497403371108E-2</v>
      </c>
      <c r="CA153" s="417">
        <f>CA18/BZ18-1</f>
        <v>6.9578924020066157E-3</v>
      </c>
      <c r="CB153" s="417">
        <f>CB18/CA18-1</f>
        <v>5.417400922350124E-2</v>
      </c>
      <c r="CC153" s="417">
        <f>CC18/CB18-1</f>
        <v>9.9763478817571638E-2</v>
      </c>
      <c r="CD153" s="419" t="s">
        <v>131</v>
      </c>
      <c r="CE153" s="417">
        <f>CE18/CC18-1</f>
        <v>5.5950718198840121E-2</v>
      </c>
      <c r="CF153" s="417">
        <f>CF18/CE18-1</f>
        <v>5.614580016730053E-2</v>
      </c>
      <c r="CG153" s="417">
        <f>CG18/CF18-1</f>
        <v>4.474409978039362E-2</v>
      </c>
      <c r="CH153" s="417">
        <f>CH18/CG18-1</f>
        <v>9.2272177653693888E-2</v>
      </c>
      <c r="CI153" s="419" t="s">
        <v>131</v>
      </c>
      <c r="CJ153" s="417">
        <f>CJ18/CH18-1</f>
        <v>4.0290375744561624E-2</v>
      </c>
      <c r="CK153" s="418">
        <f>CK18/CJ18-1</f>
        <v>3.6398836121039002E-2</v>
      </c>
      <c r="CL153" s="418">
        <f>CL18/CK18-1</f>
        <v>4.6701272293915741E-2</v>
      </c>
      <c r="CM153" s="418">
        <f>CM18/CL18-1</f>
        <v>5.4044104036873097E-2</v>
      </c>
      <c r="CN153" s="420" t="s">
        <v>131</v>
      </c>
      <c r="CO153" s="418">
        <f>CO18/CM18-1</f>
        <v>4.2603706621193282E-2</v>
      </c>
      <c r="CP153" s="418">
        <f>CP18/CO18-1</f>
        <v>3.2058252210890537E-2</v>
      </c>
      <c r="CQ153" s="418">
        <f>CQ18/CP18-1</f>
        <v>4.8665678890694508E-2</v>
      </c>
      <c r="CR153" s="418">
        <f>CR18/CQ18-1</f>
        <v>5.3478880418978303E-2</v>
      </c>
      <c r="CS153" s="420" t="s">
        <v>131</v>
      </c>
      <c r="CT153" s="418">
        <f>CT18/CR18-1</f>
        <v>3.6578923977397038E-2</v>
      </c>
      <c r="CU153" s="418">
        <f>CU18/CT18-1</f>
        <v>2.4892979178399388E-2</v>
      </c>
      <c r="CV153" s="418">
        <f>CV18/CU18-1</f>
        <v>4.066111699541608E-2</v>
      </c>
      <c r="CW153" s="418">
        <f>CW18/CV18-1</f>
        <v>4.5761489910394637E-2</v>
      </c>
      <c r="CX153" s="420" t="s">
        <v>131</v>
      </c>
      <c r="DA153" s="415"/>
      <c r="DB153" s="414"/>
      <c r="DC153" s="414"/>
    </row>
    <row r="154" spans="1:107" hidden="1" outlineLevel="1">
      <c r="A154" s="90" t="s">
        <v>556</v>
      </c>
      <c r="B154" s="412"/>
      <c r="C154" s="419" t="s">
        <v>131</v>
      </c>
      <c r="D154" s="419" t="s">
        <v>131</v>
      </c>
      <c r="E154" s="419" t="s">
        <v>131</v>
      </c>
      <c r="F154" s="419" t="s">
        <v>131</v>
      </c>
      <c r="G154" s="419" t="s">
        <v>131</v>
      </c>
      <c r="H154" s="419" t="s">
        <v>131</v>
      </c>
      <c r="I154" s="419" t="s">
        <v>131</v>
      </c>
      <c r="J154" s="417">
        <f>J21/I21-1</f>
        <v>2.9583710407239816</v>
      </c>
      <c r="K154" s="417">
        <f>K21/J21-1</f>
        <v>0.40374942844078676</v>
      </c>
      <c r="L154" s="419" t="s">
        <v>131</v>
      </c>
      <c r="M154" s="419">
        <f>M21/K21-1</f>
        <v>0</v>
      </c>
      <c r="N154" s="417">
        <f>N21/M21-1</f>
        <v>-2.3452768729641527E-2</v>
      </c>
      <c r="O154" s="417">
        <f>O21/N21-1</f>
        <v>8.2221480987324735E-2</v>
      </c>
      <c r="P154" s="417">
        <f>P21/O21-1</f>
        <v>9.7241485591000432E-2</v>
      </c>
      <c r="Q154" s="419" t="s">
        <v>131</v>
      </c>
      <c r="R154" s="419">
        <f>R21/P21-1</f>
        <v>5.7443820224718944E-2</v>
      </c>
      <c r="S154" s="417">
        <f>S21/R21-1</f>
        <v>3.9845929074244779E-4</v>
      </c>
      <c r="T154" s="417">
        <f>T21/S21-1</f>
        <v>9.7052575677111008E-2</v>
      </c>
      <c r="U154" s="417">
        <f>U21/T21-1</f>
        <v>0.12525717051918206</v>
      </c>
      <c r="V154" s="419" t="s">
        <v>131</v>
      </c>
      <c r="W154" s="419">
        <f>W21/U21-1</f>
        <v>4.6999354699935214E-2</v>
      </c>
      <c r="X154" s="417">
        <f>X21/W21-1</f>
        <v>6.9234720082177903E-2</v>
      </c>
      <c r="Y154" s="417">
        <f>Y21/X21-1</f>
        <v>5.5336727831684085E-2</v>
      </c>
      <c r="Z154" s="417">
        <f>Z21/Y21-1</f>
        <v>8.4569868001820758E-2</v>
      </c>
      <c r="AA154" s="419" t="s">
        <v>131</v>
      </c>
      <c r="AB154" s="419">
        <f>AB21/Z21-1</f>
        <v>0.56555313077052194</v>
      </c>
      <c r="AC154" s="417">
        <f>AC21/AB21-1</f>
        <v>0.10234827364357701</v>
      </c>
      <c r="AD154" s="417">
        <f>AD21/AC21-1</f>
        <v>0.11891444968629927</v>
      </c>
      <c r="AE154" s="417">
        <f>AE21/AD21-1</f>
        <v>0.23315656785186478</v>
      </c>
      <c r="AF154" s="419" t="s">
        <v>131</v>
      </c>
      <c r="AG154" s="419">
        <f>AG21/AE21-1</f>
        <v>2.6048642932675392E-2</v>
      </c>
      <c r="AH154" s="417">
        <f>AH21/AG21-1</f>
        <v>0.10302655536088468</v>
      </c>
      <c r="AI154" s="417">
        <f>AI21/AH21-1</f>
        <v>0.19297371371620797</v>
      </c>
      <c r="AJ154" s="417">
        <f>AJ21/AI21-1</f>
        <v>1.388888888888884E-2</v>
      </c>
      <c r="AK154" s="419" t="s">
        <v>131</v>
      </c>
      <c r="AL154" s="419">
        <f>AL21/AJ21-1</f>
        <v>-9.0895045833763177E-3</v>
      </c>
      <c r="AM154" s="419">
        <f>AM21/AL21-1</f>
        <v>0.1845490216459218</v>
      </c>
      <c r="AN154" s="417">
        <f>AN21/AM21-1</f>
        <v>6.2717999341888708E-2</v>
      </c>
      <c r="AO154" s="417">
        <f>AO21/AN21-1</f>
        <v>4.9355957394104477E-2</v>
      </c>
      <c r="AP154" s="419" t="s">
        <v>131</v>
      </c>
      <c r="AQ154" s="419">
        <f>AQ21/AO21-1</f>
        <v>-0.13069735418510864</v>
      </c>
      <c r="AR154" s="417">
        <f>AR21/AQ21-1</f>
        <v>9.6626009821003667E-3</v>
      </c>
      <c r="AS154" s="417">
        <f>AS21/AR21-1</f>
        <v>6.7775337307812933E-2</v>
      </c>
      <c r="AT154" s="417">
        <f>AT21/AS21-1</f>
        <v>4.972503253431837E-2</v>
      </c>
      <c r="AU154" s="419" t="s">
        <v>131</v>
      </c>
      <c r="AV154" s="419">
        <f>AV21/AT21-1</f>
        <v>0.18483933534622388</v>
      </c>
      <c r="AW154" s="417">
        <f>AW21/AV21-1</f>
        <v>-6.3437684583579457E-2</v>
      </c>
      <c r="AX154" s="417">
        <f>AX21/AW21-1</f>
        <v>0.12784705203978652</v>
      </c>
      <c r="AY154" s="417">
        <f>AY21/AX21-1</f>
        <v>0.22528798070010048</v>
      </c>
      <c r="AZ154" s="419" t="s">
        <v>131</v>
      </c>
      <c r="BA154" s="419">
        <f>BA21/AY21-1</f>
        <v>2.8086371459865589E-2</v>
      </c>
      <c r="BB154" s="417">
        <f>BB21/BA21-1</f>
        <v>6.19308525480049E-2</v>
      </c>
      <c r="BC154" s="417">
        <f>BC21/BB21-1</f>
        <v>3.5925426076986344E-2</v>
      </c>
      <c r="BD154" s="417">
        <f>BD21/BC21-1</f>
        <v>5.8706203811522251E-2</v>
      </c>
      <c r="BE154" s="419" t="s">
        <v>131</v>
      </c>
      <c r="BF154" s="419">
        <f>BF21/BD21-1</f>
        <v>-1.4810136231473758E-2</v>
      </c>
      <c r="BG154" s="417">
        <f>BG21/BF21-1</f>
        <v>3.801302103482973E-2</v>
      </c>
      <c r="BH154" s="417">
        <f>BH21/BG21-1</f>
        <v>3.5087532478596195E-2</v>
      </c>
      <c r="BI154" s="417">
        <f>BI21/BH21-1</f>
        <v>9.0995133895044322E-2</v>
      </c>
      <c r="BJ154" s="419" t="s">
        <v>131</v>
      </c>
      <c r="BK154" s="419">
        <f>BK21/BI21-1</f>
        <v>1.6690555220277625E-2</v>
      </c>
      <c r="BL154" s="417">
        <f>BL21/BK21-1</f>
        <v>3.0709158025561623E-2</v>
      </c>
      <c r="BM154" s="417">
        <f>BM21/BL21-1</f>
        <v>2.2190427341197916E-2</v>
      </c>
      <c r="BN154" s="417">
        <f>BN21/BM21-1</f>
        <v>1.0114881816981391E-2</v>
      </c>
      <c r="BO154" s="419" t="s">
        <v>131</v>
      </c>
      <c r="BP154" s="419">
        <f>BP21/BN21-1</f>
        <v>-8.4021822491807896E-2</v>
      </c>
      <c r="BQ154" s="417">
        <f>BQ21/BP21-1</f>
        <v>6.8161708038781077E-2</v>
      </c>
      <c r="BR154" s="417">
        <f>BR21/BQ21-1</f>
        <v>-3.0124613644258669E-2</v>
      </c>
      <c r="BS154" s="417">
        <f>BS21/BR21-1</f>
        <v>6.9229003076640483E-2</v>
      </c>
      <c r="BT154" s="419" t="s">
        <v>131</v>
      </c>
      <c r="BU154" s="419">
        <f>BU21/BS21-1</f>
        <v>-9.8416979462820908E-2</v>
      </c>
      <c r="BV154" s="417">
        <f>BV21/BU21-1</f>
        <v>8.2808555232696479E-2</v>
      </c>
      <c r="BW154" s="417">
        <f>BW21/BV21-1</f>
        <v>-2.5691334453663561E-3</v>
      </c>
      <c r="BX154" s="417">
        <f>BX21/BW21-1</f>
        <v>9.7825607550832139E-3</v>
      </c>
      <c r="BY154" s="419" t="s">
        <v>131</v>
      </c>
      <c r="BZ154" s="419">
        <f>BZ21/BX21-1</f>
        <v>-2.1847755822282822E-2</v>
      </c>
      <c r="CA154" s="417">
        <f>CA21/BZ21-1</f>
        <v>5.8299768694238807E-2</v>
      </c>
      <c r="CB154" s="417">
        <f>CB21/CA21-1</f>
        <v>-3.456510915519706E-2</v>
      </c>
      <c r="CC154" s="417">
        <f>CC21/CB21-1</f>
        <v>8.5791704908002142E-2</v>
      </c>
      <c r="CD154" s="419" t="s">
        <v>131</v>
      </c>
      <c r="CE154" s="419">
        <f>CE21/CC21-1</f>
        <v>-7.9013041378199977E-2</v>
      </c>
      <c r="CF154" s="417">
        <f>CF21/CE21-1</f>
        <v>2.2289235610331692E-2</v>
      </c>
      <c r="CG154" s="417">
        <f>CG21/CF21-1</f>
        <v>-4.427343850198795E-2</v>
      </c>
      <c r="CH154" s="417">
        <f>CH21/CG21-1</f>
        <v>5.3275718618320367E-2</v>
      </c>
      <c r="CI154" s="419" t="s">
        <v>131</v>
      </c>
      <c r="CJ154" s="419">
        <f>CJ21/CH21-1</f>
        <v>-3.186049672136726E-2</v>
      </c>
      <c r="CK154" s="418">
        <f>CK21/CJ21-1</f>
        <v>0.21523093412423489</v>
      </c>
      <c r="CL154" s="418">
        <f>CL21/CK21-1</f>
        <v>-6.2322793633403317E-2</v>
      </c>
      <c r="CM154" s="418">
        <f>CM21/CL21-1</f>
        <v>2.4087863056577952E-2</v>
      </c>
      <c r="CN154" s="420" t="s">
        <v>131</v>
      </c>
      <c r="CO154" s="420">
        <f>CO21/CM21-1</f>
        <v>-5.3177768317717922E-2</v>
      </c>
      <c r="CP154" s="418">
        <f>CP21/CO21-1</f>
        <v>0.21763155954695423</v>
      </c>
      <c r="CQ154" s="418">
        <f>CQ21/CP21-1</f>
        <v>-6.8349976712851368E-2</v>
      </c>
      <c r="CR154" s="418">
        <f>CR21/CQ21-1</f>
        <v>2.0906850094048135E-2</v>
      </c>
      <c r="CS154" s="420" t="s">
        <v>131</v>
      </c>
      <c r="CT154" s="420">
        <f>CT21/CR21-1</f>
        <v>-6.8170666113301692E-2</v>
      </c>
      <c r="CU154" s="418">
        <f>CU21/CT21-1</f>
        <v>0.22458694175023863</v>
      </c>
      <c r="CV154" s="418">
        <f>CV21/CU21-1</f>
        <v>-8.5330955484891446E-2</v>
      </c>
      <c r="CW154" s="418">
        <f>CW21/CV21-1</f>
        <v>9.7410380852369638E-3</v>
      </c>
      <c r="CX154" s="420" t="s">
        <v>131</v>
      </c>
      <c r="DA154" s="201"/>
      <c r="DB154" s="200"/>
      <c r="DC154" s="200"/>
    </row>
    <row r="155" spans="1:107" hidden="1" outlineLevel="1">
      <c r="A155" s="281" t="s">
        <v>191</v>
      </c>
      <c r="B155" s="412"/>
      <c r="C155" s="421" t="s">
        <v>131</v>
      </c>
      <c r="D155" s="416">
        <f>D24/C24-1</f>
        <v>4.5973936753919142E-2</v>
      </c>
      <c r="E155" s="416">
        <f>E24/D24-1</f>
        <v>-0.15104928028178433</v>
      </c>
      <c r="F155" s="416">
        <f>F24/E24-1</f>
        <v>-9.4407054683381508E-2</v>
      </c>
      <c r="G155" s="421" t="s">
        <v>131</v>
      </c>
      <c r="H155" s="416">
        <f>H24/F24-1</f>
        <v>1.2686172223482561E-2</v>
      </c>
      <c r="I155" s="416">
        <f>I24/H24-1</f>
        <v>0.18463508227073211</v>
      </c>
      <c r="J155" s="416">
        <f>J24/I24-1</f>
        <v>-0.10234466329929204</v>
      </c>
      <c r="K155" s="416">
        <f>K24/J24-1</f>
        <v>3.4312813510297246E-2</v>
      </c>
      <c r="L155" s="421" t="s">
        <v>131</v>
      </c>
      <c r="M155" s="416">
        <f>M24/K24-1</f>
        <v>7.6055305544808771E-3</v>
      </c>
      <c r="N155" s="416">
        <f>N24/M24-1</f>
        <v>7.8313882012159164E-2</v>
      </c>
      <c r="O155" s="416">
        <f>O24/N24-1</f>
        <v>-3.198540665821259E-3</v>
      </c>
      <c r="P155" s="416">
        <f>P24/O24-1</f>
        <v>0.12366430393391847</v>
      </c>
      <c r="Q155" s="421" t="s">
        <v>131</v>
      </c>
      <c r="R155" s="416">
        <f>R24/P24-1</f>
        <v>0.18041697110316668</v>
      </c>
      <c r="S155" s="416">
        <f>S24/R24-1</f>
        <v>-3.117550752337106E-2</v>
      </c>
      <c r="T155" s="416">
        <f>T24/S24-1</f>
        <v>-1.5538242071765684E-2</v>
      </c>
      <c r="U155" s="416">
        <f>U24/T24-1</f>
        <v>6.387953818678116E-2</v>
      </c>
      <c r="V155" s="421" t="s">
        <v>131</v>
      </c>
      <c r="W155" s="416">
        <f>W24/U24-1</f>
        <v>0.10100069382680421</v>
      </c>
      <c r="X155" s="416">
        <f>X24/W24-1</f>
        <v>4.8948786377996933E-2</v>
      </c>
      <c r="Y155" s="416">
        <f>Y24/X24-1</f>
        <v>-1.812394033413367E-2</v>
      </c>
      <c r="Z155" s="416">
        <f>Z24/Y24-1</f>
        <v>4.7905814524093815E-2</v>
      </c>
      <c r="AA155" s="421" t="s">
        <v>131</v>
      </c>
      <c r="AB155" s="416">
        <f>AB24/Z24-1</f>
        <v>0.28431670294746358</v>
      </c>
      <c r="AC155" s="416">
        <f>AC24/AB24-1</f>
        <v>-3.0545647603733572E-2</v>
      </c>
      <c r="AD155" s="416">
        <f>AD24/AC24-1</f>
        <v>-5.2348234968274898E-2</v>
      </c>
      <c r="AE155" s="416">
        <f>AE24/AD24-1</f>
        <v>0.13282164628830406</v>
      </c>
      <c r="AF155" s="421" t="s">
        <v>131</v>
      </c>
      <c r="AG155" s="416">
        <f>AG24/AE24-1</f>
        <v>-4.8034595228496957E-2</v>
      </c>
      <c r="AH155" s="416">
        <f>AH24/AG24-1</f>
        <v>0.14808894884101953</v>
      </c>
      <c r="AI155" s="416">
        <f>AI24/AH24-1</f>
        <v>0.14231796313459233</v>
      </c>
      <c r="AJ155" s="416">
        <f>AJ24/AI24-1</f>
        <v>6.9890781344298381E-2</v>
      </c>
      <c r="AK155" s="421" t="s">
        <v>131</v>
      </c>
      <c r="AL155" s="416">
        <f>AL24/AJ24-1</f>
        <v>-2.2789452717318026E-2</v>
      </c>
      <c r="AM155" s="416">
        <f>AM24/AL24-1</f>
        <v>-3.9968779655115139E-3</v>
      </c>
      <c r="AN155" s="416">
        <f>AN24/AM24-1</f>
        <v>4.1831757407373438E-4</v>
      </c>
      <c r="AO155" s="416">
        <f>AO24/AN24-1</f>
        <v>3.1607527469493135E-2</v>
      </c>
      <c r="AP155" s="421" t="s">
        <v>131</v>
      </c>
      <c r="AQ155" s="416">
        <f>AQ24/AO24-1</f>
        <v>-0.14084000782256334</v>
      </c>
      <c r="AR155" s="416">
        <f>AR24/AQ24-1</f>
        <v>-0.10391408842940519</v>
      </c>
      <c r="AS155" s="416">
        <f>AS24/AR24-1</f>
        <v>-1.0169255810851152E-2</v>
      </c>
      <c r="AT155" s="416">
        <f>AT24/AS24-1</f>
        <v>8.5699498356288872E-2</v>
      </c>
      <c r="AU155" s="421" t="s">
        <v>131</v>
      </c>
      <c r="AV155" s="416">
        <f>AV24/AT24-1</f>
        <v>0.1339221928922214</v>
      </c>
      <c r="AW155" s="416">
        <f>AW24/AV24-1</f>
        <v>9.821241411435877E-2</v>
      </c>
      <c r="AX155" s="416">
        <f>AX24/AW24-1</f>
        <v>5.0140238697397255E-2</v>
      </c>
      <c r="AY155" s="416">
        <f>AY24/AX24-1</f>
        <v>1.7799315170162089E-2</v>
      </c>
      <c r="AZ155" s="421" t="s">
        <v>131</v>
      </c>
      <c r="BA155" s="416">
        <f>BA24/AY24-1</f>
        <v>1.9604224829504968E-2</v>
      </c>
      <c r="BB155" s="416">
        <f>BB24/BA24-1</f>
        <v>-4.4049562812712439E-3</v>
      </c>
      <c r="BC155" s="416">
        <f>BC24/BB24-1</f>
        <v>-9.7412085275401239E-3</v>
      </c>
      <c r="BD155" s="416">
        <f>BD24/BC24-1</f>
        <v>0.13713714405277466</v>
      </c>
      <c r="BE155" s="421" t="s">
        <v>131</v>
      </c>
      <c r="BF155" s="416">
        <f>BF24/BD24-1</f>
        <v>-9.2817757240524434E-2</v>
      </c>
      <c r="BG155" s="416">
        <f>BG24/BF24-1</f>
        <v>7.5801266718968252E-2</v>
      </c>
      <c r="BH155" s="416">
        <f>BH24/BG24-1</f>
        <v>-3.9013774746564867E-2</v>
      </c>
      <c r="BI155" s="416">
        <f>BI24/BH24-1</f>
        <v>6.7415647152455183E-2</v>
      </c>
      <c r="BJ155" s="421" t="s">
        <v>131</v>
      </c>
      <c r="BK155" s="416">
        <f>BK24/BI24-1</f>
        <v>-0.12619339915452021</v>
      </c>
      <c r="BL155" s="416">
        <f>BL24/BK24-1</f>
        <v>2.6550964258393872E-3</v>
      </c>
      <c r="BM155" s="416">
        <f>BM24/BL24-1</f>
        <v>-1.5268928077708188E-2</v>
      </c>
      <c r="BN155" s="416">
        <f>BN24/BM24-1</f>
        <v>4.6808472152576552E-2</v>
      </c>
      <c r="BO155" s="421" t="s">
        <v>131</v>
      </c>
      <c r="BP155" s="416">
        <f>BP24/BN24-1</f>
        <v>-3.991460105078326E-2</v>
      </c>
      <c r="BQ155" s="416">
        <f>BQ24/BP24-1</f>
        <v>6.8079830420349596E-2</v>
      </c>
      <c r="BR155" s="416">
        <f>BR24/BQ24-1</f>
        <v>-5.878911223282357E-2</v>
      </c>
      <c r="BS155" s="416">
        <f>BS24/BR24-1</f>
        <v>6.7553602563732662E-2</v>
      </c>
      <c r="BT155" s="421" t="s">
        <v>131</v>
      </c>
      <c r="BU155" s="416">
        <f>BU24/BS24-1</f>
        <v>3.3403582129600595E-2</v>
      </c>
      <c r="BV155" s="416">
        <f>BV24/BU24-1</f>
        <v>4.7762267835456784E-2</v>
      </c>
      <c r="BW155" s="416">
        <f>BW24/BV24-1</f>
        <v>4.7850636488326215E-2</v>
      </c>
      <c r="BX155" s="416">
        <f>BX24/BW24-1</f>
        <v>7.2785620906445025E-2</v>
      </c>
      <c r="BY155" s="421" t="s">
        <v>131</v>
      </c>
      <c r="BZ155" s="416">
        <f>BZ24/BX24-1</f>
        <v>5.8887602916096515E-2</v>
      </c>
      <c r="CA155" s="416">
        <f>CA24/BZ24-1</f>
        <v>1.1113721549733002E-2</v>
      </c>
      <c r="CB155" s="416">
        <f>CB24/CA24-1</f>
        <v>4.6655880529831384E-2</v>
      </c>
      <c r="CC155" s="416">
        <f>CC24/CB24-1</f>
        <v>9.8671623062541514E-2</v>
      </c>
      <c r="CD155" s="421" t="s">
        <v>131</v>
      </c>
      <c r="CE155" s="416">
        <f>CE24/CC24-1</f>
        <v>4.5527315954362768E-2</v>
      </c>
      <c r="CF155" s="416">
        <f>CF24/CE24-1</f>
        <v>5.3842485279303798E-2</v>
      </c>
      <c r="CG155" s="416">
        <f>CG24/CF24-1</f>
        <v>3.8869421450296038E-2</v>
      </c>
      <c r="CH155" s="416">
        <f>CH24/CG24-1</f>
        <v>8.990458830008996E-2</v>
      </c>
      <c r="CI155" s="421" t="s">
        <v>131</v>
      </c>
      <c r="CJ155" s="416">
        <f>CJ24/CH24-1</f>
        <v>3.6057101707120731E-2</v>
      </c>
      <c r="CK155" s="423">
        <f>CK24/CJ24-1</f>
        <v>4.6203540792443265E-2</v>
      </c>
      <c r="CL155" s="423">
        <f>CL24/CK24-1</f>
        <v>3.9758162223365812E-2</v>
      </c>
      <c r="CM155" s="423">
        <f>CM24/CL24-1</f>
        <v>5.2323662132309101E-2</v>
      </c>
      <c r="CN155" s="422" t="s">
        <v>131</v>
      </c>
      <c r="CO155" s="423">
        <f>CO24/CM24-1</f>
        <v>3.7250400233691972E-2</v>
      </c>
      <c r="CP155" s="423">
        <f>CP24/CO24-1</f>
        <v>4.1525874498409276E-2</v>
      </c>
      <c r="CQ155" s="423">
        <f>CQ24/CP24-1</f>
        <v>4.1686325030815263E-2</v>
      </c>
      <c r="CR155" s="423">
        <f>CR24/CQ24-1</f>
        <v>5.1741352008322083E-2</v>
      </c>
      <c r="CS155" s="422" t="s">
        <v>131</v>
      </c>
      <c r="CT155" s="423">
        <f>CT24/CR24-1</f>
        <v>3.115496264953066E-2</v>
      </c>
      <c r="CU155" s="423">
        <f>CU24/CT24-1</f>
        <v>3.4237168493525427E-2</v>
      </c>
      <c r="CV155" s="423">
        <f>CV24/CU24-1</f>
        <v>3.3680570946703403E-2</v>
      </c>
      <c r="CW155" s="423">
        <f>CW24/CV24-1</f>
        <v>4.3995562040551217E-2</v>
      </c>
      <c r="CX155" s="422" t="s">
        <v>131</v>
      </c>
      <c r="DA155" s="415"/>
      <c r="DB155" s="414"/>
      <c r="DC155" s="414"/>
    </row>
    <row r="156" spans="1:107" ht="5.25" hidden="1" customHeight="1" outlineLevel="1">
      <c r="A156" s="114"/>
      <c r="B156" s="293"/>
      <c r="C156" s="117"/>
      <c r="D156" s="117"/>
      <c r="E156" s="117"/>
      <c r="F156" s="117"/>
      <c r="G156" s="117"/>
      <c r="H156" s="117"/>
      <c r="I156" s="117"/>
      <c r="J156" s="117"/>
      <c r="K156" s="117"/>
      <c r="L156" s="117"/>
      <c r="M156" s="117"/>
      <c r="N156" s="117"/>
      <c r="O156" s="117"/>
      <c r="P156" s="117"/>
      <c r="Q156" s="117"/>
      <c r="R156" s="117"/>
      <c r="S156" s="117"/>
      <c r="T156" s="117"/>
      <c r="U156" s="117"/>
      <c r="V156" s="117"/>
      <c r="W156" s="117"/>
      <c r="X156" s="117"/>
      <c r="Y156" s="117"/>
      <c r="Z156" s="117"/>
      <c r="AA156" s="121"/>
      <c r="AB156" s="121"/>
      <c r="AC156" s="121"/>
      <c r="AD156" s="121"/>
      <c r="AE156" s="121"/>
      <c r="AF156" s="121"/>
      <c r="AG156" s="121"/>
      <c r="AH156" s="121"/>
      <c r="AI156" s="121"/>
      <c r="AJ156" s="121"/>
      <c r="AK156" s="121"/>
      <c r="AL156" s="121"/>
      <c r="AM156" s="121"/>
      <c r="AN156" s="121"/>
      <c r="AO156" s="121"/>
      <c r="AP156" s="121"/>
      <c r="AQ156" s="121"/>
      <c r="AR156" s="121"/>
      <c r="AS156" s="121"/>
      <c r="AT156" s="121"/>
      <c r="AU156" s="121"/>
      <c r="AV156" s="121"/>
      <c r="AW156" s="121"/>
      <c r="AX156" s="121"/>
      <c r="AY156" s="121"/>
      <c r="AZ156" s="121"/>
      <c r="BA156" s="121"/>
      <c r="BB156" s="121"/>
      <c r="BC156" s="121"/>
      <c r="BD156" s="121"/>
      <c r="BE156" s="121"/>
      <c r="BF156" s="121"/>
      <c r="BG156" s="121"/>
      <c r="BH156" s="121"/>
      <c r="BI156" s="121"/>
      <c r="BJ156" s="121"/>
      <c r="BK156" s="121"/>
      <c r="BL156" s="121"/>
      <c r="BM156" s="121"/>
      <c r="BN156" s="121"/>
      <c r="BO156" s="121"/>
      <c r="BP156" s="121"/>
      <c r="BQ156" s="121"/>
      <c r="BR156" s="121"/>
      <c r="BS156" s="121"/>
      <c r="BT156" s="121"/>
      <c r="BU156" s="121"/>
      <c r="BV156" s="121"/>
      <c r="BW156" s="121"/>
      <c r="BX156" s="121"/>
      <c r="BY156" s="121"/>
      <c r="BZ156" s="121"/>
      <c r="CA156" s="121"/>
      <c r="CB156" s="121"/>
      <c r="CC156" s="121"/>
      <c r="CD156" s="121"/>
      <c r="CE156" s="121"/>
      <c r="CF156" s="121"/>
      <c r="CG156" s="121"/>
      <c r="CH156" s="121"/>
      <c r="CI156" s="121"/>
      <c r="CJ156" s="121"/>
      <c r="CK156" s="123"/>
      <c r="CL156" s="123"/>
      <c r="CM156" s="123"/>
      <c r="CN156" s="123"/>
      <c r="CO156" s="123"/>
      <c r="CP156" s="123"/>
      <c r="CQ156" s="123"/>
      <c r="CR156" s="123"/>
      <c r="CS156" s="123"/>
      <c r="CT156" s="123"/>
      <c r="CU156" s="123"/>
      <c r="CV156" s="123"/>
      <c r="CW156" s="123"/>
      <c r="CX156" s="123"/>
      <c r="DA156" s="126"/>
      <c r="DB156" s="117"/>
      <c r="DC156" s="117"/>
    </row>
    <row r="157" spans="1:107" hidden="1" outlineLevel="1">
      <c r="A157" s="90" t="s">
        <v>34</v>
      </c>
      <c r="B157" s="412"/>
      <c r="C157" s="419" t="s">
        <v>131</v>
      </c>
      <c r="D157" s="417">
        <f>D32/C32-1</f>
        <v>0.11705635491606725</v>
      </c>
      <c r="E157" s="417">
        <f>E32/D32-1</f>
        <v>-0.10367189945883093</v>
      </c>
      <c r="F157" s="417">
        <f>F32/E32-1</f>
        <v>-5.0197095953295912E-2</v>
      </c>
      <c r="G157" s="419" t="s">
        <v>131</v>
      </c>
      <c r="H157" s="417">
        <f>H32/F32-1</f>
        <v>0.10307328605200961</v>
      </c>
      <c r="I157" s="417">
        <f>I32/H32-1</f>
        <v>0.1969805210268134</v>
      </c>
      <c r="J157" s="417">
        <f>J32/I32-1</f>
        <v>0.25874348466160013</v>
      </c>
      <c r="K157" s="417">
        <f>K32/J32-1</f>
        <v>-0.16165128334808454</v>
      </c>
      <c r="L157" s="419" t="s">
        <v>131</v>
      </c>
      <c r="M157" s="417">
        <f>M32/K32-1</f>
        <v>-0.15685091622049618</v>
      </c>
      <c r="N157" s="417">
        <f>N32/M32-1</f>
        <v>4.4450406940345299E-2</v>
      </c>
      <c r="O157" s="417">
        <f>O32/N32-1</f>
        <v>-5.4761089227607584E-2</v>
      </c>
      <c r="P157" s="417">
        <f>P32/O32-1</f>
        <v>0.14268242967794542</v>
      </c>
      <c r="Q157" s="419" t="s">
        <v>131</v>
      </c>
      <c r="R157" s="417">
        <f>R32/P32-1</f>
        <v>-4.1423871249058442E-2</v>
      </c>
      <c r="S157" s="417">
        <f>S32/R32-1</f>
        <v>0.12707799189479774</v>
      </c>
      <c r="T157" s="417">
        <f>T32/S32-1</f>
        <v>-0.13524124013942396</v>
      </c>
      <c r="U157" s="417">
        <f>U32/T32-1</f>
        <v>0.24621324621324625</v>
      </c>
      <c r="V157" s="419" t="s">
        <v>131</v>
      </c>
      <c r="W157" s="417">
        <f>W32/U32-1</f>
        <v>-8.1812610649598216E-2</v>
      </c>
      <c r="X157" s="417">
        <f>X32/W32-1</f>
        <v>1.7242018613964127E-2</v>
      </c>
      <c r="Y157" s="417">
        <f>Y32/X32-1</f>
        <v>1.6767514762703328E-3</v>
      </c>
      <c r="Z157" s="417">
        <f>Z32/Y32-1</f>
        <v>0.11699417758369668</v>
      </c>
      <c r="AA157" s="419" t="s">
        <v>131</v>
      </c>
      <c r="AB157" s="417">
        <f>AB32/Z32-1</f>
        <v>0.32435250040723318</v>
      </c>
      <c r="AC157" s="417">
        <f>AC32/AB32-1</f>
        <v>-0.28793879609357698</v>
      </c>
      <c r="AD157" s="417">
        <f>AD32/AC32-1</f>
        <v>0.17898846127271484</v>
      </c>
      <c r="AE157" s="417">
        <f>AE32/AD32-1</f>
        <v>0.26055615788085662</v>
      </c>
      <c r="AF157" s="419" t="s">
        <v>131</v>
      </c>
      <c r="AG157" s="417">
        <f>AG32/AE32-1</f>
        <v>3.3473581440759403E-3</v>
      </c>
      <c r="AH157" s="417">
        <f>AH32/AG32-1</f>
        <v>0.20244190626230818</v>
      </c>
      <c r="AI157" s="417">
        <f>AI32/AH32-1</f>
        <v>0.20234677559199232</v>
      </c>
      <c r="AJ157" s="417">
        <f>AJ32/AI32-1</f>
        <v>0.1008445106805762</v>
      </c>
      <c r="AK157" s="419" t="s">
        <v>131</v>
      </c>
      <c r="AL157" s="417">
        <f>AL32/AJ32-1</f>
        <v>-0.13102655176429479</v>
      </c>
      <c r="AM157" s="417">
        <f>AM32/AL32-1</f>
        <v>-3.3319373481866199E-2</v>
      </c>
      <c r="AN157" s="417">
        <f>AN32/AM32-1</f>
        <v>4.4102866253076023E-2</v>
      </c>
      <c r="AO157" s="417">
        <f>AO32/AN32-1</f>
        <v>5.5916084380342346E-2</v>
      </c>
      <c r="AP157" s="419" t="s">
        <v>131</v>
      </c>
      <c r="AQ157" s="417">
        <f>AQ32/AO32-1</f>
        <v>-1.194592895315949E-2</v>
      </c>
      <c r="AR157" s="417">
        <f>AR32/AQ32-1</f>
        <v>-0.10334075723830727</v>
      </c>
      <c r="AS157" s="417">
        <f>AS32/AR32-1</f>
        <v>-0.10352352565467315</v>
      </c>
      <c r="AT157" s="417">
        <f>AT32/AS32-1</f>
        <v>0.25401254725009381</v>
      </c>
      <c r="AU157" s="419" t="s">
        <v>131</v>
      </c>
      <c r="AV157" s="417">
        <f>AV32/AT32-1</f>
        <v>0.11533362792752966</v>
      </c>
      <c r="AW157" s="417">
        <f>AW32/AV32-1</f>
        <v>0.25018394838125491</v>
      </c>
      <c r="AX157" s="417">
        <f>AX32/AW32-1</f>
        <v>-8.6935361561011226E-2</v>
      </c>
      <c r="AY157" s="417">
        <f>AY32/AX32-1</f>
        <v>0.10222877826259413</v>
      </c>
      <c r="AZ157" s="419" t="s">
        <v>131</v>
      </c>
      <c r="BA157" s="417">
        <f>BA32/AY32-1</f>
        <v>-9.8966475106556651E-3</v>
      </c>
      <c r="BB157" s="417">
        <f>BB32/BA32-1</f>
        <v>2.2285577982485094E-2</v>
      </c>
      <c r="BC157" s="417">
        <f>BC32/BB32-1</f>
        <v>-3.274408062132661E-2</v>
      </c>
      <c r="BD157" s="417">
        <f>BD32/BC32-1</f>
        <v>0.10022514760952994</v>
      </c>
      <c r="BE157" s="419" t="s">
        <v>131</v>
      </c>
      <c r="BF157" s="417">
        <f>BF32/BD32-1</f>
        <v>-8.7848066904018585E-2</v>
      </c>
      <c r="BG157" s="417">
        <f>BG32/BF32-1</f>
        <v>0.23993590110456142</v>
      </c>
      <c r="BH157" s="417">
        <f>BH32/BG32-1</f>
        <v>-0.10806170206873633</v>
      </c>
      <c r="BI157" s="417">
        <f>BI32/BH32-1</f>
        <v>4.3023773299800228E-2</v>
      </c>
      <c r="BJ157" s="419" t="s">
        <v>131</v>
      </c>
      <c r="BK157" s="417">
        <f>BK32/BI32-1</f>
        <v>5.9596340471134601E-2</v>
      </c>
      <c r="BL157" s="417">
        <f>BL32/BK32-1</f>
        <v>4.7731869943062444E-2</v>
      </c>
      <c r="BM157" s="417">
        <f>BM32/BL32-1</f>
        <v>9.6486445419687206E-2</v>
      </c>
      <c r="BN157" s="417">
        <f>BN32/BM32-1</f>
        <v>2.8041344680295843E-2</v>
      </c>
      <c r="BO157" s="419" t="s">
        <v>131</v>
      </c>
      <c r="BP157" s="417">
        <f>BP32/BN32-1</f>
        <v>-1.641346062355109E-3</v>
      </c>
      <c r="BQ157" s="417">
        <f>BQ32/BP32-1</f>
        <v>4.6819528389550946E-2</v>
      </c>
      <c r="BR157" s="417">
        <f>BR32/BQ32-1</f>
        <v>1.9878000667657991E-2</v>
      </c>
      <c r="BS157" s="417">
        <f>BS32/BR32-1</f>
        <v>1.9483128012854678E-2</v>
      </c>
      <c r="BT157" s="419" t="s">
        <v>131</v>
      </c>
      <c r="BU157" s="417">
        <f>BU32/BS32-1</f>
        <v>3.834562874426295E-2</v>
      </c>
      <c r="BV157" s="417">
        <f>BV32/BU32-1</f>
        <v>0.11156165230713011</v>
      </c>
      <c r="BW157" s="417">
        <f>BW32/BV32-1</f>
        <v>3.4215700530431992E-2</v>
      </c>
      <c r="BX157" s="417">
        <f>BX32/BW32-1</f>
        <v>8.1156585261484837E-2</v>
      </c>
      <c r="BY157" s="419" t="s">
        <v>131</v>
      </c>
      <c r="BZ157" s="417">
        <f>BZ32/BX32-1</f>
        <v>-9.5498724987417294E-3</v>
      </c>
      <c r="CA157" s="417">
        <f>CA32/BZ32-1</f>
        <v>4.5692233918662506E-2</v>
      </c>
      <c r="CB157" s="417">
        <f>CB32/CA32-1</f>
        <v>6.1416342752325104E-3</v>
      </c>
      <c r="CC157" s="417">
        <f>CC32/CB32-1</f>
        <v>7.7888888286010483E-2</v>
      </c>
      <c r="CD157" s="419" t="s">
        <v>131</v>
      </c>
      <c r="CE157" s="417">
        <f>CE32/CC32-1</f>
        <v>7.5411767074742286E-2</v>
      </c>
      <c r="CF157" s="417">
        <f>CF32/CE32-1</f>
        <v>-8.285081704010322E-4</v>
      </c>
      <c r="CG157" s="417">
        <f>CG32/CF32-1</f>
        <v>0.11225522346106986</v>
      </c>
      <c r="CH157" s="417">
        <f>CH32/CG32-1</f>
        <v>3.5590636082587057E-2</v>
      </c>
      <c r="CI157" s="419" t="s">
        <v>131</v>
      </c>
      <c r="CJ157" s="417">
        <f>CJ32/CH32-1</f>
        <v>-4.5836858202641828E-2</v>
      </c>
      <c r="CK157" s="418">
        <f>CK32/CJ32-1</f>
        <v>8.0368415509046498E-2</v>
      </c>
      <c r="CL157" s="418">
        <f>CL32/CK32-1</f>
        <v>0.10940127163215752</v>
      </c>
      <c r="CM157" s="418">
        <f>CM32/CL32-1</f>
        <v>8.7417540936240989E-4</v>
      </c>
      <c r="CN157" s="420" t="s">
        <v>131</v>
      </c>
      <c r="CO157" s="418">
        <f>CO32/CM32-1</f>
        <v>-5.3372061743219401E-2</v>
      </c>
      <c r="CP157" s="418">
        <f>CP32/CO32-1</f>
        <v>7.6519164801381212E-2</v>
      </c>
      <c r="CQ157" s="418">
        <f>CQ32/CP32-1</f>
        <v>0.11304736492827105</v>
      </c>
      <c r="CR157" s="418">
        <f>CR32/CQ32-1</f>
        <v>-1.708640197194522E-3</v>
      </c>
      <c r="CS157" s="420" t="s">
        <v>131</v>
      </c>
      <c r="CT157" s="418">
        <f>CT32/CR32-1</f>
        <v>-6.3601344250582836E-2</v>
      </c>
      <c r="CU157" s="418">
        <f>CU32/CT32-1</f>
        <v>7.1579376778956982E-2</v>
      </c>
      <c r="CV157" s="418">
        <f>CV32/CU32-1</f>
        <v>0.10604601399514269</v>
      </c>
      <c r="CW157" s="418">
        <f>CW32/CV32-1</f>
        <v>-1.1437240602150789E-2</v>
      </c>
      <c r="CX157" s="420" t="s">
        <v>131</v>
      </c>
      <c r="DA157" s="201"/>
      <c r="DB157" s="200"/>
      <c r="DC157" s="200"/>
    </row>
    <row r="158" spans="1:107" hidden="1" outlineLevel="1">
      <c r="A158" s="90"/>
      <c r="B158" s="412"/>
      <c r="C158" s="417"/>
      <c r="D158" s="417"/>
      <c r="E158" s="417"/>
      <c r="F158" s="417"/>
      <c r="G158" s="417"/>
      <c r="H158" s="424"/>
      <c r="I158" s="417"/>
      <c r="J158" s="417"/>
      <c r="K158" s="417"/>
      <c r="L158" s="417"/>
      <c r="M158" s="424"/>
      <c r="N158" s="417"/>
      <c r="O158" s="417"/>
      <c r="P158" s="417"/>
      <c r="Q158" s="417"/>
      <c r="R158" s="424"/>
      <c r="S158" s="417"/>
      <c r="T158" s="417"/>
      <c r="U158" s="417"/>
      <c r="V158" s="417"/>
      <c r="W158" s="424"/>
      <c r="X158" s="417"/>
      <c r="Y158" s="417"/>
      <c r="Z158" s="417"/>
      <c r="AA158" s="417"/>
      <c r="AB158" s="424"/>
      <c r="AC158" s="417"/>
      <c r="AD158" s="417"/>
      <c r="AE158" s="417"/>
      <c r="AF158" s="417"/>
      <c r="AG158" s="424"/>
      <c r="AH158" s="417"/>
      <c r="AI158" s="417"/>
      <c r="AJ158" s="417"/>
      <c r="AK158" s="417"/>
      <c r="AL158" s="424"/>
      <c r="AM158" s="424"/>
      <c r="AN158" s="417"/>
      <c r="AO158" s="417"/>
      <c r="AP158" s="417"/>
      <c r="AQ158" s="424"/>
      <c r="AR158" s="417"/>
      <c r="AS158" s="417"/>
      <c r="AT158" s="417"/>
      <c r="AU158" s="417"/>
      <c r="AV158" s="424"/>
      <c r="AW158" s="417"/>
      <c r="AX158" s="417"/>
      <c r="AY158" s="417"/>
      <c r="AZ158" s="417"/>
      <c r="BA158" s="424"/>
      <c r="BB158" s="417"/>
      <c r="BC158" s="417"/>
      <c r="BD158" s="417"/>
      <c r="BE158" s="417"/>
      <c r="BF158" s="424"/>
      <c r="BG158" s="417"/>
      <c r="BH158" s="417"/>
      <c r="BI158" s="417"/>
      <c r="BJ158" s="417"/>
      <c r="BK158" s="424"/>
      <c r="BL158" s="417"/>
      <c r="BM158" s="417"/>
      <c r="BN158" s="417"/>
      <c r="BO158" s="417"/>
      <c r="BP158" s="424"/>
      <c r="BQ158" s="417"/>
      <c r="BR158" s="417"/>
      <c r="BS158" s="417"/>
      <c r="BT158" s="417"/>
      <c r="BU158" s="424"/>
      <c r="BV158" s="417"/>
      <c r="BW158" s="417"/>
      <c r="BX158" s="417"/>
      <c r="BY158" s="417"/>
      <c r="BZ158" s="424"/>
      <c r="CA158" s="417"/>
      <c r="CB158" s="417"/>
      <c r="CC158" s="417"/>
      <c r="CD158" s="417"/>
      <c r="CE158" s="424"/>
      <c r="CF158" s="417"/>
      <c r="CG158" s="417"/>
      <c r="CH158" s="417"/>
      <c r="CI158" s="417"/>
      <c r="CJ158" s="424"/>
      <c r="CK158" s="418"/>
      <c r="CL158" s="418"/>
      <c r="CM158" s="418"/>
      <c r="CN158" s="418"/>
      <c r="CO158" s="425"/>
      <c r="CP158" s="418"/>
      <c r="CQ158" s="418"/>
      <c r="CR158" s="418"/>
      <c r="CS158" s="418"/>
      <c r="CT158" s="425"/>
      <c r="CU158" s="418"/>
      <c r="CV158" s="418"/>
      <c r="CW158" s="418"/>
      <c r="CX158" s="418"/>
      <c r="DA158" s="201"/>
      <c r="DB158" s="200"/>
      <c r="DC158" s="200"/>
    </row>
    <row r="159" spans="1:107" hidden="1" outlineLevel="1">
      <c r="A159" s="90" t="s">
        <v>193</v>
      </c>
      <c r="B159" s="412"/>
      <c r="C159" s="419" t="s">
        <v>131</v>
      </c>
      <c r="D159" s="417">
        <f>D44/C44-1</f>
        <v>7.021387397417711E-2</v>
      </c>
      <c r="E159" s="417">
        <f>E44/D44-1</f>
        <v>-9.0742822625299979E-2</v>
      </c>
      <c r="F159" s="417">
        <f>F44/E44-1</f>
        <v>8.4888076915985433E-3</v>
      </c>
      <c r="G159" s="419" t="s">
        <v>131</v>
      </c>
      <c r="H159" s="417">
        <f>H44/F44-1</f>
        <v>8.5051876521070158E-2</v>
      </c>
      <c r="I159" s="417">
        <f>I44/H44-1</f>
        <v>6.0053628345447585E-2</v>
      </c>
      <c r="J159" s="417">
        <f>J44/I44-1</f>
        <v>-4.9508415794329963E-2</v>
      </c>
      <c r="K159" s="417">
        <f>K44/J44-1</f>
        <v>7.4230910855956456E-2</v>
      </c>
      <c r="L159" s="419" t="s">
        <v>131</v>
      </c>
      <c r="M159" s="417">
        <f>M44/K44-1</f>
        <v>2.765615992271897E-2</v>
      </c>
      <c r="N159" s="417">
        <f>N44/M44-1</f>
        <v>4.7925889987264325E-2</v>
      </c>
      <c r="O159" s="417">
        <f>O44/N44-1</f>
        <v>-4.3838708277270655E-3</v>
      </c>
      <c r="P159" s="417">
        <f>P44/O44-1</f>
        <v>6.2182114104688324E-2</v>
      </c>
      <c r="Q159" s="419" t="s">
        <v>131</v>
      </c>
      <c r="R159" s="417">
        <f>R44/P44-1</f>
        <v>2.7061414909772097E-2</v>
      </c>
      <c r="S159" s="417">
        <f>S44/R44-1</f>
        <v>1.308095003396792E-2</v>
      </c>
      <c r="T159" s="417">
        <f>T44/S44-1</f>
        <v>5.2844726703746181E-2</v>
      </c>
      <c r="U159" s="417">
        <f>U44/T44-1</f>
        <v>3.496852832449715E-4</v>
      </c>
      <c r="V159" s="419" t="s">
        <v>131</v>
      </c>
      <c r="W159" s="417">
        <f>W44/U44-1</f>
        <v>8.2222222222222419E-2</v>
      </c>
      <c r="X159" s="417">
        <f>X44/W44-1</f>
        <v>3.141222342708172E-2</v>
      </c>
      <c r="Y159" s="417">
        <f>Y44/X44-1</f>
        <v>5.7902448299388176E-2</v>
      </c>
      <c r="Z159" s="417">
        <f>Z44/Y44-1</f>
        <v>6.4491573805791624E-4</v>
      </c>
      <c r="AA159" s="419" t="s">
        <v>131</v>
      </c>
      <c r="AB159" s="417">
        <f>AB44/Z44-1</f>
        <v>0.20270056103204626</v>
      </c>
      <c r="AC159" s="417">
        <f>AC44/AB44-1</f>
        <v>1.0410078009698509E-2</v>
      </c>
      <c r="AD159" s="417">
        <f>AD44/AC44-1</f>
        <v>2.9386960188493294E-3</v>
      </c>
      <c r="AE159" s="417">
        <f>AE44/AD44-1</f>
        <v>7.7985349573057139E-2</v>
      </c>
      <c r="AF159" s="419" t="s">
        <v>131</v>
      </c>
      <c r="AG159" s="417">
        <f>AG44/AE44-1</f>
        <v>-9.1032641474537712E-3</v>
      </c>
      <c r="AH159" s="417">
        <f>AH44/AG44-1</f>
        <v>6.0461454808106163E-2</v>
      </c>
      <c r="AI159" s="417">
        <f>AI44/AH44-1</f>
        <v>0.10521240692130518</v>
      </c>
      <c r="AJ159" s="417">
        <f>AJ44/AI44-1</f>
        <v>3.6699280555612113E-3</v>
      </c>
      <c r="AK159" s="419" t="s">
        <v>131</v>
      </c>
      <c r="AL159" s="417">
        <f>AL44/AJ44-1</f>
        <v>3.613734675433089E-2</v>
      </c>
      <c r="AM159" s="417">
        <f>AM44/AL44-1</f>
        <v>4.0949495622066845E-3</v>
      </c>
      <c r="AN159" s="417">
        <f>AN44/AM44-1</f>
        <v>-1.7745358090185737E-2</v>
      </c>
      <c r="AO159" s="417">
        <f>AO44/AN44-1</f>
        <v>-7.0724528098079942E-2</v>
      </c>
      <c r="AP159" s="419" t="s">
        <v>131</v>
      </c>
      <c r="AQ159" s="417">
        <f>AQ44/AO44-1</f>
        <v>-7.1421306520980998E-2</v>
      </c>
      <c r="AR159" s="417">
        <f>AR44/AQ44-1</f>
        <v>-4.652745722399998E-2</v>
      </c>
      <c r="AS159" s="417">
        <f>AS44/AR44-1</f>
        <v>-1.3686715352424939E-2</v>
      </c>
      <c r="AT159" s="417">
        <f>AT44/AS44-1</f>
        <v>4.57563102111469E-3</v>
      </c>
      <c r="AU159" s="419" t="s">
        <v>131</v>
      </c>
      <c r="AV159" s="417">
        <f>AV44/AT44-1</f>
        <v>0.21521796740426669</v>
      </c>
      <c r="AW159" s="417">
        <f>AW44/AV44-1</f>
        <v>-1.3779473899413919E-2</v>
      </c>
      <c r="AX159" s="417">
        <f>AX44/AW44-1</f>
        <v>3.7161928716538339E-2</v>
      </c>
      <c r="AY159" s="417">
        <f>AY44/AX44-1</f>
        <v>-2.784884340688687E-3</v>
      </c>
      <c r="AZ159" s="419" t="s">
        <v>131</v>
      </c>
      <c r="BA159" s="417">
        <f>BA44/AY44-1</f>
        <v>6.827990753484281E-3</v>
      </c>
      <c r="BB159" s="417">
        <f>BB44/BA44-1</f>
        <v>3.9887193098871787E-2</v>
      </c>
      <c r="BC159" s="417">
        <f>BC44/BB44-1</f>
        <v>5.9217285321386814E-3</v>
      </c>
      <c r="BD159" s="417">
        <f>BD44/BC44-1</f>
        <v>4.925177145249604E-2</v>
      </c>
      <c r="BE159" s="419" t="s">
        <v>131</v>
      </c>
      <c r="BF159" s="417">
        <f>BF44/BD44-1</f>
        <v>-8.1467688010495531E-2</v>
      </c>
      <c r="BG159" s="417">
        <f>BG44/BF44-1</f>
        <v>3.2087567795271443E-2</v>
      </c>
      <c r="BH159" s="417">
        <f>BH44/BG44-1</f>
        <v>1.2384967124353441E-2</v>
      </c>
      <c r="BI159" s="417">
        <f>BI44/BH44-1</f>
        <v>4.7888122460549853E-2</v>
      </c>
      <c r="BJ159" s="419" t="s">
        <v>131</v>
      </c>
      <c r="BK159" s="417">
        <f>BK44/BI44-1</f>
        <v>6.7876186525756443E-2</v>
      </c>
      <c r="BL159" s="417">
        <f>BL44/BK44-1</f>
        <v>-1.599319965322743E-2</v>
      </c>
      <c r="BM159" s="417">
        <f>BM44/BL44-1</f>
        <v>1.8896205312448178E-2</v>
      </c>
      <c r="BN159" s="417">
        <f>BN44/BM44-1</f>
        <v>-2.4727681078046015E-2</v>
      </c>
      <c r="BO159" s="419" t="s">
        <v>131</v>
      </c>
      <c r="BP159" s="417">
        <f>BP44/BN44-1</f>
        <v>2.6650009211496073E-2</v>
      </c>
      <c r="BQ159" s="417">
        <f>BQ44/BP44-1</f>
        <v>3.1795878312070869E-3</v>
      </c>
      <c r="BR159" s="417">
        <f>BR44/BQ44-1</f>
        <v>1.4293540236567148E-2</v>
      </c>
      <c r="BS159" s="417">
        <f>BS44/BR44-1</f>
        <v>5.1694966629740602E-3</v>
      </c>
      <c r="BT159" s="419" t="s">
        <v>131</v>
      </c>
      <c r="BU159" s="417">
        <f>BU44/BS44-1</f>
        <v>1.1086316458958079E-2</v>
      </c>
      <c r="BV159" s="417">
        <f>BV44/BU44-1</f>
        <v>-2.9618944845425044E-2</v>
      </c>
      <c r="BW159" s="417">
        <f>BW44/BV44-1</f>
        <v>5.9866887961239845E-2</v>
      </c>
      <c r="BX159" s="417">
        <f>BX44/BW44-1</f>
        <v>7.1390910049562439E-3</v>
      </c>
      <c r="BY159" s="419" t="s">
        <v>131</v>
      </c>
      <c r="BZ159" s="417">
        <f>BZ44/BX44-1</f>
        <v>7.0099573853225294E-2</v>
      </c>
      <c r="CA159" s="417">
        <f>CA44/BZ44-1</f>
        <v>-1.0371616993796517E-2</v>
      </c>
      <c r="CB159" s="417">
        <f>CB44/CA44-1</f>
        <v>7.6951217100709846E-2</v>
      </c>
      <c r="CC159" s="417">
        <f>CC44/CB44-1</f>
        <v>4.1767271058067434E-2</v>
      </c>
      <c r="CD159" s="419" t="s">
        <v>131</v>
      </c>
      <c r="CE159" s="417">
        <f>CE44/CC44-1</f>
        <v>8.6045763585651525E-2</v>
      </c>
      <c r="CF159" s="417">
        <f>CF44/CE44-1</f>
        <v>1.9977523257748153E-2</v>
      </c>
      <c r="CG159" s="417">
        <f>CG44/CF44-1</f>
        <v>6.2664826313340027E-2</v>
      </c>
      <c r="CH159" s="417">
        <f>CH44/CG44-1</f>
        <v>2.2350320974715121E-2</v>
      </c>
      <c r="CI159" s="419" t="s">
        <v>131</v>
      </c>
      <c r="CJ159" s="417">
        <f>CJ44/CH44-1</f>
        <v>5.7273932177822617E-2</v>
      </c>
      <c r="CK159" s="418">
        <f>CK44/CJ44-1</f>
        <v>3.081852677788155E-2</v>
      </c>
      <c r="CL159" s="418">
        <f>CL44/CK44-1</f>
        <v>6.4444008008853304E-2</v>
      </c>
      <c r="CM159" s="418">
        <f>CM44/CL44-1</f>
        <v>2.2223680678898017E-2</v>
      </c>
      <c r="CN159" s="420" t="s">
        <v>131</v>
      </c>
      <c r="CO159" s="418">
        <f>CO44/CM44-1</f>
        <v>3.9543604090009232E-2</v>
      </c>
      <c r="CP159" s="418">
        <f>CP44/CO44-1</f>
        <v>2.5928928815198704E-2</v>
      </c>
      <c r="CQ159" s="418">
        <f>CQ44/CP44-1</f>
        <v>6.6878127313269919E-2</v>
      </c>
      <c r="CR159" s="418">
        <f>CR44/CQ44-1</f>
        <v>2.1111487240362825E-2</v>
      </c>
      <c r="CS159" s="420" t="s">
        <v>131</v>
      </c>
      <c r="CT159" s="418">
        <f>CT44/CR44-1</f>
        <v>5.2772817300493324E-2</v>
      </c>
      <c r="CU159" s="418">
        <f>CU44/CT44-1</f>
        <v>-2.0636994514833251E-4</v>
      </c>
      <c r="CV159" s="418">
        <f>CV44/CU44-1</f>
        <v>5.9152721800290742E-2</v>
      </c>
      <c r="CW159" s="418">
        <f>CW44/CV44-1</f>
        <v>1.3028686680870871E-2</v>
      </c>
      <c r="CX159" s="420" t="s">
        <v>131</v>
      </c>
      <c r="DA159" s="201"/>
      <c r="DB159" s="200"/>
      <c r="DC159" s="200"/>
    </row>
    <row r="160" spans="1:107" hidden="1" outlineLevel="1">
      <c r="A160" s="90" t="s">
        <v>192</v>
      </c>
      <c r="B160" s="412"/>
      <c r="C160" s="419" t="s">
        <v>131</v>
      </c>
      <c r="D160" s="417">
        <f>D48/C48-1</f>
        <v>5.5093394954746744E-2</v>
      </c>
      <c r="E160" s="417">
        <f>E48/D48-1</f>
        <v>-0.12899016261794816</v>
      </c>
      <c r="F160" s="417">
        <f>F48/E48-1</f>
        <v>-6.4538434942951195E-3</v>
      </c>
      <c r="G160" s="419" t="s">
        <v>131</v>
      </c>
      <c r="H160" s="417">
        <f>H48/F48-1</f>
        <v>-5.8134998049161335E-2</v>
      </c>
      <c r="I160" s="417">
        <f>I48/H48-1</f>
        <v>0.16323697351037869</v>
      </c>
      <c r="J160" s="417">
        <f>J48/I48-1</f>
        <v>-9.6835357754720963E-2</v>
      </c>
      <c r="K160" s="417">
        <f>K48/J48-1</f>
        <v>-5.5734944638040629E-3</v>
      </c>
      <c r="L160" s="419" t="s">
        <v>131</v>
      </c>
      <c r="M160" s="417">
        <f>M48/K48-1</f>
        <v>5.0517607218637961E-2</v>
      </c>
      <c r="N160" s="417">
        <f>N48/M48-1</f>
        <v>7.8385767331782708E-2</v>
      </c>
      <c r="O160" s="417">
        <f>O48/N48-1</f>
        <v>3.9919782049342434E-3</v>
      </c>
      <c r="P160" s="417">
        <f>P48/O48-1</f>
        <v>6.980797859309873E-2</v>
      </c>
      <c r="Q160" s="419" t="s">
        <v>131</v>
      </c>
      <c r="R160" s="417">
        <f>R48/P48-1</f>
        <v>0.12163673674290854</v>
      </c>
      <c r="S160" s="417">
        <f>S48/R48-1</f>
        <v>2.5181776779685139E-2</v>
      </c>
      <c r="T160" s="417">
        <f>T48/S48-1</f>
        <v>-5.8378842073820048E-2</v>
      </c>
      <c r="U160" s="417">
        <f>U48/T48-1</f>
        <v>0.14112690033268538</v>
      </c>
      <c r="V160" s="419" t="s">
        <v>131</v>
      </c>
      <c r="W160" s="417">
        <f>W48/U48-1</f>
        <v>5.0567043745411322E-2</v>
      </c>
      <c r="X160" s="417">
        <f>X48/W48-1</f>
        <v>5.143062632732387E-2</v>
      </c>
      <c r="Y160" s="417">
        <f>Y48/X48-1</f>
        <v>-7.2372114633815876E-2</v>
      </c>
      <c r="Z160" s="417">
        <f>Z48/Y48-1</f>
        <v>2.4215989092022161E-2</v>
      </c>
      <c r="AA160" s="419" t="s">
        <v>131</v>
      </c>
      <c r="AB160" s="417">
        <f>AB48/Z48-1</f>
        <v>0.3326586474132136</v>
      </c>
      <c r="AC160" s="417">
        <f>AC48/AB48-1</f>
        <v>-1.1824307105796628E-3</v>
      </c>
      <c r="AD160" s="417">
        <f>AD48/AC48-1</f>
        <v>-9.4604386296142096E-3</v>
      </c>
      <c r="AE160" s="417">
        <f>AE48/AD48-1</f>
        <v>7.7452091489800035E-2</v>
      </c>
      <c r="AF160" s="419" t="s">
        <v>131</v>
      </c>
      <c r="AG160" s="417">
        <f>AG48/AE48-1</f>
        <v>-2.5708206832253611E-2</v>
      </c>
      <c r="AH160" s="417">
        <f>AH48/AG48-1</f>
        <v>8.1907762368852444E-2</v>
      </c>
      <c r="AI160" s="417">
        <f>AI48/AH48-1</f>
        <v>8.621620273144992E-2</v>
      </c>
      <c r="AJ160" s="417">
        <f>AJ48/AI48-1</f>
        <v>0.12410377614551704</v>
      </c>
      <c r="AK160" s="419" t="s">
        <v>131</v>
      </c>
      <c r="AL160" s="417">
        <f>AL48/AJ48-1</f>
        <v>-7.8017214159147308E-2</v>
      </c>
      <c r="AM160" s="417">
        <f>AM48/AL48-1</f>
        <v>5.7495114728338681E-2</v>
      </c>
      <c r="AN160" s="417">
        <f>AN48/AM48-1</f>
        <v>-2.6388280342140913E-2</v>
      </c>
      <c r="AO160" s="417">
        <f>AO48/AN48-1</f>
        <v>3.601407221598274E-2</v>
      </c>
      <c r="AP160" s="419" t="s">
        <v>131</v>
      </c>
      <c r="AQ160" s="417">
        <f>AQ48/AO48-1</f>
        <v>-0.10973324972992582</v>
      </c>
      <c r="AR160" s="417">
        <f>AR48/AQ48-1</f>
        <v>-3.1320669860113504E-2</v>
      </c>
      <c r="AS160" s="417">
        <f>AS48/AR48-1</f>
        <v>-4.8570139591518458E-2</v>
      </c>
      <c r="AT160" s="417">
        <f>AT48/AS48-1</f>
        <v>0.11123745511463023</v>
      </c>
      <c r="AU160" s="419" t="s">
        <v>131</v>
      </c>
      <c r="AV160" s="417">
        <f>AV48/AT48-1</f>
        <v>0.12930073783157892</v>
      </c>
      <c r="AW160" s="417">
        <f>AW48/AV48-1</f>
        <v>8.9444375151323863E-2</v>
      </c>
      <c r="AX160" s="417">
        <f>AX48/AW48-1</f>
        <v>-4.997710252680343E-2</v>
      </c>
      <c r="AY160" s="417">
        <f>AY48/AX48-1</f>
        <v>5.2010746666477647E-2</v>
      </c>
      <c r="AZ160" s="419" t="s">
        <v>131</v>
      </c>
      <c r="BA160" s="417">
        <f>BA48/AY48-1</f>
        <v>2.3820112665426496E-2</v>
      </c>
      <c r="BB160" s="417">
        <f>BB48/BA48-1</f>
        <v>5.2034039976569524E-2</v>
      </c>
      <c r="BC160" s="417">
        <f>BC48/BB48-1</f>
        <v>-9.9033438643686411E-3</v>
      </c>
      <c r="BD160" s="417">
        <f>BD48/BC48-1</f>
        <v>9.1323248789981104E-2</v>
      </c>
      <c r="BE160" s="419" t="s">
        <v>131</v>
      </c>
      <c r="BF160" s="417">
        <f>BF48/BD48-1</f>
        <v>-3.6091248588715485E-2</v>
      </c>
      <c r="BG160" s="417">
        <f>BG48/BF48-1</f>
        <v>8.3781080780747308E-2</v>
      </c>
      <c r="BH160" s="417">
        <f>BH48/BG48-1</f>
        <v>-6.0142604175037806E-2</v>
      </c>
      <c r="BI160" s="417">
        <f>BI48/BH48-1</f>
        <v>0.10445045937562636</v>
      </c>
      <c r="BJ160" s="419" t="s">
        <v>131</v>
      </c>
      <c r="BK160" s="417">
        <f>BK48/BI48-1</f>
        <v>-1.9349619975385646E-2</v>
      </c>
      <c r="BL160" s="417">
        <f>BL48/BK48-1</f>
        <v>1.5449197322320751E-2</v>
      </c>
      <c r="BM160" s="417">
        <f>BM48/BL48-1</f>
        <v>-3.5481812722515382E-2</v>
      </c>
      <c r="BN160" s="417">
        <f>BN48/BM48-1</f>
        <v>0.10247294822012765</v>
      </c>
      <c r="BO160" s="419" t="s">
        <v>131</v>
      </c>
      <c r="BP160" s="417">
        <f>BP48/BN48-1</f>
        <v>-4.3361738604275946E-2</v>
      </c>
      <c r="BQ160" s="417">
        <f>BQ48/BP48-1</f>
        <v>4.6091487214085847E-2</v>
      </c>
      <c r="BR160" s="417">
        <f>BR48/BQ48-1</f>
        <v>-5.2036883077620666E-2</v>
      </c>
      <c r="BS160" s="417">
        <f>BS48/BR48-1</f>
        <v>5.7370274400372123E-2</v>
      </c>
      <c r="BT160" s="419" t="s">
        <v>131</v>
      </c>
      <c r="BU160" s="417">
        <f>BU48/BS48-1</f>
        <v>-9.3552538317306144E-2</v>
      </c>
      <c r="BV160" s="417">
        <f>BV48/BU48-1</f>
        <v>9.2493643262967939E-2</v>
      </c>
      <c r="BW160" s="417">
        <f>BW48/BV48-1</f>
        <v>-1.3114279767917569E-2</v>
      </c>
      <c r="BX160" s="417">
        <f>BX48/BW48-1</f>
        <v>5.8228381996291434E-2</v>
      </c>
      <c r="BY160" s="419" t="s">
        <v>131</v>
      </c>
      <c r="BZ160" s="417">
        <f>BZ48/BX48-1</f>
        <v>7.2469086596414822E-2</v>
      </c>
      <c r="CA160" s="417">
        <f>CA48/BZ48-1</f>
        <v>-2.6064433673018472E-2</v>
      </c>
      <c r="CB160" s="417">
        <f>CB48/CA48-1</f>
        <v>3.6031634127444034E-2</v>
      </c>
      <c r="CC160" s="417">
        <f>CC48/CB48-1</f>
        <v>3.9452024030093735E-2</v>
      </c>
      <c r="CD160" s="419" t="s">
        <v>131</v>
      </c>
      <c r="CE160" s="417">
        <f>CE48/CC48-1</f>
        <v>4.268195194040314E-2</v>
      </c>
      <c r="CF160" s="417">
        <f>CF48/CE48-1</f>
        <v>6.154410408684674E-2</v>
      </c>
      <c r="CG160" s="417">
        <f>CG48/CF48-1</f>
        <v>-6.2561243651156895E-3</v>
      </c>
      <c r="CH160" s="417">
        <f>CH48/CG48-1</f>
        <v>4.7949981634004102E-2</v>
      </c>
      <c r="CI160" s="419" t="s">
        <v>131</v>
      </c>
      <c r="CJ160" s="417">
        <f>CJ48/CH48-1</f>
        <v>5.7225437859884654E-3</v>
      </c>
      <c r="CK160" s="418">
        <f>CK48/CJ48-1</f>
        <v>7.0466413676390394E-2</v>
      </c>
      <c r="CL160" s="418">
        <f>CL48/CK48-1</f>
        <v>2.9691748566835985E-2</v>
      </c>
      <c r="CM160" s="418">
        <f>CM48/CL48-1</f>
        <v>5.7323362135033307E-2</v>
      </c>
      <c r="CN160" s="420" t="s">
        <v>131</v>
      </c>
      <c r="CO160" s="418">
        <f>CO48/CM48-1</f>
        <v>8.9416653685625569E-3</v>
      </c>
      <c r="CP160" s="418">
        <f>CP48/CO48-1</f>
        <v>5.5729089497065232E-2</v>
      </c>
      <c r="CQ160" s="418">
        <f>CQ48/CP48-1</f>
        <v>3.1406608473139697E-2</v>
      </c>
      <c r="CR160" s="418">
        <f>CR48/CQ48-1</f>
        <v>5.6835684070463577E-2</v>
      </c>
      <c r="CS160" s="420" t="s">
        <v>131</v>
      </c>
      <c r="CT160" s="418">
        <f>CT48/CR48-1</f>
        <v>1.2467720953592831E-2</v>
      </c>
      <c r="CU160" s="418">
        <f>CU48/CT48-1</f>
        <v>3.8264233530942882E-2</v>
      </c>
      <c r="CV160" s="418">
        <f>CV48/CU48-1</f>
        <v>2.3279116712020764E-2</v>
      </c>
      <c r="CW160" s="418">
        <f>CW48/CV48-1</f>
        <v>4.9152900979066771E-2</v>
      </c>
      <c r="CX160" s="420" t="s">
        <v>131</v>
      </c>
      <c r="DA160" s="201"/>
      <c r="DB160" s="200"/>
      <c r="DC160" s="200"/>
    </row>
    <row r="161" spans="1:113" hidden="1" outlineLevel="1">
      <c r="A161" s="90" t="s">
        <v>194</v>
      </c>
      <c r="B161" s="412"/>
      <c r="C161" s="419" t="s">
        <v>131</v>
      </c>
      <c r="D161" s="417">
        <f>D52/C52-1</f>
        <v>2.3213697728021065E-2</v>
      </c>
      <c r="E161" s="417">
        <f>E52/D52-1</f>
        <v>-0.16234915526950922</v>
      </c>
      <c r="F161" s="417">
        <f>F52/E52-1</f>
        <v>8.1482904341145135E-2</v>
      </c>
      <c r="G161" s="419" t="s">
        <v>131</v>
      </c>
      <c r="H161" s="417">
        <f>H52/F52-1</f>
        <v>-9.0653973215871875E-2</v>
      </c>
      <c r="I161" s="417">
        <f>I52/H52-1</f>
        <v>0.13543497792882531</v>
      </c>
      <c r="J161" s="417">
        <f>J52/I52-1</f>
        <v>-8.3155576962774314E-2</v>
      </c>
      <c r="K161" s="417">
        <f>K52/J52-1</f>
        <v>6.4167510976023134E-3</v>
      </c>
      <c r="L161" s="419" t="s">
        <v>131</v>
      </c>
      <c r="M161" s="417">
        <f>M52/K52-1</f>
        <v>0.12009694258016368</v>
      </c>
      <c r="N161" s="417">
        <f>N52/M52-1</f>
        <v>1.5279118537998126E-2</v>
      </c>
      <c r="O161" s="417">
        <f>O52/N52-1</f>
        <v>-5.8688524590163604E-3</v>
      </c>
      <c r="P161" s="417">
        <f>P52/O52-1</f>
        <v>4.1027670591339716E-2</v>
      </c>
      <c r="Q161" s="419" t="s">
        <v>131</v>
      </c>
      <c r="R161" s="417">
        <f>R52/P52-1</f>
        <v>5.8514177094883157E-2</v>
      </c>
      <c r="S161" s="417">
        <f>S52/R52-1</f>
        <v>2.8881838860289832E-2</v>
      </c>
      <c r="T161" s="417">
        <f>T52/S52-1</f>
        <v>7.1035867004101583E-2</v>
      </c>
      <c r="U161" s="417">
        <f>U52/T52-1</f>
        <v>-9.389174067736783E-2</v>
      </c>
      <c r="V161" s="419" t="s">
        <v>131</v>
      </c>
      <c r="W161" s="417">
        <f>W52/U52-1</f>
        <v>0.2328997062526228</v>
      </c>
      <c r="X161" s="417">
        <f>X52/W52-1</f>
        <v>2.1564718467373289E-2</v>
      </c>
      <c r="Y161" s="417">
        <f>Y52/X52-1</f>
        <v>-0.10428615626264304</v>
      </c>
      <c r="Z161" s="417">
        <f>Z52/Y52-1</f>
        <v>0.21874750910008744</v>
      </c>
      <c r="AA161" s="419" t="s">
        <v>131</v>
      </c>
      <c r="AB161" s="417">
        <f>AB52/Z52-1</f>
        <v>0.14209723130586482</v>
      </c>
      <c r="AC161" s="417">
        <f>AC52/AB52-1</f>
        <v>1.2598304955331319E-3</v>
      </c>
      <c r="AD161" s="417">
        <f>AD52/AC52-1</f>
        <v>-2.1237655850840809E-2</v>
      </c>
      <c r="AE161" s="417">
        <f>AE52/AD52-1</f>
        <v>6.6419945461628771E-3</v>
      </c>
      <c r="AF161" s="419" t="s">
        <v>131</v>
      </c>
      <c r="AG161" s="417">
        <f>AG52/AE52-1</f>
        <v>9.7540682262340139E-2</v>
      </c>
      <c r="AH161" s="417">
        <f>AH52/AG52-1</f>
        <v>6.6323472374034687E-2</v>
      </c>
      <c r="AI161" s="417">
        <f>AI52/AH52-1</f>
        <v>6.6926790556180116E-2</v>
      </c>
      <c r="AJ161" s="417">
        <f>AJ52/AI52-1</f>
        <v>2.5506725345564973E-2</v>
      </c>
      <c r="AK161" s="419" t="s">
        <v>131</v>
      </c>
      <c r="AL161" s="417">
        <f>AL52/AJ52-1</f>
        <v>0.10956813442533786</v>
      </c>
      <c r="AM161" s="417">
        <f>AM52/AL52-1</f>
        <v>-9.7386591128845512E-2</v>
      </c>
      <c r="AN161" s="417">
        <f>AN52/AM52-1</f>
        <v>7.7642656688494016E-2</v>
      </c>
      <c r="AO161" s="417">
        <f>AO52/AN52-1</f>
        <v>4.2058691756272193E-2</v>
      </c>
      <c r="AP161" s="419" t="s">
        <v>131</v>
      </c>
      <c r="AQ161" s="417">
        <f>AQ52/AO52-1</f>
        <v>-0.12604127478905791</v>
      </c>
      <c r="AR161" s="417">
        <f>AR52/AQ52-1</f>
        <v>-7.091795163497161E-2</v>
      </c>
      <c r="AS161" s="417">
        <f>AS52/AR52-1</f>
        <v>0.19910977264453789</v>
      </c>
      <c r="AT161" s="417">
        <f>AT52/AS52-1</f>
        <v>-8.0988587908979115E-2</v>
      </c>
      <c r="AU161" s="419" t="s">
        <v>131</v>
      </c>
      <c r="AV161" s="417">
        <f>AV52/AT52-1</f>
        <v>0.19234811856211875</v>
      </c>
      <c r="AW161" s="417">
        <f>AW52/AV52-1</f>
        <v>-1.1157565988313412E-2</v>
      </c>
      <c r="AX161" s="417">
        <f>AX52/AW52-1</f>
        <v>0.17772089350755205</v>
      </c>
      <c r="AY161" s="417">
        <f>AY52/AX52-1</f>
        <v>-4.167522735382867E-2</v>
      </c>
      <c r="AZ161" s="419" t="s">
        <v>131</v>
      </c>
      <c r="BA161" s="417">
        <f>BA52/AY52-1</f>
        <v>-4.1117994200151053E-2</v>
      </c>
      <c r="BB161" s="417">
        <f>BB52/BA52-1</f>
        <v>-5.450758422669133E-2</v>
      </c>
      <c r="BC161" s="417">
        <f>BC52/BB52-1</f>
        <v>6.902560145369474E-2</v>
      </c>
      <c r="BD161" s="417">
        <f>BD52/BC52-1</f>
        <v>0.17571862666340676</v>
      </c>
      <c r="BE161" s="419" t="s">
        <v>131</v>
      </c>
      <c r="BF161" s="417">
        <f>BF52/BD52-1</f>
        <v>-0.14462400728813884</v>
      </c>
      <c r="BG161" s="417">
        <f>BG52/BF52-1</f>
        <v>8.9394658547597095E-2</v>
      </c>
      <c r="BH161" s="417">
        <f>BH52/BG52-1</f>
        <v>-5.7383930374166336E-4</v>
      </c>
      <c r="BI161" s="417">
        <f>BI52/BH52-1</f>
        <v>3.296154132420348E-2</v>
      </c>
      <c r="BJ161" s="419" t="s">
        <v>131</v>
      </c>
      <c r="BK161" s="417">
        <f>BK52/BI52-1</f>
        <v>0.18841161514786564</v>
      </c>
      <c r="BL161" s="417">
        <f>BL52/BK52-1</f>
        <v>-0.10292499978346159</v>
      </c>
      <c r="BM161" s="417">
        <f>BM52/BL52-1</f>
        <v>7.6981751472434023E-2</v>
      </c>
      <c r="BN161" s="417">
        <f>BN52/BM52-1</f>
        <v>8.3510395094268608E-2</v>
      </c>
      <c r="BO161" s="419" t="s">
        <v>131</v>
      </c>
      <c r="BP161" s="417">
        <f>BP52/BN52-1</f>
        <v>-7.7562097668337993E-2</v>
      </c>
      <c r="BQ161" s="417">
        <f>BQ52/BP52-1</f>
        <v>-1.1176491693875468E-2</v>
      </c>
      <c r="BR161" s="417">
        <f>BR52/BQ52-1</f>
        <v>0.1191785046898528</v>
      </c>
      <c r="BS161" s="417">
        <f>BS52/BR52-1</f>
        <v>-6.5182855660744443E-2</v>
      </c>
      <c r="BT161" s="419" t="s">
        <v>131</v>
      </c>
      <c r="BU161" s="417">
        <f>BU52/BS52-1</f>
        <v>9.8383824370957385E-2</v>
      </c>
      <c r="BV161" s="417">
        <f>BV52/BU52-1</f>
        <v>-0.11661575137550206</v>
      </c>
      <c r="BW161" s="417">
        <f>BW52/BV52-1</f>
        <v>2.7433248740036609E-2</v>
      </c>
      <c r="BX161" s="417">
        <f>BX52/BW52-1</f>
        <v>1.629877019951631E-2</v>
      </c>
      <c r="BY161" s="419" t="s">
        <v>131</v>
      </c>
      <c r="BZ161" s="417">
        <f>BZ52/BX52-1</f>
        <v>8.8000205388012231E-2</v>
      </c>
      <c r="CA161" s="417">
        <f>CA52/BZ52-1</f>
        <v>-5.693947378770603E-2</v>
      </c>
      <c r="CB161" s="417">
        <f>CB52/CA52-1</f>
        <v>4.5923133382264725E-2</v>
      </c>
      <c r="CC161" s="417">
        <f>CC52/CB52-1</f>
        <v>3.8874978070525312E-2</v>
      </c>
      <c r="CD161" s="419" t="s">
        <v>131</v>
      </c>
      <c r="CE161" s="417">
        <f>CE52/CC52-1</f>
        <v>4.8435257182770641E-3</v>
      </c>
      <c r="CF161" s="417">
        <f>CF52/CE52-1</f>
        <v>3.7591285482934778E-2</v>
      </c>
      <c r="CG161" s="417">
        <f>CG52/CF52-1</f>
        <v>-6.4249902450875918E-2</v>
      </c>
      <c r="CH161" s="417">
        <f>CH52/CG52-1</f>
        <v>0.16258595458765401</v>
      </c>
      <c r="CI161" s="419" t="s">
        <v>131</v>
      </c>
      <c r="CJ161" s="417">
        <f>CJ52/CH52-1</f>
        <v>8.7502622371706806E-3</v>
      </c>
      <c r="CK161" s="418">
        <f>CK52/CJ52-1</f>
        <v>8.9217538881969372E-3</v>
      </c>
      <c r="CL161" s="418">
        <f>CL52/CK52-1</f>
        <v>-3.7050560179506475E-2</v>
      </c>
      <c r="CM161" s="418">
        <f>CM52/CL52-1</f>
        <v>0.1666988096627684</v>
      </c>
      <c r="CN161" s="420" t="s">
        <v>131</v>
      </c>
      <c r="CO161" s="418">
        <f>CO52/CM52-1</f>
        <v>2.5603915783433795E-2</v>
      </c>
      <c r="CP161" s="418">
        <f>CP52/CO52-1</f>
        <v>1.1036018208676834E-2</v>
      </c>
      <c r="CQ161" s="418">
        <f>CQ52/CP52-1</f>
        <v>-4.4037257717092437E-2</v>
      </c>
      <c r="CR161" s="418">
        <f>CR52/CQ52-1</f>
        <v>0.16879507607810673</v>
      </c>
      <c r="CS161" s="420" t="s">
        <v>131</v>
      </c>
      <c r="CT161" s="418">
        <f>CT52/CR52-1</f>
        <v>4.158314871396529E-2</v>
      </c>
      <c r="CU161" s="418">
        <f>CU52/CT52-1</f>
        <v>3.9606833778256245E-3</v>
      </c>
      <c r="CV161" s="418">
        <f>CV52/CU52-1</f>
        <v>-5.1384193588659755E-2</v>
      </c>
      <c r="CW161" s="418">
        <f>CW52/CV52-1</f>
        <v>0.16018721716167383</v>
      </c>
      <c r="CX161" s="420" t="s">
        <v>131</v>
      </c>
      <c r="DA161" s="201"/>
      <c r="DB161" s="200"/>
      <c r="DC161" s="200"/>
    </row>
    <row r="162" spans="1:113" hidden="1" outlineLevel="1">
      <c r="A162" s="90" t="s">
        <v>449</v>
      </c>
      <c r="B162" s="412"/>
      <c r="C162" s="419" t="s">
        <v>131</v>
      </c>
      <c r="D162" s="417">
        <f>D65/C65-1</f>
        <v>5.4429040054339461E-2</v>
      </c>
      <c r="E162" s="417">
        <f>E65/D65-1</f>
        <v>-0.12278406423841715</v>
      </c>
      <c r="F162" s="417">
        <f>F65/E65-1</f>
        <v>1.1186000705885268E-2</v>
      </c>
      <c r="G162" s="419" t="s">
        <v>131</v>
      </c>
      <c r="H162" s="417">
        <f>H65/F65-1</f>
        <v>-1.9236507141208836E-2</v>
      </c>
      <c r="I162" s="417">
        <f>I65/H65-1</f>
        <v>0.12403136372507384</v>
      </c>
      <c r="J162" s="417">
        <f>J65/I65-1</f>
        <v>-7.9613118035767205E-2</v>
      </c>
      <c r="K162" s="417">
        <f>K65/J65-1</f>
        <v>2.2654134670868631E-2</v>
      </c>
      <c r="L162" s="419" t="s">
        <v>131</v>
      </c>
      <c r="M162" s="417">
        <f>M65/K65-1</f>
        <v>5.2681550606298977E-2</v>
      </c>
      <c r="N162" s="417">
        <f>N65/M65-1</f>
        <v>5.8260533436412798E-2</v>
      </c>
      <c r="O162" s="417">
        <f>O65/N65-1</f>
        <v>-2.9221395906098291E-4</v>
      </c>
      <c r="P162" s="417">
        <f>P65/O65-1</f>
        <v>6.3000258197779546E-2</v>
      </c>
      <c r="Q162" s="419" t="s">
        <v>131</v>
      </c>
      <c r="R162" s="417">
        <f>R65/P65-1</f>
        <v>8.0824560840693005E-2</v>
      </c>
      <c r="S162" s="417">
        <f>S65/R65-1</f>
        <v>2.1854077180425424E-2</v>
      </c>
      <c r="T162" s="417">
        <f>T65/S65-1</f>
        <v>-4.8176072965381289E-3</v>
      </c>
      <c r="U162" s="417">
        <f>U65/T65-1</f>
        <v>5.8045282074802973E-2</v>
      </c>
      <c r="V162" s="419" t="s">
        <v>131</v>
      </c>
      <c r="W162" s="417">
        <f>W65/U65-1</f>
        <v>8.453168657463439E-2</v>
      </c>
      <c r="X162" s="417">
        <f>X65/W65-1</f>
        <v>4.0661189457887215E-2</v>
      </c>
      <c r="Y162" s="417">
        <f>Y65/X65-1</f>
        <v>-3.6383824910699025E-2</v>
      </c>
      <c r="Z162" s="417">
        <f>Z65/Y65-1</f>
        <v>4.2667526660409738E-2</v>
      </c>
      <c r="AA162" s="419" t="s">
        <v>131</v>
      </c>
      <c r="AB162" s="417">
        <f>AB65/Z65-1</f>
        <v>0.25953445052233626</v>
      </c>
      <c r="AC162" s="417">
        <f>AC65/AB65-1</f>
        <v>2.8116084386879958E-3</v>
      </c>
      <c r="AD162" s="417">
        <f>AD65/AC65-1</f>
        <v>-7.236308107141376E-3</v>
      </c>
      <c r="AE162" s="417">
        <f>AE65/AD65-1</f>
        <v>6.7547080914041713E-2</v>
      </c>
      <c r="AF162" s="419" t="s">
        <v>131</v>
      </c>
      <c r="AG162" s="417">
        <f>AG65/AE65-1</f>
        <v>-3.8111358898406111E-3</v>
      </c>
      <c r="AH162" s="417">
        <f>AH65/AG65-1</f>
        <v>7.2717274880837568E-2</v>
      </c>
      <c r="AI162" s="417">
        <f>AI65/AH65-1</f>
        <v>8.9412130546957957E-2</v>
      </c>
      <c r="AJ162" s="417">
        <f>AJ65/AI65-1</f>
        <v>7.1128792710503097E-2</v>
      </c>
      <c r="AK162" s="419" t="s">
        <v>131</v>
      </c>
      <c r="AL162" s="417">
        <f>AL65/AJ65-1</f>
        <v>-1.7723527133881145E-2</v>
      </c>
      <c r="AM162" s="417">
        <f>AM65/AL65-1</f>
        <v>1.6392226515391073E-2</v>
      </c>
      <c r="AN162" s="417">
        <f>AN65/AM65-1</f>
        <v>-9.2921802632924821E-3</v>
      </c>
      <c r="AO162" s="417">
        <f>AO65/AN65-1</f>
        <v>3.6435431826171705E-3</v>
      </c>
      <c r="AP162" s="419" t="s">
        <v>131</v>
      </c>
      <c r="AQ162" s="417">
        <f>AQ65/AO65-1</f>
        <v>-0.10121891371550551</v>
      </c>
      <c r="AR162" s="417">
        <f>AR65/AQ65-1</f>
        <v>-4.1866271540409339E-2</v>
      </c>
      <c r="AS162" s="417">
        <f>AS65/AR65-1</f>
        <v>-1.7632174334470951E-3</v>
      </c>
      <c r="AT162" s="417">
        <f>AT65/AS65-1</f>
        <v>4.5973422072805192E-2</v>
      </c>
      <c r="AU162" s="419" t="s">
        <v>131</v>
      </c>
      <c r="AV162" s="417">
        <f>AV65/AT65-1</f>
        <v>0.16329277195830505</v>
      </c>
      <c r="AW162" s="417">
        <f>AW65/AV65-1</f>
        <v>4.3056329725589482E-2</v>
      </c>
      <c r="AX162" s="417">
        <f>AX65/AW65-1</f>
        <v>8.6329524658987911E-3</v>
      </c>
      <c r="AY162" s="417">
        <f>AY65/AX65-1</f>
        <v>1.982439723502849E-2</v>
      </c>
      <c r="AZ162" s="419" t="s">
        <v>131</v>
      </c>
      <c r="BA162" s="417">
        <f>BA65/AY65-1</f>
        <v>8.31232515244551E-3</v>
      </c>
      <c r="BB162" s="417">
        <f>BB65/BA65-1</f>
        <v>3.1861323270757413E-2</v>
      </c>
      <c r="BC162" s="417">
        <f>BC65/BB65-1</f>
        <v>5.9416468492028418E-3</v>
      </c>
      <c r="BD162" s="417">
        <f>BD65/BC65-1</f>
        <v>9.2424686102818177E-2</v>
      </c>
      <c r="BE162" s="419" t="s">
        <v>131</v>
      </c>
      <c r="BF162" s="417">
        <f>BF65/BD65-1</f>
        <v>-6.6272868282939768E-2</v>
      </c>
      <c r="BG162" s="417">
        <f>BG65/BF65-1</f>
        <v>7.0882171715049846E-2</v>
      </c>
      <c r="BH162" s="417">
        <f>BH65/BG65-1</f>
        <v>-3.238988827409206E-2</v>
      </c>
      <c r="BI162" s="417">
        <f>BI65/BH65-1</f>
        <v>7.7923811132696974E-2</v>
      </c>
      <c r="BJ162" s="419" t="s">
        <v>131</v>
      </c>
      <c r="BK162" s="417">
        <f>BK65/BI65-1</f>
        <v>3.5022418924361753E-2</v>
      </c>
      <c r="BL162" s="417">
        <f>BL65/BK65-1</f>
        <v>-1.3701803689750602E-2</v>
      </c>
      <c r="BM162" s="417">
        <f>BM65/BL65-1</f>
        <v>-3.0074841681060338E-3</v>
      </c>
      <c r="BN162" s="417">
        <f>BN65/BM65-1</f>
        <v>6.4331645663180392E-2</v>
      </c>
      <c r="BO162" s="419" t="s">
        <v>131</v>
      </c>
      <c r="BP162" s="417">
        <f>BP65/BN65-1</f>
        <v>-3.1747960775122208E-2</v>
      </c>
      <c r="BQ162" s="417">
        <f>BQ65/BP65-1</f>
        <v>2.5117669032498791E-2</v>
      </c>
      <c r="BR162" s="417">
        <f>BR65/BQ65-1</f>
        <v>-7.2296883654490163E-3</v>
      </c>
      <c r="BS162" s="417">
        <f>BS65/BR65-1</f>
        <v>2.1264131551901322E-2</v>
      </c>
      <c r="BT162" s="419" t="s">
        <v>131</v>
      </c>
      <c r="BU162" s="417">
        <f>BU65/BS65-1</f>
        <v>-3.429065977748158E-2</v>
      </c>
      <c r="BV162" s="417">
        <f>BV65/BU65-1</f>
        <v>1.9534605370304492E-2</v>
      </c>
      <c r="BW162" s="417">
        <f>BW65/BV65-1</f>
        <v>1.2580802011526782E-2</v>
      </c>
      <c r="BX162" s="417">
        <f>BX65/BW65-1</f>
        <v>3.7303758351130201E-2</v>
      </c>
      <c r="BY162" s="419" t="s">
        <v>131</v>
      </c>
      <c r="BZ162" s="417">
        <f>BZ65/BX65-1</f>
        <v>7.4362816923337904E-2</v>
      </c>
      <c r="CA162" s="417">
        <f>CA65/BZ65-1</f>
        <v>-2.6992999754150371E-2</v>
      </c>
      <c r="CB162" s="417">
        <f>CB65/CA65-1</f>
        <v>4.8616365834230013E-2</v>
      </c>
      <c r="CC162" s="417">
        <f>CC65/CB65-1</f>
        <v>3.9999898545008516E-2</v>
      </c>
      <c r="CD162" s="419" t="s">
        <v>131</v>
      </c>
      <c r="CE162" s="417">
        <f>CE65/CC65-1</f>
        <v>4.86715735768255E-2</v>
      </c>
      <c r="CF162" s="417">
        <f>CF65/CE65-1</f>
        <v>4.5984683400350113E-2</v>
      </c>
      <c r="CG162" s="417">
        <f>CG65/CF65-1</f>
        <v>4.2488949760319805E-3</v>
      </c>
      <c r="CH162" s="417">
        <f>CH65/CG65-1</f>
        <v>5.6508551502739923E-2</v>
      </c>
      <c r="CI162" s="419" t="s">
        <v>131</v>
      </c>
      <c r="CJ162" s="417">
        <f>CJ65/CH65-1</f>
        <v>2.0944114451323603E-2</v>
      </c>
      <c r="CK162" s="418">
        <f>CK65/CJ65-1</f>
        <v>4.9301364466094233E-2</v>
      </c>
      <c r="CL162" s="418">
        <f>CL65/CK65-1</f>
        <v>2.99922921178295E-2</v>
      </c>
      <c r="CM162" s="418">
        <f>CM65/CL65-1</f>
        <v>6.1803641039824164E-2</v>
      </c>
      <c r="CN162" s="420" t="s">
        <v>131</v>
      </c>
      <c r="CO162" s="418">
        <f>CO65/CM65-1</f>
        <v>2.0323601740954933E-2</v>
      </c>
      <c r="CP162" s="418">
        <f>CP65/CO65-1</f>
        <v>4.014632252060446E-2</v>
      </c>
      <c r="CQ162" s="418">
        <f>CQ65/CP65-1</f>
        <v>3.0593780392953906E-2</v>
      </c>
      <c r="CR162" s="418">
        <f>CR65/CQ65-1</f>
        <v>6.1402814233606273E-2</v>
      </c>
      <c r="CS162" s="420" t="s">
        <v>131</v>
      </c>
      <c r="CT162" s="418">
        <f>CT65/CR65-1</f>
        <v>2.8542506891702901E-2</v>
      </c>
      <c r="CU162" s="418">
        <f>CU65/CT65-1</f>
        <v>2.1610582259341982E-2</v>
      </c>
      <c r="CV162" s="418">
        <f>CV65/CU65-1</f>
        <v>2.2491470147250725E-2</v>
      </c>
      <c r="CW162" s="418">
        <f>CW65/CV65-1</f>
        <v>5.3746005936722074E-2</v>
      </c>
      <c r="CX162" s="420" t="s">
        <v>131</v>
      </c>
      <c r="DA162" s="201"/>
      <c r="DB162" s="200"/>
      <c r="DC162" s="200"/>
    </row>
    <row r="163" spans="1:113" ht="5.25" hidden="1" customHeight="1" outlineLevel="1">
      <c r="A163" s="114"/>
      <c r="B163" s="293"/>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21"/>
      <c r="AB163" s="121"/>
      <c r="AC163" s="121"/>
      <c r="AD163" s="121"/>
      <c r="AE163" s="121"/>
      <c r="AF163" s="121"/>
      <c r="AG163" s="121"/>
      <c r="AH163" s="121"/>
      <c r="AI163" s="121"/>
      <c r="AJ163" s="121"/>
      <c r="AK163" s="121"/>
      <c r="AL163" s="121"/>
      <c r="AM163" s="121"/>
      <c r="AN163" s="121"/>
      <c r="AO163" s="121"/>
      <c r="AP163" s="121"/>
      <c r="AQ163" s="121"/>
      <c r="AR163" s="121"/>
      <c r="AS163" s="121"/>
      <c r="AT163" s="121"/>
      <c r="AU163" s="121"/>
      <c r="AV163" s="121"/>
      <c r="AW163" s="121"/>
      <c r="AX163" s="121"/>
      <c r="AY163" s="121"/>
      <c r="AZ163" s="121"/>
      <c r="BA163" s="121"/>
      <c r="BB163" s="121"/>
      <c r="BC163" s="121"/>
      <c r="BD163" s="121"/>
      <c r="BE163" s="121"/>
      <c r="BF163" s="121"/>
      <c r="BG163" s="121"/>
      <c r="BH163" s="121"/>
      <c r="BI163" s="121"/>
      <c r="BJ163" s="121"/>
      <c r="BK163" s="121"/>
      <c r="BL163" s="121"/>
      <c r="BM163" s="121"/>
      <c r="BN163" s="121"/>
      <c r="BO163" s="121"/>
      <c r="BP163" s="121"/>
      <c r="BQ163" s="121"/>
      <c r="BR163" s="121"/>
      <c r="BS163" s="121"/>
      <c r="BT163" s="121"/>
      <c r="BU163" s="121"/>
      <c r="BV163" s="121"/>
      <c r="BW163" s="121"/>
      <c r="BX163" s="121"/>
      <c r="BY163" s="121"/>
      <c r="BZ163" s="121"/>
      <c r="CA163" s="121"/>
      <c r="CB163" s="121"/>
      <c r="CC163" s="121"/>
      <c r="CD163" s="121"/>
      <c r="CE163" s="121"/>
      <c r="CF163" s="121"/>
      <c r="CG163" s="121"/>
      <c r="CH163" s="121"/>
      <c r="CI163" s="121"/>
      <c r="CJ163" s="121"/>
      <c r="CK163" s="123"/>
      <c r="CL163" s="123"/>
      <c r="CM163" s="123"/>
      <c r="CN163" s="123"/>
      <c r="CO163" s="123"/>
      <c r="CP163" s="123"/>
      <c r="CQ163" s="123"/>
      <c r="CR163" s="123"/>
      <c r="CS163" s="123"/>
      <c r="CT163" s="123"/>
      <c r="CU163" s="123"/>
      <c r="CV163" s="123"/>
      <c r="CW163" s="123"/>
      <c r="CX163" s="123"/>
      <c r="DA163" s="126"/>
      <c r="DB163" s="117"/>
      <c r="DC163" s="117"/>
    </row>
    <row r="164" spans="1:113" hidden="1" outlineLevel="1">
      <c r="A164" s="90" t="s">
        <v>157</v>
      </c>
      <c r="B164" s="412"/>
      <c r="C164" s="419" t="s">
        <v>131</v>
      </c>
      <c r="D164" s="417">
        <f>D67/C67-1</f>
        <v>2.0531603884539784E-2</v>
      </c>
      <c r="E164" s="417">
        <f>E67/D67-1</f>
        <v>-0.20636318735594361</v>
      </c>
      <c r="F164" s="417">
        <f>F67/E67-1</f>
        <v>-0.29599319579716099</v>
      </c>
      <c r="G164" s="419" t="s">
        <v>131</v>
      </c>
      <c r="H164" s="417">
        <f>H67/F67-1</f>
        <v>7.0881338951588324E-2</v>
      </c>
      <c r="I164" s="417">
        <f>I67/H67-1</f>
        <v>0.32632592694503759</v>
      </c>
      <c r="J164" s="417">
        <f>J67/I67-1</f>
        <v>-0.24265590639392576</v>
      </c>
      <c r="K164" s="417">
        <f>K67/J67-1</f>
        <v>0.14800509512265236</v>
      </c>
      <c r="L164" s="419" t="s">
        <v>131</v>
      </c>
      <c r="M164" s="417">
        <f>M67/K67-1</f>
        <v>-3.9478864669459157E-2</v>
      </c>
      <c r="N164" s="417">
        <f>N67/M67-1</f>
        <v>0.13604859144432857</v>
      </c>
      <c r="O164" s="417">
        <f>O67/N67-1</f>
        <v>3.4440909240007755E-3</v>
      </c>
      <c r="P164" s="417">
        <f>P67/O67-1</f>
        <v>0.25477248953974874</v>
      </c>
      <c r="Q164" s="419" t="s">
        <v>131</v>
      </c>
      <c r="R164" s="417">
        <f>R67/P67-1</f>
        <v>0.41772173882839247</v>
      </c>
      <c r="S164" s="417">
        <f>S67/R67-1</f>
        <v>-0.13121853217527657</v>
      </c>
      <c r="T164" s="417">
        <f>T67/S67-1</f>
        <v>-1.0751626844520912E-2</v>
      </c>
      <c r="U164" s="417">
        <f>U67/T67-1</f>
        <v>4.3224482232706585E-2</v>
      </c>
      <c r="V164" s="419" t="s">
        <v>131</v>
      </c>
      <c r="W164" s="417">
        <f>W67/U67-1</f>
        <v>0.16623286127108416</v>
      </c>
      <c r="X164" s="417">
        <f>X67/W67-1</f>
        <v>6.7318056141337346E-2</v>
      </c>
      <c r="Y164" s="417">
        <f>Y67/X67-1</f>
        <v>7.5958815393735168E-3</v>
      </c>
      <c r="Z164" s="417">
        <f>Z67/Y67-1</f>
        <v>4.5438699697149199E-2</v>
      </c>
      <c r="AA164" s="419" t="s">
        <v>131</v>
      </c>
      <c r="AB164" s="417">
        <f>AB67/Z67-1</f>
        <v>0.31506799353931036</v>
      </c>
      <c r="AC164" s="417">
        <f>AC67/AB67-1</f>
        <v>-3.6988759949445837E-2</v>
      </c>
      <c r="AD164" s="417">
        <f>AD67/AC67-1</f>
        <v>-0.14735153148334823</v>
      </c>
      <c r="AE164" s="417">
        <f>AE67/AD67-1</f>
        <v>0.22542931449608949</v>
      </c>
      <c r="AF164" s="419" t="s">
        <v>131</v>
      </c>
      <c r="AG164" s="417">
        <f>AG67/AE67-1</f>
        <v>-0.12381038630698982</v>
      </c>
      <c r="AH164" s="417">
        <f>AH67/AG67-1</f>
        <v>0.2675160094371416</v>
      </c>
      <c r="AI164" s="417">
        <f>AI67/AH67-1</f>
        <v>0.20848135463421857</v>
      </c>
      <c r="AJ164" s="417">
        <f>AJ67/AI67-1</f>
        <v>6.2595164541142001E-2</v>
      </c>
      <c r="AK164" s="419" t="s">
        <v>131</v>
      </c>
      <c r="AL164" s="417">
        <f>AL67/AJ67-1</f>
        <v>-8.978638460710342E-3</v>
      </c>
      <c r="AM164" s="417">
        <f>AM67/AL67-1</f>
        <v>-2.5920694487394647E-2</v>
      </c>
      <c r="AN164" s="417">
        <f>AN67/AM67-1</f>
        <v>6.5267691920476434E-3</v>
      </c>
      <c r="AO164" s="417">
        <f>AO67/AN67-1</f>
        <v>6.5196820859345639E-2</v>
      </c>
      <c r="AP164" s="419" t="s">
        <v>131</v>
      </c>
      <c r="AQ164" s="417">
        <f>AQ67/AO67-1</f>
        <v>-0.21311252377535295</v>
      </c>
      <c r="AR164" s="417">
        <f>AR67/AQ67-1</f>
        <v>-0.19418255784388472</v>
      </c>
      <c r="AS164" s="417">
        <f>AS67/AR67-1</f>
        <v>-2.5536820140007466E-3</v>
      </c>
      <c r="AT164" s="417">
        <f>AT67/AS67-1</f>
        <v>0.11850823952186662</v>
      </c>
      <c r="AU164" s="419" t="s">
        <v>131</v>
      </c>
      <c r="AV164" s="417">
        <f>AV67/AT67-1</f>
        <v>9.0879609029134389E-2</v>
      </c>
      <c r="AW164" s="417">
        <f>AW67/AV67-1</f>
        <v>0.15617762352827258</v>
      </c>
      <c r="AX164" s="417">
        <f>AX67/AW67-1</f>
        <v>0.15090921050271233</v>
      </c>
      <c r="AY164" s="417">
        <f>AY67/AX67-1</f>
        <v>-2.6549592144234913E-3</v>
      </c>
      <c r="AZ164" s="419" t="s">
        <v>131</v>
      </c>
      <c r="BA164" s="417">
        <f>BA67/AY67-1</f>
        <v>4.217567293015767E-2</v>
      </c>
      <c r="BB164" s="417">
        <f>BB67/BA67-1</f>
        <v>-5.9183724475769584E-2</v>
      </c>
      <c r="BC164" s="417">
        <f>BC67/BB67-1</f>
        <v>-2.7436708020083356E-2</v>
      </c>
      <c r="BD164" s="417">
        <f>BD67/BC67-1</f>
        <v>0.21431458992302654</v>
      </c>
      <c r="BE164" s="419" t="s">
        <v>131</v>
      </c>
      <c r="BF164" s="417">
        <f>BF67/BD67-1</f>
        <v>-0.1304202104088733</v>
      </c>
      <c r="BG164" s="417">
        <f>BG67/BF67-1</f>
        <v>4.5977189891950987E-2</v>
      </c>
      <c r="BH164" s="417">
        <f>BH67/BG67-1</f>
        <v>-3.0537371678987069E-2</v>
      </c>
      <c r="BI164" s="417">
        <f>BI67/BH67-1</f>
        <v>5.7559902961411558E-2</v>
      </c>
      <c r="BJ164" s="419" t="s">
        <v>131</v>
      </c>
      <c r="BK164" s="417">
        <f>BK67/BI67-1</f>
        <v>-0.41948703847090851</v>
      </c>
      <c r="BL164" s="417">
        <f>BL67/BK67-1</f>
        <v>2.754035692767931E-2</v>
      </c>
      <c r="BM164" s="417">
        <f>BM67/BL67-1</f>
        <v>-9.8126513892427103E-2</v>
      </c>
      <c r="BN164" s="417">
        <f>BN67/BM67-1</f>
        <v>6.1068839198838987E-3</v>
      </c>
      <c r="BO164" s="419" t="s">
        <v>131</v>
      </c>
      <c r="BP164" s="417">
        <f>BP67/BN67-1</f>
        <v>-8.6581784312065202E-2</v>
      </c>
      <c r="BQ164" s="417">
        <f>BQ67/BP67-1</f>
        <v>0.22142261210669489</v>
      </c>
      <c r="BR164" s="417">
        <f>BR67/BQ67-1</f>
        <v>-0.24150369092129242</v>
      </c>
      <c r="BS164" s="417">
        <f>BS67/BR67-1</f>
        <v>0.26761987518761288</v>
      </c>
      <c r="BT164" s="419" t="s">
        <v>131</v>
      </c>
      <c r="BU164" s="417">
        <f>BU67/BS67-1</f>
        <v>0.22621332602138766</v>
      </c>
      <c r="BV164" s="417">
        <f>BV67/BU67-1</f>
        <v>8.1246273106737821E-2</v>
      </c>
      <c r="BW164" s="417">
        <f>BW67/BV67-1</f>
        <v>0.13029718110374389</v>
      </c>
      <c r="BX164" s="417">
        <f>BX67/BW67-1</f>
        <v>0.13720288095277633</v>
      </c>
      <c r="BY164" s="419" t="s">
        <v>131</v>
      </c>
      <c r="BZ164" s="417">
        <f>BZ67/BX67-1</f>
        <v>6.1257176289904791E-2</v>
      </c>
      <c r="CA164" s="417">
        <f>CA67/BZ67-1</f>
        <v>6.4849207388367303E-2</v>
      </c>
      <c r="CB164" s="417">
        <f>CB67/CA67-1</f>
        <v>5.9484774486370684E-2</v>
      </c>
      <c r="CC164" s="417">
        <f>CC67/CB67-1</f>
        <v>0.20066824259527305</v>
      </c>
      <c r="CD164" s="419" t="s">
        <v>131</v>
      </c>
      <c r="CE164" s="417">
        <f>CE67/CC67-1</f>
        <v>3.1087256971824351E-2</v>
      </c>
      <c r="CF164" s="417">
        <f>CF67/CE67-1</f>
        <v>8.4165670274511051E-2</v>
      </c>
      <c r="CG164" s="417">
        <f>CG67/CF67-1</f>
        <v>6.234811180791322E-2</v>
      </c>
      <c r="CH164" s="417">
        <f>CH67/CG67-1</f>
        <v>0.15139753991849192</v>
      </c>
      <c r="CI164" s="419" t="s">
        <v>131</v>
      </c>
      <c r="CJ164" s="417">
        <f>CJ67/CH67-1</f>
        <v>7.8917212144963944E-2</v>
      </c>
      <c r="CK164" s="418">
        <f>CK67/CJ67-1</f>
        <v>3.35206167048272E-2</v>
      </c>
      <c r="CL164" s="418">
        <f>CL67/CK67-1</f>
        <v>3.1231341703543247E-2</v>
      </c>
      <c r="CM164" s="418">
        <f>CM67/CL67-1</f>
        <v>5.71592482914276E-2</v>
      </c>
      <c r="CN164" s="420" t="s">
        <v>131</v>
      </c>
      <c r="CO164" s="418">
        <f>CO67/CM67-1</f>
        <v>8.2578999403196907E-2</v>
      </c>
      <c r="CP164" s="418">
        <f>CP67/CO67-1</f>
        <v>3.4223709489873855E-2</v>
      </c>
      <c r="CQ164" s="418">
        <f>CQ67/CP67-1</f>
        <v>3.5032322981063624E-2</v>
      </c>
      <c r="CR164" s="418">
        <f>CR67/CQ67-1</f>
        <v>5.6359794287757836E-2</v>
      </c>
      <c r="CS164" s="420" t="s">
        <v>131</v>
      </c>
      <c r="CT164" s="418">
        <f>CT67/CR67-1</f>
        <v>5.9146209178996489E-2</v>
      </c>
      <c r="CU164" s="418">
        <f>CU67/CT67-1</f>
        <v>3.8734302925743647E-2</v>
      </c>
      <c r="CV164" s="418">
        <f>CV67/CU67-1</f>
        <v>2.7713104764922614E-2</v>
      </c>
      <c r="CW164" s="418">
        <f>CW67/CV67-1</f>
        <v>4.8422652712764913E-2</v>
      </c>
      <c r="CX164" s="420" t="s">
        <v>131</v>
      </c>
      <c r="DA164" s="201"/>
      <c r="DB164" s="200"/>
      <c r="DC164" s="200"/>
    </row>
    <row r="165" spans="1:113" hidden="1" outlineLevel="1">
      <c r="A165" s="281" t="s">
        <v>538</v>
      </c>
      <c r="B165" s="412"/>
      <c r="C165" s="421" t="s">
        <v>131</v>
      </c>
      <c r="D165" s="416">
        <f>D84/C84-1</f>
        <v>1.105646695624185E-2</v>
      </c>
      <c r="E165" s="416">
        <f>E84/D84-1</f>
        <v>-0.18203443990768742</v>
      </c>
      <c r="F165" s="416">
        <f>F84/E84-1</f>
        <v>-0.2953381369910596</v>
      </c>
      <c r="G165" s="421" t="s">
        <v>131</v>
      </c>
      <c r="H165" s="421">
        <f>H84/F84-1</f>
        <v>8.3692661492343223E-2</v>
      </c>
      <c r="I165" s="416">
        <f>I84/H84-1</f>
        <v>0.27733146386752128</v>
      </c>
      <c r="J165" s="416">
        <f>J84/I84-1</f>
        <v>-0.22179040272936301</v>
      </c>
      <c r="K165" s="416">
        <f>K84/J84-1</f>
        <v>0.12582200789127529</v>
      </c>
      <c r="L165" s="421" t="s">
        <v>131</v>
      </c>
      <c r="M165" s="421">
        <f>M84/K84-1</f>
        <v>-8.1928078017066364E-2</v>
      </c>
      <c r="N165" s="416">
        <f>N84/M84-1</f>
        <v>0.18480405716920156</v>
      </c>
      <c r="O165" s="416">
        <f>O84/N84-1</f>
        <v>-2.5059925909778347E-3</v>
      </c>
      <c r="P165" s="416">
        <f>P84/O84-1</f>
        <v>0.29896231567449427</v>
      </c>
      <c r="Q165" s="421" t="s">
        <v>131</v>
      </c>
      <c r="R165" s="421">
        <f>R84/P84-1</f>
        <v>0.48717024650425311</v>
      </c>
      <c r="S165" s="416">
        <f>S84/R84-1</f>
        <v>-0.12151246385240455</v>
      </c>
      <c r="T165" s="416">
        <f>T84/S84-1</f>
        <v>-2.9313594777252039E-2</v>
      </c>
      <c r="U165" s="416">
        <f>U84/T84-1</f>
        <v>4.6008695899286689E-2</v>
      </c>
      <c r="V165" s="421" t="s">
        <v>131</v>
      </c>
      <c r="W165" s="421">
        <f>W84/U84-1</f>
        <v>0.21127653408679326</v>
      </c>
      <c r="X165" s="416">
        <f>X84/W84-1</f>
        <v>6.8244688009330146E-2</v>
      </c>
      <c r="Y165" s="416">
        <f>Y84/X84-1</f>
        <v>2.4922663456558691E-2</v>
      </c>
      <c r="Z165" s="416">
        <f>Z84/Y84-1</f>
        <v>3.4354663589247769E-2</v>
      </c>
      <c r="AA165" s="421" t="s">
        <v>131</v>
      </c>
      <c r="AB165" s="421">
        <f>AB84/Z84-1</f>
        <v>0.30983535128140716</v>
      </c>
      <c r="AC165" s="416">
        <f>AC84/AB84-1</f>
        <v>-4.5366571575456649E-2</v>
      </c>
      <c r="AD165" s="416">
        <f>AD84/AC84-1</f>
        <v>-9.4590955888176453E-2</v>
      </c>
      <c r="AE165" s="416">
        <f>AE84/AD84-1</f>
        <v>0.14868009026818085</v>
      </c>
      <c r="AF165" s="421" t="s">
        <v>131</v>
      </c>
      <c r="AG165" s="421">
        <f>AG84/AE84-1</f>
        <v>-7.4467221020782737E-2</v>
      </c>
      <c r="AH165" s="416">
        <f>AH84/AG84-1</f>
        <v>0.22432356829039479</v>
      </c>
      <c r="AI165" s="416">
        <f>AI84/AH84-1</f>
        <v>0.2067692583383729</v>
      </c>
      <c r="AJ165" s="416">
        <f>AJ84/AI84-1</f>
        <v>7.5145989330621221E-2</v>
      </c>
      <c r="AK165" s="421" t="s">
        <v>131</v>
      </c>
      <c r="AL165" s="421">
        <f>AL84/AJ84-1</f>
        <v>-5.7559968371367343E-2</v>
      </c>
      <c r="AM165" s="421">
        <f>AM84/AL84-1</f>
        <v>-7.4375048087282902E-4</v>
      </c>
      <c r="AN165" s="416">
        <f>AN84/AM84-1</f>
        <v>-1.3316809538824859E-2</v>
      </c>
      <c r="AO165" s="416">
        <f>AO84/AN84-1</f>
        <v>0.1924892049972875</v>
      </c>
      <c r="AP165" s="421" t="s">
        <v>131</v>
      </c>
      <c r="AQ165" s="421">
        <f>AQ84/AO84-1</f>
        <v>-0.26224501879054962</v>
      </c>
      <c r="AR165" s="416">
        <f>AR84/AQ84-1</f>
        <v>-0.21842872228088672</v>
      </c>
      <c r="AS165" s="416">
        <f>AS84/AR84-1</f>
        <v>5.8582878018993423E-3</v>
      </c>
      <c r="AT165" s="416">
        <f>AT84/AS84-1</f>
        <v>0.11090634587177095</v>
      </c>
      <c r="AU165" s="421" t="s">
        <v>131</v>
      </c>
      <c r="AV165" s="421">
        <f>AV84/AT84-1</f>
        <v>2.3643011563964755E-2</v>
      </c>
      <c r="AW165" s="416">
        <f>AW84/AV84-1</f>
        <v>0.10586388473504749</v>
      </c>
      <c r="AX165" s="416">
        <f>AX84/AW84-1</f>
        <v>0.21317068116736215</v>
      </c>
      <c r="AY165" s="416">
        <f>AY84/AX84-1</f>
        <v>6.1735786330077147E-3</v>
      </c>
      <c r="AZ165" s="421" t="s">
        <v>131</v>
      </c>
      <c r="BA165" s="421">
        <f>BA84/AY84-1</f>
        <v>4.3639418281095077E-2</v>
      </c>
      <c r="BB165" s="416">
        <f>BB84/BA84-1</f>
        <v>-6.1068574284057098E-2</v>
      </c>
      <c r="BC165" s="416">
        <f>BC84/BB84-1</f>
        <v>-2.5731879813118863E-2</v>
      </c>
      <c r="BD165" s="416">
        <f>BD84/BC84-1</f>
        <v>0.21976096201789108</v>
      </c>
      <c r="BE165" s="421" t="s">
        <v>131</v>
      </c>
      <c r="BF165" s="421">
        <f>BF84/BD84-1</f>
        <v>-0.14493150026149515</v>
      </c>
      <c r="BG165" s="416">
        <f>BG84/BF84-1</f>
        <v>5.3138500367333474E-2</v>
      </c>
      <c r="BH165" s="416">
        <f>BH84/BG84-1</f>
        <v>-2.7459946595461138E-2</v>
      </c>
      <c r="BI165" s="416">
        <f>BI84/BH84-1</f>
        <v>5.6336723031989555E-2</v>
      </c>
      <c r="BJ165" s="421" t="s">
        <v>131</v>
      </c>
      <c r="BK165" s="421">
        <f>BK84/BI84-1</f>
        <v>-0.42207948328069955</v>
      </c>
      <c r="BL165" s="416">
        <f>BL84/BK84-1</f>
        <v>3.3197096870309029E-2</v>
      </c>
      <c r="BM165" s="416">
        <f>BM84/BL84-1</f>
        <v>-0.10539661120240273</v>
      </c>
      <c r="BN165" s="416">
        <f>BN84/BM84-1</f>
        <v>9.1234216480517993E-4</v>
      </c>
      <c r="BO165" s="421" t="s">
        <v>131</v>
      </c>
      <c r="BP165" s="421">
        <f>BP84/BN84-1</f>
        <v>-8.0492458769339192E-2</v>
      </c>
      <c r="BQ165" s="416">
        <f>BQ84/BP84-1</f>
        <v>0.23112559147743972</v>
      </c>
      <c r="BR165" s="416">
        <f>BR84/BQ84-1</f>
        <v>-0.24519429488590327</v>
      </c>
      <c r="BS165" s="416">
        <f>BS84/BR84-1</f>
        <v>0.28174693482775215</v>
      </c>
      <c r="BT165" s="421" t="s">
        <v>131</v>
      </c>
      <c r="BU165" s="421">
        <f>BU84/BS84-1</f>
        <v>0.24477747754246026</v>
      </c>
      <c r="BV165" s="416">
        <f>BV84/BU84-1</f>
        <v>7.8499632262809094E-2</v>
      </c>
      <c r="BW165" s="416">
        <f>BW84/BV84-1</f>
        <v>0.13831853725470733</v>
      </c>
      <c r="BX165" s="416">
        <f>BX84/BW84-1</f>
        <v>0.13207684180333445</v>
      </c>
      <c r="BY165" s="421" t="s">
        <v>131</v>
      </c>
      <c r="BZ165" s="421">
        <f>BZ84/BX84-1</f>
        <v>6.6872995509943411E-2</v>
      </c>
      <c r="CA165" s="416">
        <f>CA84/BZ84-1</f>
        <v>7.4618744570135398E-2</v>
      </c>
      <c r="CB165" s="416">
        <f>CB84/CA84-1</f>
        <v>5.3229194932204571E-2</v>
      </c>
      <c r="CC165" s="416">
        <f>CC84/CB84-1</f>
        <v>0.20186931774417527</v>
      </c>
      <c r="CD165" s="421" t="s">
        <v>131</v>
      </c>
      <c r="CE165" s="421">
        <f>CE84/CC84-1</f>
        <v>4.2437100142540096E-2</v>
      </c>
      <c r="CF165" s="416">
        <f>CF84/CE84-1</f>
        <v>8.1944762437779373E-2</v>
      </c>
      <c r="CG165" s="416">
        <f>CG84/CF84-1</f>
        <v>7.5855961062931687E-2</v>
      </c>
      <c r="CH165" s="416">
        <f>CH84/CG84-1</f>
        <v>0.14785749149480165</v>
      </c>
      <c r="CI165" s="421" t="s">
        <v>131</v>
      </c>
      <c r="CJ165" s="421">
        <f>CJ84/CH84-1</f>
        <v>0.22537488437329989</v>
      </c>
      <c r="CK165" s="423">
        <f>CK84/CJ84-1</f>
        <v>3.4442667615727673E-2</v>
      </c>
      <c r="CL165" s="423">
        <f>CL84/CK84-1</f>
        <v>3.2181306005567345E-2</v>
      </c>
      <c r="CM165" s="423">
        <f>CM84/CL84-1</f>
        <v>5.2951552720002626E-2</v>
      </c>
      <c r="CN165" s="422" t="s">
        <v>131</v>
      </c>
      <c r="CO165" s="422">
        <f>CO84/CM84-1</f>
        <v>-8.664722521804058E-3</v>
      </c>
      <c r="CP165" s="423">
        <f>CP84/CO84-1</f>
        <v>3.5169584415090549E-2</v>
      </c>
      <c r="CQ165" s="423">
        <f>CQ84/CP84-1</f>
        <v>3.5908194805474247E-2</v>
      </c>
      <c r="CR165" s="423">
        <f>CR84/CQ84-1</f>
        <v>5.7417468536591354E-2</v>
      </c>
      <c r="CS165" s="422" t="s">
        <v>131</v>
      </c>
      <c r="CT165" s="422">
        <f>CT84/CR84-1</f>
        <v>6.0401017380838029E-2</v>
      </c>
      <c r="CU165" s="423">
        <f>CU84/CT84-1</f>
        <v>3.9606804855176092E-2</v>
      </c>
      <c r="CV165" s="423">
        <f>CV84/CU84-1</f>
        <v>2.8402336389958149E-2</v>
      </c>
      <c r="CW165" s="423">
        <f>CW84/CV84-1</f>
        <v>4.9218643064393275E-2</v>
      </c>
      <c r="CX165" s="422" t="s">
        <v>131</v>
      </c>
      <c r="DA165" s="201"/>
      <c r="DB165" s="200"/>
      <c r="DC165" s="200"/>
    </row>
    <row r="166" spans="1:113" hidden="1" outlineLevel="1">
      <c r="A166" s="90" t="s">
        <v>224</v>
      </c>
      <c r="B166" s="412"/>
      <c r="C166" s="421" t="s">
        <v>131</v>
      </c>
      <c r="D166" s="417">
        <f>D87/C87-1</f>
        <v>6.25E-2</v>
      </c>
      <c r="E166" s="417">
        <f>E87/D87-1</f>
        <v>-0.17647058823529405</v>
      </c>
      <c r="F166" s="417">
        <f>F87/E87-1</f>
        <v>-0.2857142857142857</v>
      </c>
      <c r="G166" s="421" t="s">
        <v>131</v>
      </c>
      <c r="H166" s="417">
        <f>H87/F87-1</f>
        <v>9.9999999999999867E-2</v>
      </c>
      <c r="I166" s="417">
        <f>I87/H87-1</f>
        <v>0.27272727272727293</v>
      </c>
      <c r="J166" s="417">
        <f>J87/I87-1</f>
        <v>-0.2142857142857143</v>
      </c>
      <c r="K166" s="417">
        <f>K87/J87-1</f>
        <v>0.18181818181818188</v>
      </c>
      <c r="L166" s="421" t="s">
        <v>131</v>
      </c>
      <c r="M166" s="417">
        <f>M87/K87-1</f>
        <v>-7.6923076923076983E-2</v>
      </c>
      <c r="N166" s="417">
        <f>N87/M87-1</f>
        <v>8.3333333333333481E-2</v>
      </c>
      <c r="O166" s="417">
        <f>O87/N87-1</f>
        <v>0</v>
      </c>
      <c r="P166" s="417">
        <f>P87/O87-1</f>
        <v>0.30769230769230771</v>
      </c>
      <c r="Q166" s="421" t="s">
        <v>131</v>
      </c>
      <c r="R166" s="417">
        <f>R87/P87-1</f>
        <v>0.47058823529411753</v>
      </c>
      <c r="S166" s="417">
        <f>S87/R87-1</f>
        <v>-0.12</v>
      </c>
      <c r="T166" s="417">
        <f>T87/S87-1</f>
        <v>-4.5454545454545525E-2</v>
      </c>
      <c r="U166" s="417">
        <f>U87/T87-1</f>
        <v>4.7619047619047672E-2</v>
      </c>
      <c r="V166" s="421" t="s">
        <v>131</v>
      </c>
      <c r="W166" s="417">
        <f>W87/U87-1</f>
        <v>0.18181818181818188</v>
      </c>
      <c r="X166" s="417">
        <f>X87/W87-1</f>
        <v>7.6923076923077094E-2</v>
      </c>
      <c r="Y166" s="417">
        <f>Y87/X87-1</f>
        <v>3.5714285714285587E-2</v>
      </c>
      <c r="Z166" s="417">
        <f>Z87/Y87-1</f>
        <v>2.8055460725953107E-2</v>
      </c>
      <c r="AA166" s="421" t="s">
        <v>131</v>
      </c>
      <c r="AB166" s="417">
        <f>AB87/Z87-1</f>
        <v>7.3335357883200114E-2</v>
      </c>
      <c r="AC166" s="417">
        <f>AC87/AB87-1</f>
        <v>-3.125E-2</v>
      </c>
      <c r="AD166" s="417">
        <f>AD87/AC87-1</f>
        <v>-6.4516129032258118E-2</v>
      </c>
      <c r="AE166" s="417">
        <f>AE87/AD87-1</f>
        <v>0.13793103448275867</v>
      </c>
      <c r="AF166" s="421" t="s">
        <v>131</v>
      </c>
      <c r="AG166" s="417">
        <f>AG87/AE87-1</f>
        <v>-9.0909090909090939E-2</v>
      </c>
      <c r="AH166" s="417">
        <f>AH87/AG87-1</f>
        <v>0.23333333333333339</v>
      </c>
      <c r="AI166" s="417">
        <f>AI87/AH87-1</f>
        <v>0.21621621621621623</v>
      </c>
      <c r="AJ166" s="417">
        <f>AJ87/AI87-1</f>
        <v>8.8888888888888795E-2</v>
      </c>
      <c r="AK166" s="421" t="s">
        <v>131</v>
      </c>
      <c r="AL166" s="417">
        <f>AL87/AJ87-1</f>
        <v>-2.0408163265306145E-2</v>
      </c>
      <c r="AM166" s="417">
        <f>AM87/AL87-1</f>
        <v>4.7620408474318143E-2</v>
      </c>
      <c r="AN166" s="417">
        <f>AN87/AM87-1</f>
        <v>-1.1375563937237043E-2</v>
      </c>
      <c r="AO166" s="417">
        <f>AO87/AN87-1</f>
        <v>0.20679071080413158</v>
      </c>
      <c r="AP166" s="421" t="s">
        <v>131</v>
      </c>
      <c r="AQ166" s="417">
        <f>AQ87/AO87-1</f>
        <v>-0.24992614659744616</v>
      </c>
      <c r="AR166" s="417">
        <f>AR87/AQ87-1</f>
        <v>-0.22222222222222232</v>
      </c>
      <c r="AS166" s="417">
        <f>AS87/AR87-1</f>
        <v>0</v>
      </c>
      <c r="AT166" s="417">
        <f>AT87/AS87-1</f>
        <v>0.11428571428571432</v>
      </c>
      <c r="AU166" s="421" t="s">
        <v>131</v>
      </c>
      <c r="AV166" s="417">
        <f>AV87/AT87-1</f>
        <v>2.5641025641025772E-2</v>
      </c>
      <c r="AW166" s="417">
        <f>AW87/AV87-1</f>
        <v>9.9999999999999867E-2</v>
      </c>
      <c r="AX166" s="417">
        <f>AX87/AW87-1</f>
        <v>0.2335079476535844</v>
      </c>
      <c r="AY166" s="417">
        <f>AY87/AX87-1</f>
        <v>2.8297003056394043E-2</v>
      </c>
      <c r="AZ166" s="421" t="s">
        <v>131</v>
      </c>
      <c r="BA166" s="417">
        <f>BA87/AY87-1</f>
        <v>3.9237465217619949E-2</v>
      </c>
      <c r="BB166" s="417">
        <f>BB87/BA87-1</f>
        <v>-5.1724137931034364E-2</v>
      </c>
      <c r="BC166" s="417">
        <f>BC87/BB87-1</f>
        <v>0</v>
      </c>
      <c r="BD166" s="417">
        <f>BD87/BC87-1</f>
        <v>0.21818181818181825</v>
      </c>
      <c r="BE166" s="421" t="s">
        <v>131</v>
      </c>
      <c r="BF166" s="417">
        <f>BF87/BD87-1</f>
        <v>-0.14925373134328368</v>
      </c>
      <c r="BG166" s="417">
        <f>BG87/BF87-1</f>
        <v>4.8340939228802782E-2</v>
      </c>
      <c r="BH166" s="417">
        <f>BH87/BG87-1</f>
        <v>-2.4307384677338284E-2</v>
      </c>
      <c r="BI166" s="417">
        <f>BI87/BH87-1</f>
        <v>5.1294367250481088E-2</v>
      </c>
      <c r="BJ166" s="421" t="s">
        <v>131</v>
      </c>
      <c r="BK166" s="417">
        <f>BK87/BI87-1</f>
        <v>-0.42897741302454906</v>
      </c>
      <c r="BL166" s="417">
        <f>BL87/BK87-1</f>
        <v>2.4676607040406973E-2</v>
      </c>
      <c r="BM166" s="417">
        <f>BM87/BL87-1</f>
        <v>-0.10827479444510113</v>
      </c>
      <c r="BN166" s="417">
        <f>BN87/BM87-1</f>
        <v>6.8228485975370123E-3</v>
      </c>
      <c r="BO166" s="421" t="s">
        <v>131</v>
      </c>
      <c r="BP166" s="417">
        <f>BP87/BN87-1</f>
        <v>-7.5532609695777131E-2</v>
      </c>
      <c r="BQ166" s="417">
        <f>BQ87/BP87-1</f>
        <v>0.23514197753572041</v>
      </c>
      <c r="BR166" s="417">
        <f>BR87/BQ87-1</f>
        <v>-0.2468649983809994</v>
      </c>
      <c r="BS166" s="417">
        <f>BS87/BR87-1</f>
        <v>0.28265624212350682</v>
      </c>
      <c r="BT166" s="421" t="s">
        <v>131</v>
      </c>
      <c r="BU166" s="417">
        <f>BU87/BS87-1</f>
        <v>0.24459352970369785</v>
      </c>
      <c r="BV166" s="417">
        <f>BV87/BU87-1</f>
        <v>8.2646542724650995E-2</v>
      </c>
      <c r="BW166" s="417">
        <f>BW87/BV87-1</f>
        <v>0.13780767582686249</v>
      </c>
      <c r="BX166" s="417">
        <f>BX87/BW87-1</f>
        <v>0.13162267945365502</v>
      </c>
      <c r="BY166" s="421" t="s">
        <v>131</v>
      </c>
      <c r="BZ166" s="417">
        <f>BZ87/BX87-1</f>
        <v>6.7581886828675719E-2</v>
      </c>
      <c r="CA166" s="417">
        <f>CA87/BZ87-1</f>
        <v>7.6643535151315501E-2</v>
      </c>
      <c r="CB166" s="417">
        <f>CB87/CA87-1</f>
        <v>5.5437411101650236E-2</v>
      </c>
      <c r="CC166" s="417">
        <f>CC87/CB87-1</f>
        <v>0.20784777682668554</v>
      </c>
      <c r="CD166" s="421" t="s">
        <v>131</v>
      </c>
      <c r="CE166" s="417">
        <f>CE87/CC87-1</f>
        <v>4.3092706561376648E-2</v>
      </c>
      <c r="CF166" s="417">
        <f>CF87/CE87-1</f>
        <v>8.3047571923207331E-2</v>
      </c>
      <c r="CG166" s="417">
        <f>CG87/CF87-1</f>
        <v>7.5754911038411255E-2</v>
      </c>
      <c r="CH166" s="417">
        <f>CH87/CG87-1</f>
        <v>0.14863335005602485</v>
      </c>
      <c r="CI166" s="421" t="s">
        <v>131</v>
      </c>
      <c r="CJ166" s="417">
        <f>CJ87/CH87-1</f>
        <v>0.22691324898377241</v>
      </c>
      <c r="CK166" s="418">
        <f>CK87/CJ87-1</f>
        <v>3.7681112178042264E-2</v>
      </c>
      <c r="CL166" s="418">
        <f>CL87/CK87-1</f>
        <v>3.3214520526093638E-2</v>
      </c>
      <c r="CM166" s="418">
        <f>CM87/CL87-1</f>
        <v>5.4005558278280796E-2</v>
      </c>
      <c r="CN166" s="422" t="s">
        <v>131</v>
      </c>
      <c r="CO166" s="418">
        <f>CO87/CM87-1</f>
        <v>-7.6723949167207817E-3</v>
      </c>
      <c r="CP166" s="418">
        <f>CP87/CO87-1</f>
        <v>3.6205790205295907E-2</v>
      </c>
      <c r="CQ166" s="418">
        <f>CQ87/CP87-1</f>
        <v>3.6945139945419703E-2</v>
      </c>
      <c r="CR166" s="418">
        <f>CR87/CQ87-1</f>
        <v>5.8475944481072517E-2</v>
      </c>
      <c r="CS166" s="422" t="s">
        <v>131</v>
      </c>
      <c r="CT166" s="418">
        <f>CT87/CR87-1</f>
        <v>6.1462479860698638E-2</v>
      </c>
      <c r="CU166" s="418">
        <f>CU87/CT87-1</f>
        <v>4.0647452307483567E-2</v>
      </c>
      <c r="CV166" s="418">
        <f>CV87/CU87-1</f>
        <v>2.9431768158116434E-2</v>
      </c>
      <c r="CW166" s="418">
        <f>CW87/CV87-1</f>
        <v>5.0268911976369512E-2</v>
      </c>
      <c r="CX166" s="422" t="s">
        <v>131</v>
      </c>
      <c r="DA166" s="201"/>
      <c r="DB166" s="200"/>
      <c r="DC166" s="200"/>
    </row>
    <row r="167" spans="1:113" ht="5.25" hidden="1" customHeight="1" outlineLevel="1">
      <c r="A167" s="114"/>
      <c r="B167" s="293"/>
      <c r="C167" s="117"/>
      <c r="D167" s="117"/>
      <c r="E167" s="117"/>
      <c r="F167" s="117"/>
      <c r="G167" s="117"/>
      <c r="H167" s="117"/>
      <c r="I167" s="117"/>
      <c r="J167" s="117"/>
      <c r="K167" s="117"/>
      <c r="L167" s="117"/>
      <c r="M167" s="117"/>
      <c r="N167" s="117"/>
      <c r="O167" s="117"/>
      <c r="P167" s="117"/>
      <c r="Q167" s="117"/>
      <c r="R167" s="117"/>
      <c r="S167" s="117"/>
      <c r="T167" s="117"/>
      <c r="U167" s="117"/>
      <c r="V167" s="117"/>
      <c r="W167" s="117"/>
      <c r="X167" s="117"/>
      <c r="Y167" s="117"/>
      <c r="Z167" s="117"/>
      <c r="AA167" s="121"/>
      <c r="AB167" s="121"/>
      <c r="AC167" s="121"/>
      <c r="AD167" s="121"/>
      <c r="AE167" s="121"/>
      <c r="AF167" s="121"/>
      <c r="AG167" s="121"/>
      <c r="AH167" s="121"/>
      <c r="AI167" s="121"/>
      <c r="AJ167" s="121"/>
      <c r="AK167" s="121"/>
      <c r="AL167" s="121"/>
      <c r="AM167" s="121"/>
      <c r="AN167" s="121"/>
      <c r="AO167" s="121"/>
      <c r="AP167" s="121"/>
      <c r="AQ167" s="121"/>
      <c r="AR167" s="121"/>
      <c r="AS167" s="121"/>
      <c r="AT167" s="121"/>
      <c r="AU167" s="121"/>
      <c r="AV167" s="121"/>
      <c r="AW167" s="121"/>
      <c r="AX167" s="121"/>
      <c r="AY167" s="121"/>
      <c r="AZ167" s="121"/>
      <c r="BA167" s="121"/>
      <c r="BB167" s="121"/>
      <c r="BC167" s="121"/>
      <c r="BD167" s="121"/>
      <c r="BE167" s="121"/>
      <c r="BF167" s="121"/>
      <c r="BG167" s="121"/>
      <c r="BH167" s="121"/>
      <c r="BI167" s="121"/>
      <c r="BJ167" s="121"/>
      <c r="BK167" s="121"/>
      <c r="BL167" s="121"/>
      <c r="BM167" s="121"/>
      <c r="BN167" s="121"/>
      <c r="BO167" s="121"/>
      <c r="BP167" s="121"/>
      <c r="BQ167" s="121"/>
      <c r="BR167" s="121"/>
      <c r="BS167" s="121"/>
      <c r="BT167" s="121"/>
      <c r="BU167" s="121"/>
      <c r="BV167" s="121"/>
      <c r="BW167" s="121"/>
      <c r="BX167" s="121"/>
      <c r="BY167" s="121"/>
      <c r="BZ167" s="121"/>
      <c r="CA167" s="121"/>
      <c r="CB167" s="121"/>
      <c r="CC167" s="121"/>
      <c r="CD167" s="121"/>
      <c r="CE167" s="121"/>
      <c r="CF167" s="121"/>
      <c r="CG167" s="121"/>
      <c r="CH167" s="121"/>
      <c r="CI167" s="121"/>
      <c r="CJ167" s="121"/>
      <c r="CK167" s="123"/>
      <c r="CL167" s="123"/>
      <c r="CM167" s="123"/>
      <c r="CN167" s="123"/>
      <c r="CO167" s="123"/>
      <c r="CP167" s="123"/>
      <c r="CQ167" s="123"/>
      <c r="CR167" s="123"/>
      <c r="CS167" s="123"/>
      <c r="CT167" s="123"/>
      <c r="CU167" s="123"/>
      <c r="CV167" s="123"/>
      <c r="CW167" s="123"/>
      <c r="CX167" s="123"/>
      <c r="DA167" s="126"/>
      <c r="DB167" s="117"/>
      <c r="DC167" s="117"/>
    </row>
    <row r="168" spans="1:113" collapsed="1">
      <c r="A168" s="426" t="s">
        <v>129</v>
      </c>
      <c r="B168" s="427"/>
      <c r="C168" s="426"/>
      <c r="D168" s="426"/>
      <c r="E168" s="426"/>
      <c r="F168" s="426"/>
      <c r="G168" s="426"/>
      <c r="H168" s="426"/>
      <c r="I168" s="426"/>
      <c r="J168" s="426"/>
      <c r="K168" s="426"/>
      <c r="L168" s="426"/>
      <c r="M168" s="426"/>
      <c r="N168" s="426"/>
      <c r="O168" s="426"/>
      <c r="P168" s="426"/>
      <c r="Q168" s="426"/>
      <c r="R168" s="426"/>
      <c r="S168" s="426"/>
      <c r="T168" s="426"/>
      <c r="U168" s="426"/>
      <c r="V168" s="426"/>
      <c r="W168" s="426"/>
      <c r="X168" s="426"/>
      <c r="Y168" s="426"/>
      <c r="Z168" s="426"/>
      <c r="AA168" s="426"/>
      <c r="AB168" s="426"/>
      <c r="AC168" s="426"/>
      <c r="AD168" s="426"/>
      <c r="AE168" s="426"/>
      <c r="AF168" s="426"/>
      <c r="AG168" s="426"/>
      <c r="AH168" s="426"/>
      <c r="AI168" s="426"/>
      <c r="AJ168" s="426"/>
      <c r="AK168" s="426"/>
      <c r="AL168" s="426"/>
      <c r="AM168" s="426"/>
      <c r="AN168" s="426"/>
      <c r="AO168" s="426"/>
      <c r="AP168" s="426"/>
      <c r="AQ168" s="426"/>
      <c r="AR168" s="426"/>
      <c r="AS168" s="426"/>
      <c r="AT168" s="426"/>
      <c r="AU168" s="426"/>
      <c r="AV168" s="426"/>
      <c r="AW168" s="426"/>
      <c r="AX168" s="426"/>
      <c r="AY168" s="426"/>
      <c r="AZ168" s="426"/>
      <c r="BA168" s="426"/>
      <c r="BB168" s="426"/>
      <c r="BC168" s="426"/>
      <c r="BD168" s="426"/>
      <c r="BE168" s="426"/>
      <c r="BF168" s="426"/>
      <c r="BG168" s="426"/>
      <c r="BH168" s="426"/>
      <c r="BI168" s="426"/>
      <c r="BJ168" s="426"/>
      <c r="BK168" s="426"/>
      <c r="BL168" s="426"/>
      <c r="BM168" s="426"/>
      <c r="BN168" s="426"/>
      <c r="BO168" s="426"/>
      <c r="BP168" s="426"/>
      <c r="BQ168" s="426"/>
      <c r="BR168" s="426"/>
      <c r="BS168" s="426"/>
      <c r="BT168" s="426"/>
      <c r="BU168" s="426"/>
      <c r="BV168" s="426"/>
      <c r="BW168" s="426"/>
      <c r="BX168" s="426"/>
      <c r="BY168" s="426"/>
      <c r="BZ168" s="426"/>
      <c r="CA168" s="426"/>
      <c r="CB168" s="426"/>
      <c r="CC168" s="426"/>
      <c r="CD168" s="426"/>
      <c r="CE168" s="426"/>
      <c r="CF168" s="426"/>
      <c r="CG168" s="426"/>
      <c r="CH168" s="426"/>
      <c r="CI168" s="426"/>
      <c r="CJ168" s="426"/>
      <c r="CK168" s="428"/>
      <c r="CL168" s="428"/>
      <c r="CM168" s="428"/>
      <c r="CN168" s="428"/>
      <c r="CO168" s="428"/>
      <c r="CP168" s="428"/>
      <c r="CQ168" s="428"/>
      <c r="CR168" s="428"/>
      <c r="CS168" s="428"/>
      <c r="CT168" s="428"/>
      <c r="CU168" s="428"/>
      <c r="CV168" s="428"/>
      <c r="CW168" s="428"/>
      <c r="CX168" s="428"/>
      <c r="DA168" s="1314"/>
      <c r="DB168" s="426"/>
      <c r="DC168" s="426"/>
    </row>
    <row r="169" spans="1:113">
      <c r="A169" s="430" t="str">
        <f>A44</f>
        <v>Research &amp; Development</v>
      </c>
      <c r="B169" s="412"/>
      <c r="C169" s="416">
        <f t="shared" ref="C169:AH169" si="339">C44/C$24</f>
        <v>0.16927734832157437</v>
      </c>
      <c r="D169" s="416">
        <f t="shared" si="339"/>
        <v>0.17320026853205384</v>
      </c>
      <c r="E169" s="416">
        <f t="shared" si="339"/>
        <v>0.1855038032575877</v>
      </c>
      <c r="F169" s="416">
        <f t="shared" si="339"/>
        <v>0.20658123535193179</v>
      </c>
      <c r="G169" s="431">
        <f t="shared" si="339"/>
        <v>0.18225449695865725</v>
      </c>
      <c r="H169" s="431">
        <f t="shared" si="339"/>
        <v>0.22134335712365991</v>
      </c>
      <c r="I169" s="431">
        <f t="shared" si="339"/>
        <v>0.19806591273604968</v>
      </c>
      <c r="J169" s="431">
        <f t="shared" si="339"/>
        <v>0.20972412848963945</v>
      </c>
      <c r="K169" s="431">
        <f t="shared" si="339"/>
        <v>0.21781818675463419</v>
      </c>
      <c r="L169" s="431">
        <f t="shared" si="339"/>
        <v>0.21126762981761488</v>
      </c>
      <c r="M169" s="431">
        <f t="shared" si="339"/>
        <v>0.22215261287660623</v>
      </c>
      <c r="N169" s="431">
        <f t="shared" si="339"/>
        <v>0.21589212421832543</v>
      </c>
      <c r="O169" s="431">
        <f t="shared" si="339"/>
        <v>0.2156353996277286</v>
      </c>
      <c r="P169" s="431">
        <f t="shared" si="339"/>
        <v>0.20383673651508993</v>
      </c>
      <c r="Q169" s="431">
        <f t="shared" si="339"/>
        <v>0.21392563346254762</v>
      </c>
      <c r="R169" s="431">
        <f t="shared" si="339"/>
        <v>0.17735499585381814</v>
      </c>
      <c r="S169" s="431">
        <f t="shared" si="339"/>
        <v>0.18545667361644538</v>
      </c>
      <c r="T169" s="431">
        <f t="shared" si="339"/>
        <v>0.19833891898452616</v>
      </c>
      <c r="U169" s="431">
        <f t="shared" si="339"/>
        <v>0.18649505706609051</v>
      </c>
      <c r="V169" s="431">
        <f t="shared" si="339"/>
        <v>0.1867872008621243</v>
      </c>
      <c r="W169" s="431">
        <f t="shared" si="339"/>
        <v>0.1833142306114422</v>
      </c>
      <c r="X169" s="431">
        <f t="shared" si="339"/>
        <v>0.18024954186146375</v>
      </c>
      <c r="Y169" s="431">
        <f t="shared" si="339"/>
        <v>0.19420621346545144</v>
      </c>
      <c r="Z169" s="431">
        <f t="shared" si="339"/>
        <v>0.18544744901258089</v>
      </c>
      <c r="AA169" s="431">
        <f t="shared" si="339"/>
        <v>0.18579265542096127</v>
      </c>
      <c r="AB169" s="431">
        <f t="shared" si="339"/>
        <v>0.17366257906443844</v>
      </c>
      <c r="AC169" s="431">
        <f t="shared" si="339"/>
        <v>0.18099915651122972</v>
      </c>
      <c r="AD169" s="431">
        <f t="shared" si="339"/>
        <v>0.19155882435971314</v>
      </c>
      <c r="AE169" s="431">
        <f t="shared" si="339"/>
        <v>0.18228607028988164</v>
      </c>
      <c r="AF169" s="431">
        <f t="shared" si="339"/>
        <v>0.18194190968042559</v>
      </c>
      <c r="AG169" s="431">
        <f t="shared" si="339"/>
        <v>0.18974079429387114</v>
      </c>
      <c r="AH169" s="431">
        <f t="shared" si="339"/>
        <v>0.17525889344762513</v>
      </c>
      <c r="AI169" s="431">
        <f t="shared" ref="AI169:BN169" si="340">AI44/AI$24</f>
        <v>0.16956601376563668</v>
      </c>
      <c r="AJ169" s="431">
        <f t="shared" si="340"/>
        <v>0.15907073114789</v>
      </c>
      <c r="AK169" s="431">
        <f t="shared" si="340"/>
        <v>0.17203054833288525</v>
      </c>
      <c r="AL169" s="431">
        <f t="shared" si="340"/>
        <v>0.16866285958144525</v>
      </c>
      <c r="AM169" s="431">
        <f t="shared" si="340"/>
        <v>0.17003312714373661</v>
      </c>
      <c r="AN169" s="431">
        <f t="shared" si="340"/>
        <v>0.16694599197301346</v>
      </c>
      <c r="AO169" s="431">
        <f t="shared" si="340"/>
        <v>0.15038550160002009</v>
      </c>
      <c r="AP169" s="431">
        <f t="shared" si="340"/>
        <v>0.16390368528186211</v>
      </c>
      <c r="AQ169" s="431">
        <f t="shared" si="340"/>
        <v>0.16253640051374002</v>
      </c>
      <c r="AR169" s="431">
        <f t="shared" si="340"/>
        <v>0.17294546548540954</v>
      </c>
      <c r="AS169" s="431">
        <f t="shared" si="340"/>
        <v>0.17233088700185084</v>
      </c>
      <c r="AT169" s="431">
        <f t="shared" si="340"/>
        <v>0.15945425950404274</v>
      </c>
      <c r="AU169" s="431">
        <f t="shared" si="340"/>
        <v>0.16655311721256971</v>
      </c>
      <c r="AV169" s="431">
        <f t="shared" si="340"/>
        <v>0.17088622336089437</v>
      </c>
      <c r="AW169" s="431">
        <f t="shared" si="340"/>
        <v>0.15345983977264896</v>
      </c>
      <c r="AX169" s="431">
        <f t="shared" si="340"/>
        <v>0.15156328415389383</v>
      </c>
      <c r="AY169" s="431">
        <f t="shared" si="340"/>
        <v>0.14849803461693387</v>
      </c>
      <c r="AZ169" s="431">
        <f t="shared" si="340"/>
        <v>0.15558736842105261</v>
      </c>
      <c r="BA169" s="431">
        <f t="shared" si="340"/>
        <v>0.14663726785676059</v>
      </c>
      <c r="BB169" s="431">
        <f t="shared" si="340"/>
        <v>0.15316088387271437</v>
      </c>
      <c r="BC169" s="431">
        <f t="shared" si="340"/>
        <v>0.15558343170037464</v>
      </c>
      <c r="BD169" s="431">
        <f t="shared" si="340"/>
        <v>0.14355892969819323</v>
      </c>
      <c r="BE169" s="431">
        <f t="shared" si="340"/>
        <v>0.14952903735966824</v>
      </c>
      <c r="BF169" s="431">
        <f t="shared" si="340"/>
        <v>0.14535504487093626</v>
      </c>
      <c r="BG169" s="431">
        <f t="shared" si="340"/>
        <v>0.13944874334007143</v>
      </c>
      <c r="BH169" s="431">
        <f t="shared" si="340"/>
        <v>0.14690721649484537</v>
      </c>
      <c r="BI169" s="431">
        <f t="shared" si="340"/>
        <v>0.14421966520667093</v>
      </c>
      <c r="BJ169" s="431">
        <f t="shared" si="340"/>
        <v>0.14393040179831537</v>
      </c>
      <c r="BK169" s="431">
        <f t="shared" si="340"/>
        <v>0.17625038075233687</v>
      </c>
      <c r="BL169" s="431">
        <f t="shared" si="340"/>
        <v>0.17297231504855282</v>
      </c>
      <c r="BM169" s="431">
        <f t="shared" si="340"/>
        <v>0.1789735699951463</v>
      </c>
      <c r="BN169" s="431">
        <f t="shared" si="340"/>
        <v>0.16674298429776743</v>
      </c>
      <c r="BO169" s="431">
        <f t="shared" ref="BO169:CN169" si="341">BO44/BO$24</f>
        <v>0.17365951213738276</v>
      </c>
      <c r="BP169" s="431">
        <f t="shared" si="341"/>
        <v>0.17830360356757191</v>
      </c>
      <c r="BQ169" s="431">
        <f t="shared" si="341"/>
        <v>0.1674692569237452</v>
      </c>
      <c r="BR169" s="431">
        <f t="shared" si="341"/>
        <v>0.18047282250308083</v>
      </c>
      <c r="BS169" s="431">
        <f t="shared" si="341"/>
        <v>0.16992662075339504</v>
      </c>
      <c r="BT169" s="431">
        <f t="shared" si="341"/>
        <v>0.17387067721388505</v>
      </c>
      <c r="BU169" s="431">
        <f t="shared" si="341"/>
        <v>0.16625690486944872</v>
      </c>
      <c r="BV169" s="431">
        <f t="shared" si="341"/>
        <v>0.1539782026196094</v>
      </c>
      <c r="BW169" s="431">
        <f t="shared" si="341"/>
        <v>0.15574395122880549</v>
      </c>
      <c r="BX169" s="431">
        <f t="shared" si="341"/>
        <v>0.14621357558611275</v>
      </c>
      <c r="BY169" s="431">
        <f t="shared" si="341"/>
        <v>0.1551513488343578</v>
      </c>
      <c r="BZ169" s="431">
        <f>BZ44/BZ$24</f>
        <v>0.14776174968463893</v>
      </c>
      <c r="CA169" s="431">
        <f>CA44/CA$24</f>
        <v>0.14462193351154529</v>
      </c>
      <c r="CB169" s="431">
        <f t="shared" si="341"/>
        <v>0.1488079990874111</v>
      </c>
      <c r="CC169" s="431">
        <f t="shared" si="341"/>
        <v>0.1411006709072698</v>
      </c>
      <c r="CD169" s="431">
        <f t="shared" si="341"/>
        <v>0.145443194299018</v>
      </c>
      <c r="CE169" s="431">
        <f>CE44/CE$24</f>
        <v>0.14656889737792617</v>
      </c>
      <c r="CF169" s="431">
        <f t="shared" si="341"/>
        <v>0.14185894288987072</v>
      </c>
      <c r="CG169" s="431">
        <f t="shared" ref="CG169" si="342">CG44/CG$24</f>
        <v>0.14510823573631479</v>
      </c>
      <c r="CH169" s="431">
        <f t="shared" si="341"/>
        <v>0.13611416354570804</v>
      </c>
      <c r="CI169" s="431">
        <f t="shared" si="341"/>
        <v>0.14218424831592941</v>
      </c>
      <c r="CJ169" s="431">
        <f>CJ44/CJ$24</f>
        <v>0.13890156891926536</v>
      </c>
      <c r="CK169" s="432">
        <f t="shared" si="341"/>
        <v>0.13685894288987072</v>
      </c>
      <c r="CL169" s="432">
        <f t="shared" si="341"/>
        <v>0.14010823573631478</v>
      </c>
      <c r="CM169" s="432">
        <f t="shared" si="341"/>
        <v>0.13610067090726979</v>
      </c>
      <c r="CN169" s="432">
        <f t="shared" si="341"/>
        <v>0.13795955191409312</v>
      </c>
      <c r="CO169" s="432">
        <f t="shared" ref="CO169:CX169" si="343">CO44/CO$24</f>
        <v>0.13640156891926536</v>
      </c>
      <c r="CP169" s="432">
        <f t="shared" si="343"/>
        <v>0.13435894288987071</v>
      </c>
      <c r="CQ169" s="432">
        <f t="shared" si="343"/>
        <v>0.13760823573631478</v>
      </c>
      <c r="CR169" s="432">
        <f t="shared" si="343"/>
        <v>0.13360067090726979</v>
      </c>
      <c r="CS169" s="432">
        <f t="shared" si="343"/>
        <v>0.13546090465656457</v>
      </c>
      <c r="CT169" s="432">
        <f t="shared" si="343"/>
        <v>0.13640156891926536</v>
      </c>
      <c r="CU169" s="432">
        <f t="shared" si="343"/>
        <v>0.13185894288987071</v>
      </c>
      <c r="CV169" s="432">
        <f t="shared" si="343"/>
        <v>0.13510823573631478</v>
      </c>
      <c r="CW169" s="432">
        <f t="shared" si="343"/>
        <v>0.13110067090726979</v>
      </c>
      <c r="CX169" s="432">
        <f t="shared" si="343"/>
        <v>0.13355824052847085</v>
      </c>
      <c r="DA169" s="415"/>
      <c r="DB169" s="414"/>
      <c r="DC169" s="414"/>
    </row>
    <row r="170" spans="1:113">
      <c r="A170" s="430" t="str">
        <f>A48</f>
        <v>Sales &amp; marketing</v>
      </c>
      <c r="B170" s="412"/>
      <c r="C170" s="416">
        <f t="shared" ref="C170:AH170" si="344">C48/C$24</f>
        <v>0.31571363867112101</v>
      </c>
      <c r="D170" s="416">
        <f t="shared" si="344"/>
        <v>0.31846622860680102</v>
      </c>
      <c r="E170" s="416">
        <f t="shared" si="344"/>
        <v>0.32674124839961932</v>
      </c>
      <c r="F170" s="416">
        <f t="shared" si="344"/>
        <v>0.35847508883344686</v>
      </c>
      <c r="G170" s="431">
        <f t="shared" si="344"/>
        <v>0.32830237777705495</v>
      </c>
      <c r="H170" s="431">
        <f t="shared" si="344"/>
        <v>0.33340550064204016</v>
      </c>
      <c r="I170" s="431">
        <f t="shared" si="344"/>
        <v>0.32738318434328312</v>
      </c>
      <c r="J170" s="431">
        <f t="shared" si="344"/>
        <v>0.3293924789120995</v>
      </c>
      <c r="K170" s="431">
        <f t="shared" si="344"/>
        <v>0.31669008396288534</v>
      </c>
      <c r="L170" s="431">
        <f t="shared" si="344"/>
        <v>0.32655470351686317</v>
      </c>
      <c r="M170" s="431">
        <f t="shared" si="344"/>
        <v>0.33017733542161376</v>
      </c>
      <c r="N170" s="431">
        <f t="shared" si="344"/>
        <v>0.33019934654813748</v>
      </c>
      <c r="O170" s="431">
        <f t="shared" si="344"/>
        <v>0.33258126985917619</v>
      </c>
      <c r="P170" s="431">
        <f t="shared" si="344"/>
        <v>0.3166409173810466</v>
      </c>
      <c r="Q170" s="431">
        <f t="shared" si="344"/>
        <v>0.32702631938700089</v>
      </c>
      <c r="R170" s="431">
        <f t="shared" si="344"/>
        <v>0.30087341505997195</v>
      </c>
      <c r="S170" s="431">
        <f t="shared" si="344"/>
        <v>0.31837545874635748</v>
      </c>
      <c r="T170" s="431">
        <f t="shared" si="344"/>
        <v>0.30452078580575803</v>
      </c>
      <c r="U170" s="431">
        <f t="shared" si="344"/>
        <v>0.32663177354238165</v>
      </c>
      <c r="V170" s="431">
        <f t="shared" si="344"/>
        <v>0.31270187287626583</v>
      </c>
      <c r="W170" s="431">
        <f t="shared" si="344"/>
        <v>0.31166971887278433</v>
      </c>
      <c r="X170" s="431">
        <f t="shared" si="344"/>
        <v>0.31240713748591309</v>
      </c>
      <c r="Y170" s="431">
        <f t="shared" si="344"/>
        <v>0.29514679522584431</v>
      </c>
      <c r="Z170" s="431">
        <f t="shared" si="344"/>
        <v>0.28847446269478472</v>
      </c>
      <c r="AA170" s="431">
        <f t="shared" si="344"/>
        <v>0.3017426961315065</v>
      </c>
      <c r="AB170" s="431">
        <f t="shared" si="344"/>
        <v>0.29933270071611862</v>
      </c>
      <c r="AC170" s="431">
        <f t="shared" si="344"/>
        <v>0.30839900795649111</v>
      </c>
      <c r="AD170" s="431">
        <f t="shared" si="344"/>
        <v>0.32235619595776094</v>
      </c>
      <c r="AE170" s="431">
        <f t="shared" si="344"/>
        <v>0.30660021255542935</v>
      </c>
      <c r="AF170" s="431">
        <f t="shared" si="344"/>
        <v>0.30887857725313561</v>
      </c>
      <c r="AG170" s="431">
        <f t="shared" si="344"/>
        <v>0.3137908892266329</v>
      </c>
      <c r="AH170" s="431">
        <f t="shared" si="344"/>
        <v>0.29570252301237832</v>
      </c>
      <c r="AI170" s="431">
        <f t="shared" ref="AI170:BN170" si="345">AI48/AI$24</f>
        <v>0.28117991842063861</v>
      </c>
      <c r="AJ170" s="431">
        <f t="shared" si="345"/>
        <v>0.29542773298390823</v>
      </c>
      <c r="AK170" s="431">
        <f t="shared" si="345"/>
        <v>0.295426268437601</v>
      </c>
      <c r="AL170" s="431">
        <f t="shared" si="345"/>
        <v>0.27873142080645075</v>
      </c>
      <c r="AM170" s="431">
        <f t="shared" si="345"/>
        <v>0.29593995169615939</v>
      </c>
      <c r="AN170" s="431">
        <f t="shared" si="345"/>
        <v>0.28801012558931632</v>
      </c>
      <c r="AO170" s="431">
        <f t="shared" si="345"/>
        <v>0.28924037010775688</v>
      </c>
      <c r="AP170" s="431">
        <f t="shared" si="345"/>
        <v>0.28798127539708634</v>
      </c>
      <c r="AQ170" s="431">
        <f t="shared" si="345"/>
        <v>0.2997126107910833</v>
      </c>
      <c r="AR170" s="431">
        <f t="shared" si="345"/>
        <v>0.32399283071722629</v>
      </c>
      <c r="AS170" s="431">
        <f t="shared" si="345"/>
        <v>0.31142339790138301</v>
      </c>
      <c r="AT170" s="431">
        <f t="shared" si="345"/>
        <v>0.31874873726202752</v>
      </c>
      <c r="AU170" s="431">
        <f t="shared" si="345"/>
        <v>0.31318704633259031</v>
      </c>
      <c r="AV170" s="431">
        <f t="shared" si="345"/>
        <v>0.31744963316641434</v>
      </c>
      <c r="AW170" s="431">
        <f t="shared" si="345"/>
        <v>0.31491514100749179</v>
      </c>
      <c r="AX170" s="431">
        <f t="shared" si="345"/>
        <v>0.28489203983766848</v>
      </c>
      <c r="AY170" s="431">
        <f t="shared" si="345"/>
        <v>0.29446815603216847</v>
      </c>
      <c r="AZ170" s="431">
        <f t="shared" si="345"/>
        <v>0.30224000000000001</v>
      </c>
      <c r="BA170" s="431">
        <f t="shared" si="345"/>
        <v>0.29568573113322288</v>
      </c>
      <c r="BB170" s="431">
        <f t="shared" si="345"/>
        <v>0.31244777306805555</v>
      </c>
      <c r="BC170" s="431">
        <f t="shared" si="345"/>
        <v>0.31239661591058931</v>
      </c>
      <c r="BD170" s="431">
        <f t="shared" si="345"/>
        <v>0.29981052995197727</v>
      </c>
      <c r="BE170" s="431">
        <f t="shared" si="345"/>
        <v>0.30489642711617743</v>
      </c>
      <c r="BF170" s="431">
        <f t="shared" si="345"/>
        <v>0.31855781557949525</v>
      </c>
      <c r="BG170" s="431">
        <f t="shared" si="345"/>
        <v>0.32092073540018262</v>
      </c>
      <c r="BH170" s="431">
        <f t="shared" si="345"/>
        <v>0.31386477632382614</v>
      </c>
      <c r="BI170" s="431">
        <f t="shared" si="345"/>
        <v>0.3247545577183838</v>
      </c>
      <c r="BJ170" s="431">
        <f t="shared" si="345"/>
        <v>0.31963266152354047</v>
      </c>
      <c r="BK170" s="431">
        <f t="shared" si="345"/>
        <v>0.36446357824844999</v>
      </c>
      <c r="BL170" s="431">
        <f t="shared" si="345"/>
        <v>0.36911421415488022</v>
      </c>
      <c r="BM170" s="431">
        <f t="shared" si="345"/>
        <v>0.36153766534454673</v>
      </c>
      <c r="BN170" s="431">
        <f t="shared" si="345"/>
        <v>0.38076258112948186</v>
      </c>
      <c r="BO170" s="431">
        <f t="shared" ref="BO170:CN170" si="346">BO48/BO$24</f>
        <v>0.36909134847752545</v>
      </c>
      <c r="BP170" s="431">
        <f t="shared" si="346"/>
        <v>0.37939547254329481</v>
      </c>
      <c r="BQ170" s="431">
        <f t="shared" si="346"/>
        <v>0.37158493476925841</v>
      </c>
      <c r="BR170" s="431">
        <f t="shared" si="346"/>
        <v>0.3742506780822531</v>
      </c>
      <c r="BS170" s="431">
        <f t="shared" si="346"/>
        <v>0.37068072387937334</v>
      </c>
      <c r="BT170" s="431">
        <f t="shared" si="346"/>
        <v>0.37388080485837583</v>
      </c>
      <c r="BU170" s="431">
        <f t="shared" si="346"/>
        <v>0.32514170365341633</v>
      </c>
      <c r="BV170" s="431">
        <f t="shared" si="346"/>
        <v>0.33902274905821755</v>
      </c>
      <c r="BW170" s="431">
        <f t="shared" si="346"/>
        <v>0.31929809290439559</v>
      </c>
      <c r="BX170" s="431">
        <f t="shared" si="346"/>
        <v>0.31496535528060238</v>
      </c>
      <c r="BY170" s="431">
        <f t="shared" si="346"/>
        <v>0.32424949082589943</v>
      </c>
      <c r="BZ170" s="431">
        <f>BZ48/BZ$24</f>
        <v>0.31900515782511102</v>
      </c>
      <c r="CA170" s="431">
        <f>CA48/CA$24</f>
        <v>0.30727549475981064</v>
      </c>
      <c r="CB170" s="431">
        <f t="shared" si="346"/>
        <v>0.30415644614940091</v>
      </c>
      <c r="CC170" s="431">
        <f t="shared" si="346"/>
        <v>0.28776208189532704</v>
      </c>
      <c r="CD170" s="431">
        <f t="shared" si="346"/>
        <v>0.3039061018749904</v>
      </c>
      <c r="CE170" s="431">
        <f>CE48/CE$24</f>
        <v>0.28697894800689328</v>
      </c>
      <c r="CF170" s="431">
        <f t="shared" si="346"/>
        <v>0.28907622771824693</v>
      </c>
      <c r="CG170" s="431">
        <f t="shared" ref="CG170" si="347">CG48/CG$24</f>
        <v>0.27651957498720853</v>
      </c>
      <c r="CH170" s="431">
        <f t="shared" si="346"/>
        <v>0.26587527627647833</v>
      </c>
      <c r="CI170" s="431">
        <f t="shared" si="346"/>
        <v>0.27905096278096087</v>
      </c>
      <c r="CJ170" s="431">
        <f>CJ48/CJ$24</f>
        <v>0.25809075459836156</v>
      </c>
      <c r="CK170" s="432">
        <f t="shared" si="346"/>
        <v>0.2640762277182469</v>
      </c>
      <c r="CL170" s="432">
        <f t="shared" si="346"/>
        <v>0.26151957498720851</v>
      </c>
      <c r="CM170" s="432">
        <f t="shared" si="346"/>
        <v>0.26276208189532702</v>
      </c>
      <c r="CN170" s="432">
        <f t="shared" si="346"/>
        <v>0.26167576115348101</v>
      </c>
      <c r="CO170" s="432">
        <f t="shared" ref="CO170:CX170" si="348">CO48/CO$24</f>
        <v>0.25559075459836156</v>
      </c>
      <c r="CP170" s="432">
        <f t="shared" si="348"/>
        <v>0.2590762277182469</v>
      </c>
      <c r="CQ170" s="432">
        <f t="shared" si="348"/>
        <v>0.25651957498720851</v>
      </c>
      <c r="CR170" s="432">
        <f t="shared" si="348"/>
        <v>0.25776208189532701</v>
      </c>
      <c r="CS170" s="432">
        <f t="shared" si="348"/>
        <v>0.25725812517379743</v>
      </c>
      <c r="CT170" s="432">
        <f t="shared" si="348"/>
        <v>0.25309075459836156</v>
      </c>
      <c r="CU170" s="432">
        <f t="shared" si="348"/>
        <v>0.25407622771824689</v>
      </c>
      <c r="CV170" s="432">
        <f t="shared" si="348"/>
        <v>0.25151957498720851</v>
      </c>
      <c r="CW170" s="432">
        <f t="shared" si="348"/>
        <v>0.25276208189532701</v>
      </c>
      <c r="CX170" s="432">
        <f t="shared" si="348"/>
        <v>0.25284727933798717</v>
      </c>
      <c r="DA170" s="415"/>
      <c r="DB170" s="414"/>
      <c r="DC170" s="414"/>
    </row>
    <row r="171" spans="1:113">
      <c r="A171" s="430" t="str">
        <f>A52</f>
        <v>General &amp; Administrative</v>
      </c>
      <c r="B171" s="412"/>
      <c r="C171" s="416">
        <f t="shared" ref="C171:AH171" si="349">C52/C$24</f>
        <v>9.2318729120373047E-2</v>
      </c>
      <c r="D171" s="416">
        <f t="shared" si="349"/>
        <v>9.0309887152601173E-2</v>
      </c>
      <c r="E171" s="416">
        <f t="shared" si="349"/>
        <v>8.9107826289376219E-2</v>
      </c>
      <c r="F171" s="416">
        <f t="shared" si="349"/>
        <v>0.10641490889846532</v>
      </c>
      <c r="G171" s="431">
        <f t="shared" si="349"/>
        <v>9.4026282405750908E-2</v>
      </c>
      <c r="H171" s="431">
        <f t="shared" si="349"/>
        <v>9.5555738047600564E-2</v>
      </c>
      <c r="I171" s="431">
        <f t="shared" si="349"/>
        <v>9.1587130032549868E-2</v>
      </c>
      <c r="J171" s="431">
        <f t="shared" si="349"/>
        <v>9.3544978745362065E-2</v>
      </c>
      <c r="K171" s="431">
        <f t="shared" si="349"/>
        <v>9.1022012258445528E-2</v>
      </c>
      <c r="L171" s="431">
        <f t="shared" si="349"/>
        <v>9.2835777841117864E-2</v>
      </c>
      <c r="M171" s="431">
        <f t="shared" si="349"/>
        <v>0.10118392024116271</v>
      </c>
      <c r="N171" s="431">
        <f t="shared" si="349"/>
        <v>9.5269033503464051E-2</v>
      </c>
      <c r="O171" s="431">
        <f t="shared" si="349"/>
        <v>9.5013819166337651E-2</v>
      </c>
      <c r="P171" s="431">
        <f t="shared" si="349"/>
        <v>8.8026303313570586E-2</v>
      </c>
      <c r="Q171" s="431">
        <f t="shared" si="349"/>
        <v>9.455655111531272E-2</v>
      </c>
      <c r="R171" s="431">
        <f t="shared" si="349"/>
        <v>7.8935742450050903E-2</v>
      </c>
      <c r="S171" s="431">
        <f t="shared" si="349"/>
        <v>8.3828962288306094E-2</v>
      </c>
      <c r="T171" s="431">
        <f t="shared" si="349"/>
        <v>9.1200927391488523E-2</v>
      </c>
      <c r="U171" s="431">
        <f t="shared" si="349"/>
        <v>7.7676006165279782E-2</v>
      </c>
      <c r="V171" s="431">
        <f t="shared" si="349"/>
        <v>8.278625521351797E-2</v>
      </c>
      <c r="W171" s="431">
        <f t="shared" si="349"/>
        <v>8.6981530276051947E-2</v>
      </c>
      <c r="X171" s="431">
        <f t="shared" si="349"/>
        <v>8.4710772958839095E-2</v>
      </c>
      <c r="Y171" s="431">
        <f t="shared" si="349"/>
        <v>7.7277179034943813E-2</v>
      </c>
      <c r="Z171" s="431">
        <f t="shared" si="349"/>
        <v>8.9875796234503882E-2</v>
      </c>
      <c r="AA171" s="431">
        <f t="shared" si="349"/>
        <v>8.4756252921064257E-2</v>
      </c>
      <c r="AB171" s="431">
        <f t="shared" si="349"/>
        <v>7.9923353644210784E-2</v>
      </c>
      <c r="AC171" s="431">
        <f t="shared" si="349"/>
        <v>8.2545447678517472E-2</v>
      </c>
      <c r="AD171" s="431">
        <f t="shared" si="349"/>
        <v>8.5255342574033832E-2</v>
      </c>
      <c r="AE171" s="431">
        <f t="shared" si="349"/>
        <v>7.5759152710081726E-2</v>
      </c>
      <c r="AF171" s="431">
        <f t="shared" si="349"/>
        <v>8.0714091562148108E-2</v>
      </c>
      <c r="AG171" s="431">
        <f t="shared" si="349"/>
        <v>8.7344300261623292E-2</v>
      </c>
      <c r="AH171" s="431">
        <f t="shared" si="349"/>
        <v>8.1123747111297689E-2</v>
      </c>
      <c r="AI171" s="431">
        <f t="shared" ref="AI171:BN171" si="350">AI52/AI$24</f>
        <v>7.5769708554561194E-2</v>
      </c>
      <c r="AJ171" s="431">
        <f t="shared" si="350"/>
        <v>7.2626427907476976E-2</v>
      </c>
      <c r="AK171" s="431">
        <f t="shared" si="350"/>
        <v>7.850707483910889E-2</v>
      </c>
      <c r="AL171" s="431">
        <f t="shared" si="350"/>
        <v>8.2463262750647151E-2</v>
      </c>
      <c r="AM171" s="431">
        <f t="shared" si="350"/>
        <v>7.4731137936555544E-2</v>
      </c>
      <c r="AN171" s="431">
        <f t="shared" si="350"/>
        <v>8.0499787547463716E-2</v>
      </c>
      <c r="AO171" s="431">
        <f t="shared" si="350"/>
        <v>8.1315326870614144E-2</v>
      </c>
      <c r="AP171" s="431">
        <f t="shared" si="350"/>
        <v>7.9767557038779677E-2</v>
      </c>
      <c r="AQ171" s="431">
        <f t="shared" si="350"/>
        <v>8.2715955187629545E-2</v>
      </c>
      <c r="AR171" s="431">
        <f t="shared" si="350"/>
        <v>8.5761764676665631E-2</v>
      </c>
      <c r="AS171" s="431">
        <f t="shared" si="350"/>
        <v>0.1038942978350038</v>
      </c>
      <c r="AT171" s="431">
        <f t="shared" si="350"/>
        <v>8.7943344826174649E-2</v>
      </c>
      <c r="AU171" s="431">
        <f t="shared" si="350"/>
        <v>8.980285166978802E-2</v>
      </c>
      <c r="AV171" s="431">
        <f t="shared" si="350"/>
        <v>9.2474671014323981E-2</v>
      </c>
      <c r="AW171" s="431">
        <f t="shared" si="350"/>
        <v>8.3265202245939973E-2</v>
      </c>
      <c r="AX171" s="431">
        <f t="shared" si="350"/>
        <v>9.338102167079497E-2</v>
      </c>
      <c r="AY171" s="431">
        <f t="shared" si="350"/>
        <v>8.7924353090344118E-2</v>
      </c>
      <c r="AZ171" s="431">
        <f t="shared" si="350"/>
        <v>8.9218421052631572E-2</v>
      </c>
      <c r="BA171" s="431">
        <f t="shared" si="350"/>
        <v>8.2688045024549808E-2</v>
      </c>
      <c r="BB171" s="431">
        <f t="shared" si="350"/>
        <v>7.8526826684284956E-2</v>
      </c>
      <c r="BC171" s="431">
        <f t="shared" si="350"/>
        <v>8.4772979396217182E-2</v>
      </c>
      <c r="BD171" s="431">
        <f t="shared" si="350"/>
        <v>8.7649208747735782E-2</v>
      </c>
      <c r="BE171" s="431">
        <f t="shared" si="350"/>
        <v>8.3534973429045381E-2</v>
      </c>
      <c r="BF171" s="431">
        <f t="shared" si="350"/>
        <v>8.2643845314861936E-2</v>
      </c>
      <c r="BG171" s="431">
        <f t="shared" si="350"/>
        <v>8.3688099682600089E-2</v>
      </c>
      <c r="BH171" s="431">
        <f t="shared" si="350"/>
        <v>8.7035666031205466E-2</v>
      </c>
      <c r="BI171" s="431">
        <f t="shared" si="350"/>
        <v>8.4226323619679785E-2</v>
      </c>
      <c r="BJ171" s="431">
        <f t="shared" si="350"/>
        <v>8.4402648059791849E-2</v>
      </c>
      <c r="BK171" s="431">
        <f t="shared" si="350"/>
        <v>0.11455113888356967</v>
      </c>
      <c r="BL171" s="431">
        <f t="shared" si="350"/>
        <v>0.10248884517227766</v>
      </c>
      <c r="BM171" s="431">
        <f t="shared" si="350"/>
        <v>0.11209011183587089</v>
      </c>
      <c r="BN171" s="431">
        <f t="shared" si="350"/>
        <v>0.11602007873675603</v>
      </c>
      <c r="BO171" s="431">
        <f t="shared" ref="BO171:CN171" si="351">BO52/BO$24</f>
        <v>0.11131868890620532</v>
      </c>
      <c r="BP171" s="431">
        <f t="shared" si="351"/>
        <v>0.11147062352517699</v>
      </c>
      <c r="BQ171" s="431">
        <f t="shared" si="351"/>
        <v>0.10319900244147207</v>
      </c>
      <c r="BR171" s="431">
        <f t="shared" si="351"/>
        <v>0.12271224944276407</v>
      </c>
      <c r="BS171" s="431">
        <f t="shared" si="351"/>
        <v>0.10745457120283827</v>
      </c>
      <c r="BT171" s="431">
        <f t="shared" si="351"/>
        <v>0.11102599067051036</v>
      </c>
      <c r="BU171" s="431">
        <f t="shared" si="351"/>
        <v>0.11421129644305121</v>
      </c>
      <c r="BV171" s="431">
        <f t="shared" si="351"/>
        <v>9.629327509684571E-2</v>
      </c>
      <c r="BW171" s="431">
        <f t="shared" si="351"/>
        <v>9.4416998968604865E-2</v>
      </c>
      <c r="BX171" s="431">
        <f t="shared" si="351"/>
        <v>8.9445531397638098E-2</v>
      </c>
      <c r="BY171" s="431">
        <f t="shared" si="351"/>
        <v>9.8095698247798832E-2</v>
      </c>
      <c r="BZ171" s="431">
        <f>BZ52/BZ$24</f>
        <v>9.190470854854392E-2</v>
      </c>
      <c r="CA171" s="431">
        <f>CA52/CA$24</f>
        <v>8.5719045205257124E-2</v>
      </c>
      <c r="CB171" s="431">
        <f t="shared" si="351"/>
        <v>8.5659034664032727E-2</v>
      </c>
      <c r="CC171" s="431">
        <f t="shared" si="351"/>
        <v>8.0996929282730445E-2</v>
      </c>
      <c r="CD171" s="431">
        <f t="shared" si="351"/>
        <v>8.5868308272538912E-2</v>
      </c>
      <c r="CE171" s="431">
        <f>CE52/CE$24</f>
        <v>7.7845158850316884E-2</v>
      </c>
      <c r="CF171" s="431">
        <f t="shared" si="351"/>
        <v>7.6644716424311171E-2</v>
      </c>
      <c r="CG171" s="431">
        <f t="shared" ref="CG171" si="352">CG52/CG$24</f>
        <v>6.9036877387872508E-2</v>
      </c>
      <c r="CH171" s="431">
        <f t="shared" si="351"/>
        <v>7.3640669891034308E-2</v>
      </c>
      <c r="CI171" s="431">
        <f t="shared" si="351"/>
        <v>7.4177310020331427E-2</v>
      </c>
      <c r="CJ171" s="431">
        <f>CJ52/CJ$24</f>
        <v>7.1699759541729538E-2</v>
      </c>
      <c r="CK171" s="432">
        <f t="shared" si="351"/>
        <v>6.9144716424311164E-2</v>
      </c>
      <c r="CL171" s="432">
        <f t="shared" si="351"/>
        <v>6.4036877387872504E-2</v>
      </c>
      <c r="CM171" s="432">
        <f t="shared" si="351"/>
        <v>7.099692928273045E-2</v>
      </c>
      <c r="CN171" s="432">
        <f t="shared" si="351"/>
        <v>6.8938813842943175E-2</v>
      </c>
      <c r="CO171" s="432">
        <f t="shared" ref="CO171:CX171" si="353">CO52/CO$24</f>
        <v>7.0199759541729537E-2</v>
      </c>
      <c r="CP171" s="432">
        <f t="shared" si="353"/>
        <v>6.8144716424311164E-2</v>
      </c>
      <c r="CQ171" s="432">
        <f t="shared" si="353"/>
        <v>6.2536877387872503E-2</v>
      </c>
      <c r="CR171" s="432">
        <f t="shared" si="353"/>
        <v>6.9496929282730449E-2</v>
      </c>
      <c r="CS171" s="432">
        <f t="shared" si="353"/>
        <v>6.7562142792237045E-2</v>
      </c>
      <c r="CT171" s="432">
        <f t="shared" si="353"/>
        <v>7.0199759541729537E-2</v>
      </c>
      <c r="CU171" s="432">
        <f t="shared" si="353"/>
        <v>6.8144716424311164E-2</v>
      </c>
      <c r="CV171" s="432">
        <f t="shared" si="353"/>
        <v>6.2536877387872503E-2</v>
      </c>
      <c r="CW171" s="432">
        <f t="shared" si="353"/>
        <v>6.9496929282730449E-2</v>
      </c>
      <c r="CX171" s="432">
        <f t="shared" si="353"/>
        <v>6.756858836908905E-2</v>
      </c>
      <c r="DA171" s="415"/>
      <c r="DB171" s="414"/>
      <c r="DC171" s="414"/>
    </row>
    <row r="172" spans="1:113">
      <c r="A172" s="90" t="s">
        <v>449</v>
      </c>
      <c r="B172" s="412"/>
      <c r="C172" s="417">
        <f t="shared" ref="C172:U172" si="354">C52/C$24</f>
        <v>9.2318729120373047E-2</v>
      </c>
      <c r="D172" s="417">
        <f t="shared" si="354"/>
        <v>9.0309887152601173E-2</v>
      </c>
      <c r="E172" s="417">
        <f t="shared" si="354"/>
        <v>8.9107826289376219E-2</v>
      </c>
      <c r="F172" s="417">
        <f t="shared" si="354"/>
        <v>0.10641490889846532</v>
      </c>
      <c r="G172" s="433">
        <f t="shared" si="354"/>
        <v>9.4026282405750908E-2</v>
      </c>
      <c r="H172" s="433">
        <f t="shared" si="354"/>
        <v>9.5555738047600564E-2</v>
      </c>
      <c r="I172" s="433">
        <f t="shared" si="354"/>
        <v>9.1587130032549868E-2</v>
      </c>
      <c r="J172" s="433">
        <f t="shared" si="354"/>
        <v>9.3544978745362065E-2</v>
      </c>
      <c r="K172" s="433">
        <f t="shared" si="354"/>
        <v>9.1022012258445528E-2</v>
      </c>
      <c r="L172" s="433">
        <f t="shared" si="354"/>
        <v>9.2835777841117864E-2</v>
      </c>
      <c r="M172" s="433">
        <f t="shared" si="354"/>
        <v>0.10118392024116271</v>
      </c>
      <c r="N172" s="433">
        <f t="shared" si="354"/>
        <v>9.5269033503464051E-2</v>
      </c>
      <c r="O172" s="433">
        <f t="shared" si="354"/>
        <v>9.5013819166337651E-2</v>
      </c>
      <c r="P172" s="433">
        <f t="shared" si="354"/>
        <v>8.8026303313570586E-2</v>
      </c>
      <c r="Q172" s="433">
        <f t="shared" si="354"/>
        <v>9.455655111531272E-2</v>
      </c>
      <c r="R172" s="433">
        <f t="shared" si="354"/>
        <v>7.8935742450050903E-2</v>
      </c>
      <c r="S172" s="433">
        <f t="shared" si="354"/>
        <v>8.3828962288306094E-2</v>
      </c>
      <c r="T172" s="433">
        <f t="shared" si="354"/>
        <v>9.1200927391488523E-2</v>
      </c>
      <c r="U172" s="433">
        <f t="shared" si="354"/>
        <v>7.7676006165279782E-2</v>
      </c>
      <c r="V172" s="433">
        <f t="shared" ref="V172:BA172" si="355">V65/V$24</f>
        <v>0.58227532895190803</v>
      </c>
      <c r="W172" s="433">
        <f t="shared" si="355"/>
        <v>0.58196547976027846</v>
      </c>
      <c r="X172" s="433">
        <f t="shared" si="355"/>
        <v>0.577367452306216</v>
      </c>
      <c r="Y172" s="433">
        <f t="shared" si="355"/>
        <v>0.56663018772623963</v>
      </c>
      <c r="Z172" s="433">
        <f t="shared" si="355"/>
        <v>0.56379770794186945</v>
      </c>
      <c r="AA172" s="433">
        <f t="shared" si="355"/>
        <v>0.572291604473532</v>
      </c>
      <c r="AB172" s="433">
        <f t="shared" si="355"/>
        <v>0.55291863342476788</v>
      </c>
      <c r="AC172" s="433">
        <f t="shared" si="355"/>
        <v>0.57194361214623823</v>
      </c>
      <c r="AD172" s="433">
        <f t="shared" si="355"/>
        <v>0.59917036289150793</v>
      </c>
      <c r="AE172" s="433">
        <f t="shared" si="355"/>
        <v>0.56464543555539259</v>
      </c>
      <c r="AF172" s="433">
        <f t="shared" si="355"/>
        <v>0.57153457849570932</v>
      </c>
      <c r="AG172" s="433">
        <f t="shared" si="355"/>
        <v>0.59087598378212725</v>
      </c>
      <c r="AH172" s="433">
        <f t="shared" si="355"/>
        <v>0.55208516357130122</v>
      </c>
      <c r="AI172" s="433">
        <f t="shared" si="355"/>
        <v>0.52651564074083645</v>
      </c>
      <c r="AJ172" s="433">
        <f t="shared" si="355"/>
        <v>0.52712489203927515</v>
      </c>
      <c r="AK172" s="433">
        <f t="shared" si="355"/>
        <v>0.54596389160959513</v>
      </c>
      <c r="AL172" s="433">
        <f t="shared" si="355"/>
        <v>0.52985754313854305</v>
      </c>
      <c r="AM172" s="433">
        <f t="shared" si="355"/>
        <v>0.54070421677645153</v>
      </c>
      <c r="AN172" s="433">
        <f t="shared" si="355"/>
        <v>0.53545590510979346</v>
      </c>
      <c r="AO172" s="433">
        <f t="shared" si="355"/>
        <v>0.52094119857839116</v>
      </c>
      <c r="AP172" s="433">
        <f t="shared" si="355"/>
        <v>0.53165251771772815</v>
      </c>
      <c r="AQ172" s="433">
        <f t="shared" si="355"/>
        <v>0.54496496649245296</v>
      </c>
      <c r="AR172" s="433">
        <f t="shared" si="355"/>
        <v>0.58270006087930137</v>
      </c>
      <c r="AS172" s="433">
        <f t="shared" si="355"/>
        <v>0.58764858273823761</v>
      </c>
      <c r="AT172" s="433">
        <f t="shared" si="355"/>
        <v>0.56614634159224486</v>
      </c>
      <c r="AU172" s="433">
        <f t="shared" si="355"/>
        <v>0.56954301521494799</v>
      </c>
      <c r="AV172" s="433">
        <f t="shared" si="355"/>
        <v>0.58081052754163265</v>
      </c>
      <c r="AW172" s="433">
        <f t="shared" si="355"/>
        <v>0.55164018302608075</v>
      </c>
      <c r="AX172" s="433">
        <f t="shared" si="355"/>
        <v>0.52983634566235727</v>
      </c>
      <c r="AY172" s="433">
        <f t="shared" si="355"/>
        <v>0.53089054373944644</v>
      </c>
      <c r="AZ172" s="433">
        <f t="shared" si="355"/>
        <v>0.54704578947368421</v>
      </c>
      <c r="BA172" s="433">
        <f t="shared" si="355"/>
        <v>0.52501104401453325</v>
      </c>
      <c r="BB172" s="433">
        <f t="shared" ref="BB172:CF172" si="356">BB65/BB$24</f>
        <v>0.54413548362505493</v>
      </c>
      <c r="BC172" s="433">
        <f t="shared" si="356"/>
        <v>0.55275302700718121</v>
      </c>
      <c r="BD172" s="433">
        <f t="shared" si="356"/>
        <v>0.53101866839790623</v>
      </c>
      <c r="BE172" s="433">
        <f t="shared" si="356"/>
        <v>0.53796043790489112</v>
      </c>
      <c r="BF172" s="433">
        <f t="shared" si="356"/>
        <v>0.54655670576529347</v>
      </c>
      <c r="BG172" s="433">
        <f t="shared" si="356"/>
        <v>0.54405757842285418</v>
      </c>
      <c r="BH172" s="433">
        <f t="shared" si="356"/>
        <v>0.54780765884987703</v>
      </c>
      <c r="BI172" s="433">
        <f t="shared" si="356"/>
        <v>0.55320054654473449</v>
      </c>
      <c r="BJ172" s="433">
        <f t="shared" si="356"/>
        <v>0.54796571138164774</v>
      </c>
      <c r="BK172" s="433">
        <f t="shared" si="356"/>
        <v>0.6552650978843565</v>
      </c>
      <c r="BL172" s="433">
        <f t="shared" si="356"/>
        <v>0.64457537437571077</v>
      </c>
      <c r="BM172" s="433">
        <f t="shared" si="356"/>
        <v>0.65260134717556395</v>
      </c>
      <c r="BN172" s="433">
        <f t="shared" si="356"/>
        <v>0.66352564416400517</v>
      </c>
      <c r="BO172" s="433">
        <f t="shared" si="356"/>
        <v>0.65406954952111351</v>
      </c>
      <c r="BP172" s="433">
        <f t="shared" si="356"/>
        <v>0.66916969963604378</v>
      </c>
      <c r="BQ172" s="433">
        <f t="shared" si="356"/>
        <v>0.64225319413447557</v>
      </c>
      <c r="BR172" s="433">
        <f t="shared" si="356"/>
        <v>0.67743575002809797</v>
      </c>
      <c r="BS172" s="433">
        <f t="shared" si="356"/>
        <v>0.64806191583560657</v>
      </c>
      <c r="BT172" s="433">
        <f t="shared" si="356"/>
        <v>0.6587774727427711</v>
      </c>
      <c r="BU172" s="433">
        <f t="shared" si="356"/>
        <v>0.60560990496591627</v>
      </c>
      <c r="BV172" s="433">
        <f t="shared" si="356"/>
        <v>0.58929422677467269</v>
      </c>
      <c r="BW172" s="433">
        <f t="shared" si="356"/>
        <v>0.56945904310180595</v>
      </c>
      <c r="BX172" s="433">
        <f t="shared" si="356"/>
        <v>0.55062446226435324</v>
      </c>
      <c r="BY172" s="433">
        <f t="shared" si="356"/>
        <v>0.57749653790805611</v>
      </c>
      <c r="BZ172" s="433">
        <f>BZ65/BZ$24</f>
        <v>0.55867161605829385</v>
      </c>
      <c r="CA172" s="433">
        <f>CA65/CA$24</f>
        <v>0.53761647347661301</v>
      </c>
      <c r="CB172" s="433">
        <f t="shared" si="356"/>
        <v>0.5386234799008448</v>
      </c>
      <c r="CC172" s="433">
        <f t="shared" si="356"/>
        <v>0.50985968208532728</v>
      </c>
      <c r="CD172" s="433">
        <f t="shared" si="356"/>
        <v>0.53521760444654731</v>
      </c>
      <c r="CE172" s="433">
        <f>CE65/CE$24</f>
        <v>0.51139300423513634</v>
      </c>
      <c r="CF172" s="433">
        <f t="shared" si="356"/>
        <v>0.50757988703242884</v>
      </c>
      <c r="CG172" s="433">
        <f t="shared" ref="CG172" si="357">CG65/CG$24</f>
        <v>0.49066468811139585</v>
      </c>
      <c r="CH172" s="433">
        <f t="shared" ref="CH172:CN172" si="358">CH65/CH$24</f>
        <v>0.47563010971322073</v>
      </c>
      <c r="CI172" s="433">
        <f t="shared" si="358"/>
        <v>0.49541252111722178</v>
      </c>
      <c r="CJ172" s="433">
        <f>CJ65/CJ$24</f>
        <v>0.46869208305935645</v>
      </c>
      <c r="CK172" s="433">
        <f t="shared" si="358"/>
        <v>0.47007988703242876</v>
      </c>
      <c r="CL172" s="433">
        <f t="shared" si="358"/>
        <v>0.46566468811139577</v>
      </c>
      <c r="CM172" s="433">
        <f t="shared" si="358"/>
        <v>0.4698596820853273</v>
      </c>
      <c r="CN172" s="433">
        <f t="shared" si="358"/>
        <v>0.46857412691051731</v>
      </c>
      <c r="CO172" s="433">
        <f t="shared" ref="CO172:CX172" si="359">CO65/CO$24</f>
        <v>0.46219208305935644</v>
      </c>
      <c r="CP172" s="433">
        <f t="shared" si="359"/>
        <v>0.46157988703242875</v>
      </c>
      <c r="CQ172" s="433">
        <f t="shared" si="359"/>
        <v>0.45666468811139582</v>
      </c>
      <c r="CR172" s="433">
        <f t="shared" si="359"/>
        <v>0.46085968208532729</v>
      </c>
      <c r="CS172" s="433">
        <f t="shared" si="359"/>
        <v>0.46028117262259904</v>
      </c>
      <c r="CT172" s="433">
        <f t="shared" si="359"/>
        <v>0.45969208305935649</v>
      </c>
      <c r="CU172" s="433">
        <f t="shared" si="359"/>
        <v>0.45407988703242874</v>
      </c>
      <c r="CV172" s="433">
        <f t="shared" si="359"/>
        <v>0.44916468811139576</v>
      </c>
      <c r="CW172" s="433">
        <f t="shared" si="359"/>
        <v>0.45335968208532723</v>
      </c>
      <c r="CX172" s="433">
        <f t="shared" si="359"/>
        <v>0.45397410823554707</v>
      </c>
      <c r="DA172" s="201"/>
      <c r="DB172" s="200"/>
      <c r="DC172" s="200"/>
    </row>
    <row r="173" spans="1:113" ht="5.25" customHeight="1">
      <c r="A173" s="114"/>
      <c r="B173" s="293"/>
      <c r="C173" s="435"/>
      <c r="D173" s="435"/>
      <c r="E173" s="435"/>
      <c r="F173" s="435"/>
      <c r="G173" s="436"/>
      <c r="H173" s="436"/>
      <c r="I173" s="436"/>
      <c r="J173" s="436"/>
      <c r="K173" s="436"/>
      <c r="L173" s="436"/>
      <c r="M173" s="436"/>
      <c r="N173" s="436"/>
      <c r="O173" s="436"/>
      <c r="P173" s="436"/>
      <c r="Q173" s="436"/>
      <c r="R173" s="436"/>
      <c r="S173" s="436"/>
      <c r="T173" s="436"/>
      <c r="U173" s="436"/>
      <c r="V173" s="436"/>
      <c r="W173" s="436"/>
      <c r="X173" s="436"/>
      <c r="Y173" s="436"/>
      <c r="Z173" s="436"/>
      <c r="AA173" s="437"/>
      <c r="AB173" s="437"/>
      <c r="AC173" s="437"/>
      <c r="AD173" s="437"/>
      <c r="AE173" s="437"/>
      <c r="AF173" s="437"/>
      <c r="AG173" s="437"/>
      <c r="AH173" s="437"/>
      <c r="AI173" s="437"/>
      <c r="AJ173" s="437"/>
      <c r="AK173" s="437"/>
      <c r="AL173" s="437"/>
      <c r="AM173" s="437"/>
      <c r="AN173" s="437"/>
      <c r="AO173" s="437"/>
      <c r="AP173" s="437"/>
      <c r="AQ173" s="437"/>
      <c r="AR173" s="437"/>
      <c r="AS173" s="437"/>
      <c r="AT173" s="437"/>
      <c r="AU173" s="437"/>
      <c r="AV173" s="437"/>
      <c r="AW173" s="437"/>
      <c r="AX173" s="437"/>
      <c r="AY173" s="437"/>
      <c r="AZ173" s="437"/>
      <c r="BA173" s="437"/>
      <c r="BB173" s="437"/>
      <c r="BC173" s="437"/>
      <c r="BD173" s="437"/>
      <c r="BE173" s="437"/>
      <c r="BF173" s="437"/>
      <c r="BG173" s="437"/>
      <c r="BH173" s="437"/>
      <c r="BI173" s="437"/>
      <c r="BJ173" s="437"/>
      <c r="BK173" s="437"/>
      <c r="BL173" s="437"/>
      <c r="BM173" s="437"/>
      <c r="BN173" s="437"/>
      <c r="BO173" s="437"/>
      <c r="BP173" s="437"/>
      <c r="BQ173" s="437"/>
      <c r="BR173" s="437"/>
      <c r="BS173" s="437"/>
      <c r="BT173" s="437"/>
      <c r="BU173" s="437"/>
      <c r="BV173" s="437"/>
      <c r="BW173" s="437"/>
      <c r="BX173" s="437"/>
      <c r="BY173" s="437"/>
      <c r="BZ173" s="437"/>
      <c r="CA173" s="437"/>
      <c r="CB173" s="437"/>
      <c r="CC173" s="437"/>
      <c r="CD173" s="437"/>
      <c r="CE173" s="437"/>
      <c r="CF173" s="437"/>
      <c r="CG173" s="437"/>
      <c r="CH173" s="437"/>
      <c r="CI173" s="437"/>
      <c r="CJ173" s="437"/>
      <c r="CK173" s="438"/>
      <c r="CL173" s="438"/>
      <c r="CM173" s="438"/>
      <c r="CN173" s="438"/>
      <c r="CO173" s="438"/>
      <c r="CP173" s="438"/>
      <c r="CQ173" s="438"/>
      <c r="CR173" s="438"/>
      <c r="CS173" s="438"/>
      <c r="CT173" s="438"/>
      <c r="CU173" s="438"/>
      <c r="CV173" s="438"/>
      <c r="CW173" s="438"/>
      <c r="CX173" s="438"/>
      <c r="DA173" s="126"/>
      <c r="DB173" s="117"/>
      <c r="DC173" s="117"/>
    </row>
    <row r="174" spans="1:113">
      <c r="A174" s="90" t="s">
        <v>157</v>
      </c>
      <c r="B174" s="412"/>
      <c r="C174" s="417">
        <f t="shared" ref="C174:AH174" si="360">C67/C$24</f>
        <v>0.36184564503038275</v>
      </c>
      <c r="D174" s="417">
        <f t="shared" si="360"/>
        <v>0.35304408982455338</v>
      </c>
      <c r="E174" s="417">
        <f t="shared" si="360"/>
        <v>0.33004128468632538</v>
      </c>
      <c r="F174" s="417">
        <f t="shared" si="360"/>
        <v>0.25657367505859197</v>
      </c>
      <c r="G174" s="433">
        <f t="shared" si="360"/>
        <v>0.32918143967732488</v>
      </c>
      <c r="H174" s="433">
        <f t="shared" si="360"/>
        <v>0.27131797413921821</v>
      </c>
      <c r="I174" s="433">
        <f t="shared" si="360"/>
        <v>0.30376954805126072</v>
      </c>
      <c r="J174" s="433">
        <f t="shared" si="360"/>
        <v>0.25628775725834485</v>
      </c>
      <c r="K174" s="433">
        <f t="shared" si="360"/>
        <v>0.28445906045735003</v>
      </c>
      <c r="L174" s="433">
        <f t="shared" si="360"/>
        <v>0.27980799939559825</v>
      </c>
      <c r="M174" s="433">
        <f t="shared" si="360"/>
        <v>0.2711665740413276</v>
      </c>
      <c r="N174" s="433">
        <f t="shared" si="360"/>
        <v>0.28568528109050234</v>
      </c>
      <c r="O174" s="433">
        <f t="shared" si="360"/>
        <v>0.28758907251772048</v>
      </c>
      <c r="P174" s="433">
        <f t="shared" si="360"/>
        <v>0.32114471842180115</v>
      </c>
      <c r="Q174" s="433">
        <f t="shared" si="360"/>
        <v>0.29264591052010847</v>
      </c>
      <c r="R174" s="433">
        <f t="shared" si="360"/>
        <v>0.38570594947564379</v>
      </c>
      <c r="S174" s="433">
        <f t="shared" si="360"/>
        <v>0.34587707426509134</v>
      </c>
      <c r="T174" s="433">
        <f t="shared" si="360"/>
        <v>0.3475587855729193</v>
      </c>
      <c r="U174" s="433">
        <f t="shared" si="360"/>
        <v>0.34081098574628288</v>
      </c>
      <c r="V174" s="433">
        <f t="shared" si="360"/>
        <v>0.35509465186510575</v>
      </c>
      <c r="W174" s="433">
        <f t="shared" si="360"/>
        <v>0.36100337927855147</v>
      </c>
      <c r="X174" s="433">
        <f t="shared" si="360"/>
        <v>0.36732529751284693</v>
      </c>
      <c r="Y174" s="433">
        <f t="shared" si="360"/>
        <v>0.37694722599216895</v>
      </c>
      <c r="Z174" s="433">
        <f t="shared" si="360"/>
        <v>0.37605976828620774</v>
      </c>
      <c r="AA174" s="433">
        <f t="shared" si="360"/>
        <v>0.37045528171646447</v>
      </c>
      <c r="AB174" s="433">
        <f t="shared" si="360"/>
        <v>0.38506402960892666</v>
      </c>
      <c r="AC174" s="433">
        <f t="shared" si="360"/>
        <v>0.3825048469130829</v>
      </c>
      <c r="AD174" s="433">
        <f t="shared" si="360"/>
        <v>0.3441582487948176</v>
      </c>
      <c r="AE174" s="433">
        <f t="shared" si="360"/>
        <v>0.37229303331256641</v>
      </c>
      <c r="AF174" s="433">
        <f t="shared" si="360"/>
        <v>0.37148448724420458</v>
      </c>
      <c r="AG174" s="433">
        <f t="shared" si="360"/>
        <v>0.34265876407245394</v>
      </c>
      <c r="AH174" s="433">
        <f t="shared" si="360"/>
        <v>0.37830297876678065</v>
      </c>
      <c r="AI174" s="433">
        <f t="shared" ref="AI174:BN174" si="361">AI67/AI$24</f>
        <v>0.40021439826414895</v>
      </c>
      <c r="AJ174" s="433">
        <f t="shared" si="361"/>
        <v>0.39748532447479229</v>
      </c>
      <c r="AK174" s="433">
        <f t="shared" si="361"/>
        <v>0.3824175135161838</v>
      </c>
      <c r="AL174" s="433">
        <f t="shared" si="361"/>
        <v>0.40310294291056714</v>
      </c>
      <c r="AM174" s="433">
        <f t="shared" si="361"/>
        <v>0.39422992357529602</v>
      </c>
      <c r="AN174" s="433">
        <f t="shared" si="361"/>
        <v>0.39663705104608926</v>
      </c>
      <c r="AO174" s="433">
        <f t="shared" si="361"/>
        <v>0.40955161198338036</v>
      </c>
      <c r="AP174" s="433">
        <f t="shared" si="361"/>
        <v>0.40095097920633849</v>
      </c>
      <c r="AQ174" s="433">
        <f t="shared" si="361"/>
        <v>0.375100141151337</v>
      </c>
      <c r="AR174" s="433">
        <f t="shared" si="361"/>
        <v>0.33731390304439085</v>
      </c>
      <c r="AS174" s="433">
        <f t="shared" si="361"/>
        <v>0.33990913352840918</v>
      </c>
      <c r="AT174" s="433">
        <f t="shared" si="361"/>
        <v>0.35018084388531101</v>
      </c>
      <c r="AU174" s="433">
        <f t="shared" si="361"/>
        <v>0.35132302935686199</v>
      </c>
      <c r="AV174" s="433">
        <f t="shared" si="361"/>
        <v>0.3368883195528124</v>
      </c>
      <c r="AW174" s="433">
        <f t="shared" si="361"/>
        <v>0.3546697630522726</v>
      </c>
      <c r="AX174" s="433">
        <f t="shared" si="361"/>
        <v>0.38870303407285939</v>
      </c>
      <c r="AY174" s="433">
        <f t="shared" si="361"/>
        <v>0.38089143664442332</v>
      </c>
      <c r="AZ174" s="433">
        <f t="shared" si="361"/>
        <v>0.36647631578947365</v>
      </c>
      <c r="BA174" s="433">
        <f t="shared" si="361"/>
        <v>0.38932340572109153</v>
      </c>
      <c r="BB174" s="433">
        <f t="shared" si="361"/>
        <v>0.36790239049081341</v>
      </c>
      <c r="BC174" s="433">
        <f t="shared" si="361"/>
        <v>0.36132813271062719</v>
      </c>
      <c r="BD174" s="433">
        <f t="shared" si="361"/>
        <v>0.38585145652387115</v>
      </c>
      <c r="BE174" s="433">
        <f t="shared" si="361"/>
        <v>0.37644873724520656</v>
      </c>
      <c r="BF174" s="433">
        <f t="shared" si="361"/>
        <v>0.36985802032108067</v>
      </c>
      <c r="BG174" s="433">
        <f t="shared" si="361"/>
        <v>0.35960457077199592</v>
      </c>
      <c r="BH174" s="433">
        <f t="shared" si="361"/>
        <v>0.36277647189472312</v>
      </c>
      <c r="BI174" s="433">
        <f t="shared" si="361"/>
        <v>0.35942685629272042</v>
      </c>
      <c r="BJ174" s="433">
        <f t="shared" si="361"/>
        <v>0.36277002150702697</v>
      </c>
      <c r="BK174" s="433">
        <f t="shared" si="361"/>
        <v>0.23878504533805348</v>
      </c>
      <c r="BL174" s="433">
        <f t="shared" si="361"/>
        <v>0.24471153798578782</v>
      </c>
      <c r="BM174" s="433">
        <f t="shared" si="361"/>
        <v>0.22412093428022167</v>
      </c>
      <c r="BN174" s="433">
        <f t="shared" si="361"/>
        <v>0.21540675377436277</v>
      </c>
      <c r="BO174" s="433">
        <f t="shared" ref="BO174:CN174" si="362">BO67/BO$24</f>
        <v>0.23065811148045484</v>
      </c>
      <c r="BP174" s="433">
        <f t="shared" si="362"/>
        <v>0.20493640763108417</v>
      </c>
      <c r="BQ174" s="433">
        <f t="shared" si="362"/>
        <v>0.23435885145964094</v>
      </c>
      <c r="BR174" s="433">
        <f t="shared" si="362"/>
        <v>0.18886343766566649</v>
      </c>
      <c r="BS174" s="433">
        <f t="shared" si="362"/>
        <v>0.2242576360627879</v>
      </c>
      <c r="BT174" s="433">
        <f t="shared" si="362"/>
        <v>0.21361902936172938</v>
      </c>
      <c r="BU174" s="433">
        <f t="shared" si="362"/>
        <v>0.26609904064350187</v>
      </c>
      <c r="BV174" s="433">
        <f t="shared" si="362"/>
        <v>0.27460293695005322</v>
      </c>
      <c r="BW174" s="433">
        <f t="shared" si="362"/>
        <v>0.2962091301463004</v>
      </c>
      <c r="BX174" s="433">
        <f t="shared" si="362"/>
        <v>0.31399551746626603</v>
      </c>
      <c r="BY174" s="433">
        <f t="shared" si="362"/>
        <v>0.28885409709205123</v>
      </c>
      <c r="BZ174" s="433">
        <f>BZ67/BZ$24</f>
        <v>0.31469817506243974</v>
      </c>
      <c r="CA174" s="433">
        <f>CA67/CA$24</f>
        <v>0.33142276198980641</v>
      </c>
      <c r="CB174" s="433">
        <f t="shared" si="362"/>
        <v>0.33548502117875612</v>
      </c>
      <c r="CC174" s="433">
        <f t="shared" si="362"/>
        <v>0.36663021264981327</v>
      </c>
      <c r="CD174" s="433">
        <f t="shared" si="362"/>
        <v>0.33815947923196626</v>
      </c>
      <c r="CE174" s="433">
        <f>CE67/CE$24</f>
        <v>0.36156658416813048</v>
      </c>
      <c r="CF174" s="433">
        <f t="shared" si="362"/>
        <v>0.37197027406767896</v>
      </c>
      <c r="CG174" s="433">
        <f t="shared" ref="CG174" si="363">CG67/CG$24</f>
        <v>0.38037688870735231</v>
      </c>
      <c r="CH174" s="433">
        <f t="shared" si="362"/>
        <v>0.40183793939484541</v>
      </c>
      <c r="CI174" s="433">
        <f t="shared" si="362"/>
        <v>0.37990208867897785</v>
      </c>
      <c r="CJ174" s="433">
        <f>CJ67/CJ$24</f>
        <v>0.41846136529695083</v>
      </c>
      <c r="CK174" s="434">
        <f t="shared" si="362"/>
        <v>0.4133884387365595</v>
      </c>
      <c r="CL174" s="434">
        <f t="shared" si="362"/>
        <v>0.409998334046697</v>
      </c>
      <c r="CM174" s="434">
        <f t="shared" si="362"/>
        <v>0.41188233831336962</v>
      </c>
      <c r="CN174" s="434">
        <f t="shared" si="362"/>
        <v>0.4133092368701024</v>
      </c>
      <c r="CO174" s="434">
        <f t="shared" ref="CO174:CX174" si="364">CO67/CO$24</f>
        <v>0.42988189696786505</v>
      </c>
      <c r="CP174" s="434">
        <f t="shared" si="364"/>
        <v>0.42686798380190244</v>
      </c>
      <c r="CQ174" s="434">
        <f t="shared" si="364"/>
        <v>0.42414127003890173</v>
      </c>
      <c r="CR174" s="434">
        <f t="shared" si="364"/>
        <v>0.42600377356247315</v>
      </c>
      <c r="CS174" s="434">
        <f t="shared" si="364"/>
        <v>0.42664993139142909</v>
      </c>
      <c r="CT174" s="434">
        <f t="shared" si="364"/>
        <v>0.43756787118135132</v>
      </c>
      <c r="CU174" s="434">
        <f t="shared" si="364"/>
        <v>0.43947053103526895</v>
      </c>
      <c r="CV174" s="434">
        <f t="shared" si="364"/>
        <v>0.43693345565090691</v>
      </c>
      <c r="CW174" s="434">
        <f t="shared" si="364"/>
        <v>0.43878628347529874</v>
      </c>
      <c r="CX174" s="434">
        <f t="shared" si="364"/>
        <v>0.43819578851298507</v>
      </c>
      <c r="DA174" s="201"/>
      <c r="DB174" s="200"/>
      <c r="DC174" s="200"/>
    </row>
    <row r="175" spans="1:113">
      <c r="A175" s="90" t="s">
        <v>538</v>
      </c>
      <c r="B175" s="412"/>
      <c r="C175" s="417">
        <f t="shared" ref="C175:AH175" si="365">C84/C$24</f>
        <v>0.25403913438652265</v>
      </c>
      <c r="D175" s="417">
        <f t="shared" si="365"/>
        <v>0.24555861351436983</v>
      </c>
      <c r="E175" s="417">
        <f t="shared" si="365"/>
        <v>0.23659617004087391</v>
      </c>
      <c r="F175" s="417">
        <f t="shared" si="365"/>
        <v>0.18410070310728027</v>
      </c>
      <c r="G175" s="433">
        <f t="shared" si="365"/>
        <v>0.23247731190840187</v>
      </c>
      <c r="H175" s="433">
        <f t="shared" si="365"/>
        <v>0.19700928718607222</v>
      </c>
      <c r="I175" s="433">
        <f t="shared" si="365"/>
        <v>0.21242504545325652</v>
      </c>
      <c r="J175" s="433">
        <f t="shared" si="365"/>
        <v>0.18415888851056073</v>
      </c>
      <c r="K175" s="433">
        <f t="shared" si="365"/>
        <v>0.20045205563135068</v>
      </c>
      <c r="L175" s="433">
        <f t="shared" si="365"/>
        <v>0.19893748905380212</v>
      </c>
      <c r="M175" s="433">
        <f t="shared" si="365"/>
        <v>0.18264032738847069</v>
      </c>
      <c r="N175" s="433">
        <f t="shared" si="365"/>
        <v>0.20067719103159171</v>
      </c>
      <c r="O175" s="433">
        <f t="shared" si="365"/>
        <v>0.20081661558902239</v>
      </c>
      <c r="P175" s="433">
        <f t="shared" si="365"/>
        <v>0.23214514788642049</v>
      </c>
      <c r="Q175" s="433">
        <f t="shared" si="365"/>
        <v>0.205290755196567</v>
      </c>
      <c r="R175" s="433">
        <f t="shared" si="365"/>
        <v>0.29247237650638697</v>
      </c>
      <c r="S175" s="433">
        <f t="shared" si="365"/>
        <v>0.26520111684163039</v>
      </c>
      <c r="T175" s="433">
        <f t="shared" si="365"/>
        <v>0.26149021706013914</v>
      </c>
      <c r="U175" s="433">
        <f t="shared" si="365"/>
        <v>0.25709775507448152</v>
      </c>
      <c r="V175" s="433">
        <f t="shared" si="365"/>
        <v>0.26914023380801766</v>
      </c>
      <c r="W175" s="433">
        <f t="shared" si="365"/>
        <v>0.2828485753316895</v>
      </c>
      <c r="X175" s="433">
        <f t="shared" si="365"/>
        <v>0.28805170665424795</v>
      </c>
      <c r="Y175" s="433">
        <f t="shared" si="365"/>
        <v>0.30068023299982127</v>
      </c>
      <c r="Z175" s="433">
        <f t="shared" si="365"/>
        <v>0.29679194154840327</v>
      </c>
      <c r="AA175" s="433">
        <f t="shared" si="365"/>
        <v>0.29219695054876599</v>
      </c>
      <c r="AB175" s="433">
        <f t="shared" si="365"/>
        <v>0.30268902999032771</v>
      </c>
      <c r="AC175" s="433">
        <f t="shared" si="365"/>
        <v>0.29806154950146035</v>
      </c>
      <c r="AD175" s="433">
        <f t="shared" si="365"/>
        <v>0.28477509627344144</v>
      </c>
      <c r="AE175" s="433">
        <f t="shared" si="365"/>
        <v>0.28876168138674096</v>
      </c>
      <c r="AF175" s="433">
        <f t="shared" si="365"/>
        <v>0.29366908709664896</v>
      </c>
      <c r="AG175" s="433">
        <f t="shared" si="365"/>
        <v>0.28074381705155638</v>
      </c>
      <c r="AH175" s="433">
        <f t="shared" si="365"/>
        <v>0.29938557654004888</v>
      </c>
      <c r="AI175" s="433">
        <f t="shared" ref="AI175:BN175" si="366">AI84/AI$24</f>
        <v>0.31627736043565347</v>
      </c>
      <c r="AJ175" s="433">
        <f t="shared" si="366"/>
        <v>0.31783088658938485</v>
      </c>
      <c r="AK175" s="433">
        <f t="shared" si="366"/>
        <v>0.30543012862105956</v>
      </c>
      <c r="AL175" s="433">
        <f t="shared" si="366"/>
        <v>0.30652201988893185</v>
      </c>
      <c r="AM175" s="433">
        <f t="shared" si="366"/>
        <v>0.30752317659766865</v>
      </c>
      <c r="AN175" s="433">
        <f t="shared" si="366"/>
        <v>0.30330107285713159</v>
      </c>
      <c r="AO175" s="433">
        <f t="shared" si="366"/>
        <v>0.35060160537353291</v>
      </c>
      <c r="AP175" s="433">
        <f t="shared" si="366"/>
        <v>0.31724195917806386</v>
      </c>
      <c r="AQ175" s="433">
        <f t="shared" si="366"/>
        <v>0.30105927084525486</v>
      </c>
      <c r="AR175" s="433">
        <f t="shared" si="366"/>
        <v>0.26258562482172587</v>
      </c>
      <c r="AS175" s="433">
        <f t="shared" si="366"/>
        <v>0.26683746543045456</v>
      </c>
      <c r="AT175" s="433">
        <f t="shared" si="366"/>
        <v>0.27303267074528276</v>
      </c>
      <c r="AU175" s="433">
        <f t="shared" si="366"/>
        <v>0.27654842247729261</v>
      </c>
      <c r="AV175" s="433">
        <f t="shared" si="366"/>
        <v>0.24647897985326656</v>
      </c>
      <c r="AW175" s="433">
        <f t="shared" si="366"/>
        <v>0.24819624934387369</v>
      </c>
      <c r="AX175" s="433">
        <f t="shared" si="366"/>
        <v>0.28672781194746344</v>
      </c>
      <c r="AY175" s="433">
        <f t="shared" si="366"/>
        <v>0.28345268496526588</v>
      </c>
      <c r="AZ175" s="433">
        <f t="shared" si="366"/>
        <v>0.26720164473684205</v>
      </c>
      <c r="BA175" s="433">
        <f t="shared" si="366"/>
        <v>0.29013453263871192</v>
      </c>
      <c r="BB175" s="433">
        <f t="shared" si="366"/>
        <v>0.27362172210336605</v>
      </c>
      <c r="BC175" s="433">
        <f t="shared" si="366"/>
        <v>0.26920328618295081</v>
      </c>
      <c r="BD175" s="433">
        <f t="shared" si="366"/>
        <v>0.28876346274522391</v>
      </c>
      <c r="BE175" s="433">
        <f t="shared" si="366"/>
        <v>0.28072262181299146</v>
      </c>
      <c r="BF175" s="433">
        <f t="shared" si="366"/>
        <v>0.27217523583551784</v>
      </c>
      <c r="BG175" s="433">
        <f t="shared" si="366"/>
        <v>0.26644160828992697</v>
      </c>
      <c r="BH175" s="433">
        <f t="shared" si="366"/>
        <v>0.26964500546003067</v>
      </c>
      <c r="BI175" s="433">
        <f t="shared" si="366"/>
        <v>0.26684630510096846</v>
      </c>
      <c r="BJ175" s="433">
        <f t="shared" si="366"/>
        <v>0.26869454776088253</v>
      </c>
      <c r="BK175" s="433">
        <f t="shared" si="366"/>
        <v>0.17648751380382247</v>
      </c>
      <c r="BL175" s="433">
        <f t="shared" si="366"/>
        <v>0.18186352170948655</v>
      </c>
      <c r="BM175" s="433">
        <f t="shared" si="366"/>
        <v>0.16521843116250412</v>
      </c>
      <c r="BN175" s="433">
        <f t="shared" si="366"/>
        <v>0.15797461646790475</v>
      </c>
      <c r="BO175" s="433">
        <f t="shared" ref="BO175:CN175" si="367">BO84/BO$24</f>
        <v>0.17030631972460317</v>
      </c>
      <c r="BP175" s="433">
        <f t="shared" si="367"/>
        <v>0.15129784425868886</v>
      </c>
      <c r="BQ175" s="433">
        <f t="shared" si="367"/>
        <v>0.17439393825921556</v>
      </c>
      <c r="BR175" s="433">
        <f t="shared" si="367"/>
        <v>0.13985552148429153</v>
      </c>
      <c r="BS175" s="433">
        <f t="shared" si="367"/>
        <v>0.1679160517567789</v>
      </c>
      <c r="BT175" s="433">
        <f t="shared" si="367"/>
        <v>0.15877397629407791</v>
      </c>
      <c r="BU175" s="433">
        <f t="shared" si="367"/>
        <v>0.20226184905799868</v>
      </c>
      <c r="BV175" s="433">
        <f t="shared" si="367"/>
        <v>0.2081954433046109</v>
      </c>
      <c r="BW175" s="433">
        <f t="shared" si="367"/>
        <v>0.2261703378640266</v>
      </c>
      <c r="BX175" s="433">
        <f t="shared" si="367"/>
        <v>0.23867042660616455</v>
      </c>
      <c r="BY175" s="433">
        <f t="shared" si="367"/>
        <v>0.21968962223212496</v>
      </c>
      <c r="BZ175" s="433">
        <f>BZ84/BZ$24</f>
        <v>0.24047031268637031</v>
      </c>
      <c r="CA175" s="433">
        <f>CA84/CA$24</f>
        <v>0.25557353245028108</v>
      </c>
      <c r="CB175" s="433">
        <f t="shared" si="367"/>
        <v>0.25717861126651087</v>
      </c>
      <c r="CC175" s="433">
        <f t="shared" si="367"/>
        <v>0.28133527395535612</v>
      </c>
      <c r="CD175" s="433">
        <f t="shared" si="367"/>
        <v>0.25948384385841156</v>
      </c>
      <c r="CE175" s="433">
        <f>CE84/CE$24</f>
        <v>0.28050374454552263</v>
      </c>
      <c r="CF175" s="433">
        <f t="shared" si="367"/>
        <v>0.28798379406271335</v>
      </c>
      <c r="CG175" s="433">
        <f t="shared" ref="CG175" si="368">CG84/CG$24</f>
        <v>0.29823679004754833</v>
      </c>
      <c r="CH175" s="433">
        <f t="shared" si="367"/>
        <v>0.31409477248772161</v>
      </c>
      <c r="CI175" s="433">
        <f t="shared" si="367"/>
        <v>0.29602212146673867</v>
      </c>
      <c r="CJ175" s="433">
        <f>CJ84/CJ$24</f>
        <v>0.37148902785881505</v>
      </c>
      <c r="CK175" s="434">
        <f t="shared" si="367"/>
        <v>0.36731294244824608</v>
      </c>
      <c r="CL175" s="434">
        <f t="shared" si="367"/>
        <v>0.36463628411270038</v>
      </c>
      <c r="CM175" s="434">
        <f t="shared" si="367"/>
        <v>0.36485385186202002</v>
      </c>
      <c r="CN175" s="434">
        <f t="shared" si="367"/>
        <v>0.36695055800943976</v>
      </c>
      <c r="CO175" s="434">
        <f t="shared" ref="CO175:CX175" si="369">CO84/CO$24</f>
        <v>0.34870316212279612</v>
      </c>
      <c r="CP175" s="434">
        <f t="shared" si="369"/>
        <v>0.34657507437606544</v>
      </c>
      <c r="CQ175" s="434">
        <f t="shared" si="369"/>
        <v>0.3446526569798854</v>
      </c>
      <c r="CR175" s="434">
        <f t="shared" si="369"/>
        <v>0.34651270426152919</v>
      </c>
      <c r="CS175" s="434">
        <f t="shared" si="369"/>
        <v>0.34656832686745714</v>
      </c>
      <c r="CT175" s="434">
        <f t="shared" si="369"/>
        <v>0.35634064465943655</v>
      </c>
      <c r="CU175" s="434">
        <f t="shared" si="369"/>
        <v>0.35819072290162979</v>
      </c>
      <c r="CV175" s="434">
        <f t="shared" si="369"/>
        <v>0.35636171043427395</v>
      </c>
      <c r="CW175" s="434">
        <f t="shared" si="369"/>
        <v>0.35814457825006729</v>
      </c>
      <c r="CX175" s="434">
        <f t="shared" si="369"/>
        <v>0.35727663266646337</v>
      </c>
      <c r="DA175" s="201"/>
      <c r="DB175" s="200"/>
      <c r="DC175" s="200"/>
    </row>
    <row r="176" spans="1:113" s="90" customFormat="1">
      <c r="A176" s="90" t="s">
        <v>518</v>
      </c>
      <c r="B176" s="412"/>
      <c r="C176" s="417"/>
      <c r="D176" s="417"/>
      <c r="E176" s="417"/>
      <c r="F176" s="417"/>
      <c r="G176" s="433"/>
      <c r="H176" s="433"/>
      <c r="I176" s="433"/>
      <c r="J176" s="433"/>
      <c r="K176" s="433"/>
      <c r="L176" s="433"/>
      <c r="M176" s="433"/>
      <c r="N176" s="433"/>
      <c r="O176" s="433"/>
      <c r="P176" s="433"/>
      <c r="Q176" s="433"/>
      <c r="R176" s="433"/>
      <c r="S176" s="433"/>
      <c r="T176" s="433"/>
      <c r="U176" s="433"/>
      <c r="V176" s="433"/>
      <c r="W176" s="1714">
        <f>AA176/4</f>
        <v>0.49750000000000227</v>
      </c>
      <c r="X176" s="1714">
        <f>W176</f>
        <v>0.49750000000000227</v>
      </c>
      <c r="Y176" s="1714">
        <f>X176</f>
        <v>0.49750000000000227</v>
      </c>
      <c r="Z176" s="1714">
        <f>Y176</f>
        <v>0.49750000000000227</v>
      </c>
      <c r="AA176" s="1715">
        <f>209.243-207.253</f>
        <v>1.9900000000000091</v>
      </c>
      <c r="AB176" s="1716">
        <f>AF176/4</f>
        <v>11.283000000000001</v>
      </c>
      <c r="AC176" s="1716">
        <f>AB176</f>
        <v>11.283000000000001</v>
      </c>
      <c r="AD176" s="1716">
        <f>AC176</f>
        <v>11.283000000000001</v>
      </c>
      <c r="AE176" s="1716">
        <f>AD176</f>
        <v>11.283000000000001</v>
      </c>
      <c r="AF176" s="1715">
        <f>254.375-209.243</f>
        <v>45.132000000000005</v>
      </c>
      <c r="AG176" s="1716">
        <f>AK176/4</f>
        <v>9.1255000000000024</v>
      </c>
      <c r="AH176" s="1716">
        <f>AG176</f>
        <v>9.1255000000000024</v>
      </c>
      <c r="AI176" s="1716">
        <f>AH176</f>
        <v>9.1255000000000024</v>
      </c>
      <c r="AJ176" s="1124">
        <f>AI176</f>
        <v>9.1255000000000024</v>
      </c>
      <c r="AK176" s="1716">
        <f>290.877-254.375</f>
        <v>36.50200000000001</v>
      </c>
      <c r="AL176" s="1716">
        <f>AP176/4</f>
        <v>7.7240802271436717</v>
      </c>
      <c r="AM176" s="1716">
        <f>AL176</f>
        <v>7.7240802271436717</v>
      </c>
      <c r="AN176" s="1716">
        <f>AM176</f>
        <v>7.7240802271436717</v>
      </c>
      <c r="AO176" s="1124">
        <f>AN176</f>
        <v>7.7240802271436717</v>
      </c>
      <c r="AP176" s="1716">
        <f>AK176*(1+AP177)</f>
        <v>30.896320908574687</v>
      </c>
      <c r="AQ176" s="1716">
        <f>AU176/4</f>
        <v>8.2630081090289629</v>
      </c>
      <c r="AR176" s="1716">
        <f>AQ176</f>
        <v>8.2630081090289629</v>
      </c>
      <c r="AS176" s="1716">
        <f>AR176</f>
        <v>8.2630081090289629</v>
      </c>
      <c r="AT176" s="1716">
        <f>AS176</f>
        <v>8.2630081090289629</v>
      </c>
      <c r="AU176" s="1716">
        <f>AP176*(1+AU177)</f>
        <v>33.052032436115852</v>
      </c>
      <c r="AV176" s="1716">
        <f>AZ176/4</f>
        <v>9.4997094113193281</v>
      </c>
      <c r="AW176" s="1716">
        <f>AV176</f>
        <v>9.4997094113193281</v>
      </c>
      <c r="AX176" s="1716">
        <f>AW176</f>
        <v>9.4997094113193281</v>
      </c>
      <c r="AY176" s="1716">
        <f>AX176</f>
        <v>9.4997094113193281</v>
      </c>
      <c r="AZ176" s="1716">
        <f>AU176*(1+AZ177)</f>
        <v>37.998837645277312</v>
      </c>
      <c r="BA176" s="1716">
        <f>BE176/4</f>
        <v>14.529910255536629</v>
      </c>
      <c r="BB176" s="1716">
        <f>BA176</f>
        <v>14.529910255536629</v>
      </c>
      <c r="BC176" s="1716">
        <f>BB176</f>
        <v>14.529910255536629</v>
      </c>
      <c r="BD176" s="1716">
        <f>BC176</f>
        <v>14.529910255536629</v>
      </c>
      <c r="BE176" s="1716">
        <f>AZ176*(1+BE177)</f>
        <v>58.119641022146517</v>
      </c>
      <c r="BF176" s="1716">
        <f>BJ176/4</f>
        <v>18.729540321786867</v>
      </c>
      <c r="BG176" s="1716">
        <f>BF176</f>
        <v>18.729540321786867</v>
      </c>
      <c r="BH176" s="1716">
        <f>BG176</f>
        <v>18.729540321786867</v>
      </c>
      <c r="BI176" s="1716">
        <f>BH176</f>
        <v>18.729540321786867</v>
      </c>
      <c r="BJ176" s="1716">
        <f>BE176*(1+BJ177)</f>
        <v>74.91816128714747</v>
      </c>
      <c r="BK176" s="1716">
        <f>BO176/4</f>
        <v>13.01427922771153</v>
      </c>
      <c r="BL176" s="1716">
        <f>BK176</f>
        <v>13.01427922771153</v>
      </c>
      <c r="BM176" s="1716">
        <f>BL176</f>
        <v>13.01427922771153</v>
      </c>
      <c r="BN176" s="1716">
        <f>BM176</f>
        <v>13.01427922771153</v>
      </c>
      <c r="BO176" s="1716">
        <f>BJ176*(1+BO177)</f>
        <v>52.057116910846119</v>
      </c>
      <c r="BP176" s="1716">
        <f>BT176/4</f>
        <v>10.248750073821693</v>
      </c>
      <c r="BQ176" s="1716">
        <f>BP176</f>
        <v>10.248750073821693</v>
      </c>
      <c r="BR176" s="1716">
        <f>BQ176</f>
        <v>10.248750073821693</v>
      </c>
      <c r="BS176" s="1716">
        <f>BR176</f>
        <v>10.248750073821693</v>
      </c>
      <c r="BT176" s="1716">
        <f>BO176*(1+BT177)</f>
        <v>40.995000295286772</v>
      </c>
      <c r="BU176" s="1716">
        <f>BY176/4</f>
        <v>12.777841892863906</v>
      </c>
      <c r="BV176" s="1716">
        <f>BU176</f>
        <v>12.777841892863906</v>
      </c>
      <c r="BW176" s="1716">
        <f>BV176</f>
        <v>12.777841892863906</v>
      </c>
      <c r="BX176" s="1716">
        <f>BW176</f>
        <v>12.777841892863906</v>
      </c>
      <c r="BY176" s="1716">
        <f>BT176*(1+BY177)</f>
        <v>51.111367571455624</v>
      </c>
      <c r="BZ176" s="1716">
        <f>CD176/4</f>
        <v>14.081563713798982</v>
      </c>
      <c r="CA176" s="1716">
        <f>BZ176</f>
        <v>14.081563713798982</v>
      </c>
      <c r="CB176" s="1716">
        <f>CA176</f>
        <v>14.081563713798982</v>
      </c>
      <c r="CC176" s="1716">
        <f>CB176</f>
        <v>14.081563713798982</v>
      </c>
      <c r="CD176" s="1716">
        <f>BY176*(1+CD177)</f>
        <v>56.326254855195927</v>
      </c>
      <c r="CE176" s="1716">
        <f>CI176/4</f>
        <v>12.307040022714371</v>
      </c>
      <c r="CF176" s="1716">
        <f>CE176</f>
        <v>12.307040022714371</v>
      </c>
      <c r="CG176" s="1716">
        <f>CF176</f>
        <v>12.307040022714371</v>
      </c>
      <c r="CH176" s="1716">
        <f>CG176</f>
        <v>12.307040022714371</v>
      </c>
      <c r="CI176" s="1716">
        <f>CD176*(1+CI177)</f>
        <v>49.228160090857486</v>
      </c>
      <c r="CJ176" s="1716">
        <f>CN176/4</f>
        <v>18.915958466413603</v>
      </c>
      <c r="CK176" s="1716">
        <f>CJ176</f>
        <v>18.915958466413603</v>
      </c>
      <c r="CL176" s="1716">
        <f>CK176</f>
        <v>18.915958466413603</v>
      </c>
      <c r="CM176" s="1716">
        <f>CL176</f>
        <v>18.915958466413603</v>
      </c>
      <c r="CN176" s="1716">
        <f>CI176*(1+CN177)</f>
        <v>75.663833865654411</v>
      </c>
      <c r="CO176" s="1716">
        <f>CS176/4</f>
        <v>19.151225424583089</v>
      </c>
      <c r="CP176" s="1716">
        <f>CO176</f>
        <v>19.151225424583089</v>
      </c>
      <c r="CQ176" s="1716">
        <f>CP176</f>
        <v>19.151225424583089</v>
      </c>
      <c r="CR176" s="1716">
        <f>CQ176</f>
        <v>19.151225424583089</v>
      </c>
      <c r="CS176" s="1716">
        <f>CN176*(1+CS177)</f>
        <v>76.604901698332355</v>
      </c>
      <c r="CT176" s="1716">
        <f>CX176/4</f>
        <v>22.469879130083221</v>
      </c>
      <c r="CU176" s="1716">
        <f>CT176</f>
        <v>22.469879130083221</v>
      </c>
      <c r="CV176" s="1716">
        <f>CU176</f>
        <v>22.469879130083221</v>
      </c>
      <c r="CW176" s="1716">
        <f>CV176</f>
        <v>22.469879130083221</v>
      </c>
      <c r="CX176" s="1716">
        <f>CS176*(1+CX177)</f>
        <v>89.879516520332885</v>
      </c>
      <c r="DA176" s="201"/>
      <c r="DB176" s="200"/>
      <c r="DC176" s="200"/>
      <c r="DD176"/>
      <c r="DE176"/>
      <c r="DF176"/>
      <c r="DG176"/>
      <c r="DH176"/>
      <c r="DI176"/>
    </row>
    <row r="177" spans="1:113" s="90" customFormat="1">
      <c r="A177" s="90" t="s">
        <v>101</v>
      </c>
      <c r="B177" s="412"/>
      <c r="C177" s="417"/>
      <c r="D177" s="417"/>
      <c r="E177" s="417"/>
      <c r="F177" s="417"/>
      <c r="G177" s="433"/>
      <c r="H177" s="433"/>
      <c r="I177" s="433"/>
      <c r="J177" s="433"/>
      <c r="K177" s="433"/>
      <c r="L177" s="433"/>
      <c r="M177" s="433"/>
      <c r="N177" s="433"/>
      <c r="O177" s="433"/>
      <c r="P177" s="433"/>
      <c r="Q177" s="433"/>
      <c r="R177" s="433"/>
      <c r="S177" s="433"/>
      <c r="T177" s="433"/>
      <c r="U177" s="433"/>
      <c r="V177" s="433"/>
      <c r="W177" s="433"/>
      <c r="X177" s="433"/>
      <c r="Y177" s="433"/>
      <c r="Z177" s="433"/>
      <c r="AA177" s="433"/>
      <c r="AB177" s="433"/>
      <c r="AC177" s="433"/>
      <c r="AD177" s="433"/>
      <c r="AE177" s="433"/>
      <c r="AF177" s="433"/>
      <c r="AG177" s="433"/>
      <c r="AH177" s="433"/>
      <c r="AI177" s="433"/>
      <c r="AJ177" s="433"/>
      <c r="AK177" s="433"/>
      <c r="AL177" s="433"/>
      <c r="AM177" s="433"/>
      <c r="AN177" s="433"/>
      <c r="AO177" s="433"/>
      <c r="AP177" s="433">
        <f>CF!AP89/CF!AK89-1</f>
        <v>-0.15357183418512199</v>
      </c>
      <c r="AQ177" s="433"/>
      <c r="AR177" s="433"/>
      <c r="AS177" s="433"/>
      <c r="AT177" s="433"/>
      <c r="AU177" s="433">
        <f>CF!AU89/CF!AP89-1</f>
        <v>6.977243452125359E-2</v>
      </c>
      <c r="AV177" s="433"/>
      <c r="AW177" s="433"/>
      <c r="AX177" s="433"/>
      <c r="AY177" s="433"/>
      <c r="AZ177" s="433">
        <f>CF!AZ89/CF!AU89-1</f>
        <v>0.14966720181951976</v>
      </c>
      <c r="BA177" s="433"/>
      <c r="BB177" s="433"/>
      <c r="BC177" s="433"/>
      <c r="BD177" s="433"/>
      <c r="BE177" s="433">
        <f>CF!BE89/CF!AZ89-1</f>
        <v>0.52951102253965709</v>
      </c>
      <c r="BF177" s="433"/>
      <c r="BG177" s="433"/>
      <c r="BH177" s="433"/>
      <c r="BI177" s="433"/>
      <c r="BJ177" s="433">
        <f>CF!BJ89/CF!BE89-1</f>
        <v>0.28903344841032097</v>
      </c>
      <c r="BK177" s="433"/>
      <c r="BL177" s="433"/>
      <c r="BM177" s="433"/>
      <c r="BN177" s="433"/>
      <c r="BO177" s="433">
        <f>CF!BO89/CF!BJ89-1</f>
        <v>-0.30514689607342593</v>
      </c>
      <c r="BP177" s="433"/>
      <c r="BQ177" s="433"/>
      <c r="BR177" s="433"/>
      <c r="BS177" s="433"/>
      <c r="BT177" s="433">
        <f>CF!BT89/CF!BO89-1</f>
        <v>-0.21249960182206229</v>
      </c>
      <c r="BU177" s="433"/>
      <c r="BV177" s="433"/>
      <c r="BW177" s="433"/>
      <c r="BX177" s="433"/>
      <c r="BY177" s="433">
        <f>CF!BY89/CF!BT89-1</f>
        <v>0.24677075748995514</v>
      </c>
      <c r="BZ177" s="433"/>
      <c r="CA177" s="433"/>
      <c r="CB177" s="433"/>
      <c r="CC177" s="433"/>
      <c r="CD177" s="433">
        <f>CF!CD89/CF!BY89-1</f>
        <v>0.10202989142189733</v>
      </c>
      <c r="CE177" s="433"/>
      <c r="CF177" s="434"/>
      <c r="CG177" s="434"/>
      <c r="CH177" s="433"/>
      <c r="CI177" s="433">
        <f>CF!CI89/CF!CD89-1</f>
        <v>-0.12601751674394635</v>
      </c>
      <c r="CJ177" s="433"/>
      <c r="CK177" s="434"/>
      <c r="CL177" s="434"/>
      <c r="CM177" s="434"/>
      <c r="CN177" s="434">
        <f>CF!CN89/CF!CI89-1</f>
        <v>0.53700308372293781</v>
      </c>
      <c r="CO177" s="434"/>
      <c r="CP177" s="434"/>
      <c r="CQ177" s="434"/>
      <c r="CR177" s="434"/>
      <c r="CS177" s="434">
        <f>CF!CS89/CF!CN89-1</f>
        <v>1.2437485448449026E-2</v>
      </c>
      <c r="CT177" s="434"/>
      <c r="CU177" s="434"/>
      <c r="CV177" s="434"/>
      <c r="CW177" s="434"/>
      <c r="CX177" s="434">
        <f>CF!CX89/CF!CS89-1</f>
        <v>0.17328675486427136</v>
      </c>
      <c r="DA177" s="201"/>
      <c r="DB177" s="200"/>
      <c r="DC177" s="200"/>
      <c r="DD177"/>
      <c r="DE177"/>
      <c r="DF177"/>
      <c r="DG177"/>
      <c r="DH177"/>
      <c r="DI177"/>
    </row>
    <row r="178" spans="1:113">
      <c r="A178" s="114"/>
      <c r="B178" s="293"/>
      <c r="C178" s="117"/>
      <c r="D178" s="117"/>
      <c r="E178" s="117"/>
      <c r="F178" s="117"/>
      <c r="G178" s="117"/>
      <c r="H178" s="117"/>
      <c r="I178" s="117"/>
      <c r="J178" s="117"/>
      <c r="K178" s="117"/>
      <c r="L178" s="117"/>
      <c r="M178" s="117"/>
      <c r="N178" s="117"/>
      <c r="O178" s="117"/>
      <c r="P178" s="117"/>
      <c r="Q178" s="117"/>
      <c r="R178" s="117"/>
      <c r="S178" s="117"/>
      <c r="T178" s="117"/>
      <c r="U178" s="117"/>
      <c r="V178" s="117"/>
      <c r="W178" s="117"/>
      <c r="X178" s="117"/>
      <c r="Y178" s="117"/>
      <c r="Z178" s="117"/>
      <c r="AA178" s="121"/>
      <c r="AB178" s="121"/>
      <c r="AC178" s="121"/>
      <c r="AD178" s="121"/>
      <c r="AE178" s="121"/>
      <c r="AF178" s="121"/>
      <c r="AG178" s="121"/>
      <c r="AH178" s="121"/>
      <c r="AI178" s="121"/>
      <c r="AJ178" s="121"/>
      <c r="AK178" s="121"/>
      <c r="AL178" s="121"/>
      <c r="AM178" s="121"/>
      <c r="AN178" s="121"/>
      <c r="AO178" s="121"/>
      <c r="AP178" s="121"/>
      <c r="AQ178" s="121"/>
      <c r="AR178" s="121"/>
      <c r="AS178" s="121"/>
      <c r="AT178" s="121"/>
      <c r="AU178" s="121"/>
      <c r="AV178" s="121"/>
      <c r="AW178" s="121"/>
      <c r="AX178" s="121"/>
      <c r="AY178" s="121"/>
      <c r="AZ178" s="121"/>
      <c r="BA178" s="121"/>
      <c r="BB178" s="121"/>
      <c r="BC178" s="121"/>
      <c r="BD178" s="121"/>
      <c r="BE178" s="121"/>
      <c r="BF178" s="121"/>
      <c r="BG178" s="121"/>
      <c r="BH178" s="121"/>
      <c r="BI178" s="121"/>
      <c r="BJ178" s="121"/>
      <c r="BK178" s="121"/>
      <c r="BL178" s="121"/>
      <c r="BM178" s="121"/>
      <c r="BN178" s="121"/>
      <c r="BO178" s="121"/>
      <c r="BP178" s="121"/>
      <c r="BQ178" s="121"/>
      <c r="BR178" s="121"/>
      <c r="BS178" s="121"/>
      <c r="BT178" s="121"/>
      <c r="BU178" s="121"/>
      <c r="BV178" s="121"/>
      <c r="BW178" s="121"/>
      <c r="BX178" s="121"/>
      <c r="BY178" s="121"/>
      <c r="BZ178" s="121"/>
      <c r="CA178" s="121"/>
      <c r="CB178" s="121"/>
      <c r="CC178" s="121"/>
      <c r="CD178" s="121"/>
      <c r="CE178" s="121"/>
      <c r="CF178" s="123"/>
      <c r="CG178" s="123"/>
      <c r="CH178" s="121"/>
      <c r="CI178" s="121"/>
      <c r="CJ178" s="121"/>
      <c r="CK178" s="123"/>
      <c r="CL178" s="123"/>
      <c r="CM178" s="123"/>
      <c r="CN178" s="123"/>
      <c r="CO178" s="123"/>
      <c r="CP178" s="123"/>
      <c r="CQ178" s="123"/>
      <c r="CR178" s="123"/>
      <c r="CS178" s="123"/>
      <c r="CT178" s="123"/>
      <c r="CU178" s="123"/>
      <c r="CV178" s="123"/>
      <c r="CW178" s="123"/>
      <c r="CX178" s="123"/>
      <c r="DA178" s="126"/>
      <c r="DB178" s="117"/>
      <c r="DC178" s="117"/>
    </row>
    <row r="179" spans="1:113">
      <c r="A179" s="426" t="s">
        <v>81</v>
      </c>
      <c r="B179" s="427"/>
      <c r="C179" s="426"/>
      <c r="D179" s="426"/>
      <c r="E179" s="426"/>
      <c r="F179" s="426"/>
      <c r="G179" s="426"/>
      <c r="H179" s="426"/>
      <c r="I179" s="426"/>
      <c r="J179" s="426"/>
      <c r="K179" s="426"/>
      <c r="L179" s="426"/>
      <c r="M179" s="426"/>
      <c r="N179" s="426"/>
      <c r="O179" s="426"/>
      <c r="P179" s="426"/>
      <c r="Q179" s="426"/>
      <c r="R179" s="426"/>
      <c r="S179" s="426"/>
      <c r="T179" s="426"/>
      <c r="U179" s="426"/>
      <c r="V179" s="426"/>
      <c r="W179" s="426"/>
      <c r="X179" s="426"/>
      <c r="Y179" s="426"/>
      <c r="Z179" s="426"/>
      <c r="AA179" s="426"/>
      <c r="AB179" s="426"/>
      <c r="AC179" s="426"/>
      <c r="AD179" s="426"/>
      <c r="AE179" s="426"/>
      <c r="AF179" s="426"/>
      <c r="AG179" s="426"/>
      <c r="AH179" s="426"/>
      <c r="AI179" s="426"/>
      <c r="AJ179" s="426"/>
      <c r="AK179" s="426"/>
      <c r="AL179" s="426"/>
      <c r="AM179" s="426"/>
      <c r="AN179" s="426"/>
      <c r="AO179" s="426"/>
      <c r="AP179" s="426"/>
      <c r="AQ179" s="426"/>
      <c r="AR179" s="428"/>
      <c r="AS179" s="426"/>
      <c r="AT179" s="426"/>
      <c r="AU179" s="426"/>
      <c r="AV179" s="426"/>
      <c r="AW179" s="428"/>
      <c r="AX179" s="428"/>
      <c r="AY179" s="426"/>
      <c r="AZ179" s="426"/>
      <c r="BA179" s="426"/>
      <c r="BB179" s="428"/>
      <c r="BC179" s="428"/>
      <c r="BD179" s="426"/>
      <c r="BE179" s="426"/>
      <c r="BF179" s="426"/>
      <c r="BG179" s="428"/>
      <c r="BH179" s="428"/>
      <c r="BI179" s="428"/>
      <c r="BJ179" s="426"/>
      <c r="BK179" s="426"/>
      <c r="BL179" s="428"/>
      <c r="BM179" s="428"/>
      <c r="BN179" s="426"/>
      <c r="BO179" s="426"/>
      <c r="BP179" s="426"/>
      <c r="BQ179" s="428"/>
      <c r="BR179" s="428"/>
      <c r="BS179" s="426"/>
      <c r="BT179" s="426"/>
      <c r="BU179" s="426"/>
      <c r="BV179" s="428"/>
      <c r="BW179" s="428"/>
      <c r="BX179" s="426"/>
      <c r="BY179" s="426"/>
      <c r="BZ179" s="426"/>
      <c r="CA179" s="426"/>
      <c r="CB179" s="426"/>
      <c r="CC179" s="426"/>
      <c r="CD179" s="426"/>
      <c r="CE179" s="426"/>
      <c r="CF179" s="428"/>
      <c r="CG179" s="428"/>
      <c r="CH179" s="426"/>
      <c r="CI179" s="426"/>
      <c r="CJ179" s="428"/>
      <c r="CK179" s="428"/>
      <c r="CL179" s="428"/>
      <c r="CM179" s="428"/>
      <c r="CN179" s="428"/>
      <c r="CO179" s="428"/>
      <c r="CP179" s="428"/>
      <c r="CQ179" s="428"/>
      <c r="CR179" s="428"/>
      <c r="CS179" s="428"/>
      <c r="CT179" s="428"/>
      <c r="CU179" s="428"/>
      <c r="CV179" s="428"/>
      <c r="CW179" s="428"/>
      <c r="CX179" s="428"/>
      <c r="DA179" s="426"/>
      <c r="DB179" s="426"/>
      <c r="DC179" s="426"/>
    </row>
    <row r="180" spans="1:113" hidden="1" outlineLevel="1">
      <c r="A180" s="90" t="s">
        <v>520</v>
      </c>
      <c r="B180" s="412" t="s">
        <v>57</v>
      </c>
      <c r="C180" s="442" t="s">
        <v>131</v>
      </c>
      <c r="D180" s="442" t="s">
        <v>131</v>
      </c>
      <c r="E180" s="442" t="s">
        <v>131</v>
      </c>
      <c r="F180" s="442" t="s">
        <v>131</v>
      </c>
      <c r="G180" s="439"/>
      <c r="H180" s="439">
        <f>SUM(H24,D24:F24)</f>
        <v>1168.6469999999999</v>
      </c>
      <c r="I180" s="439">
        <f>SUM(H24:I24,E24:F24)</f>
        <v>1141.913</v>
      </c>
      <c r="J180" s="439">
        <f>SUM(H24:J24,F24)</f>
        <v>1134.674</v>
      </c>
      <c r="K180" s="439">
        <f>SUM(H24:K24)</f>
        <v>1164.788</v>
      </c>
      <c r="L180" s="439"/>
      <c r="M180" s="439">
        <f>SUM(M24,I24:K24)</f>
        <v>1193.787</v>
      </c>
      <c r="N180" s="439">
        <f>SUM(M24:N24,J24:K24)</f>
        <v>1196.5740000000001</v>
      </c>
      <c r="O180" s="439">
        <f>SUM(M24:O24,K24)</f>
        <v>1230.817</v>
      </c>
      <c r="P180" s="439">
        <f>SUM(M24:P24)</f>
        <v>1294.7489999999998</v>
      </c>
      <c r="Q180" s="439"/>
      <c r="R180" s="439">
        <f>SUM(R24,N24:P24)</f>
        <v>1421.1349999999998</v>
      </c>
      <c r="S180" s="439">
        <f>SUM(R24:S24,O24:P24)</f>
        <v>1511.0739999999996</v>
      </c>
      <c r="T180" s="439">
        <f>SUM(R24:T24,P24)</f>
        <v>1595.665</v>
      </c>
      <c r="U180" s="439">
        <f>SUM(R24:U24)</f>
        <v>1666.5809999999999</v>
      </c>
      <c r="V180" s="439"/>
      <c r="W180" s="439">
        <f>SUM(W24,S24:U24)</f>
        <v>1716.1819999999998</v>
      </c>
      <c r="X180" s="439">
        <f>SUM(W24:X24,T24:U24)</f>
        <v>1802.126</v>
      </c>
      <c r="Y180" s="439">
        <f>SUM(W24:Y24,U24)</f>
        <v>1885.452</v>
      </c>
      <c r="Z180" s="439">
        <f>SUM(W24:Z24)</f>
        <v>1966.3210000000001</v>
      </c>
      <c r="AA180" s="439"/>
      <c r="AB180" s="439">
        <f>SUM(AB24,X24:Z24)</f>
        <v>2148.9170000000004</v>
      </c>
      <c r="AC180" s="439">
        <f>SUM(AB24:AC24,Y24:Z24)</f>
        <v>2288.3440000000001</v>
      </c>
      <c r="AD180" s="439">
        <f>SUM(AB24:AD24,Z24)</f>
        <v>2403.4960000000001</v>
      </c>
      <c r="AE180" s="439">
        <f>SUM(AB24:AE24)</f>
        <v>2575.3000000000002</v>
      </c>
      <c r="AF180" s="439"/>
      <c r="AG180" s="439">
        <f>SUM(AG24,AC24:AE24)</f>
        <v>2569.2290000000003</v>
      </c>
      <c r="AH180" s="439">
        <f>SUM(AG24:AH24,AD24:AE24)</f>
        <v>2679.3499999999995</v>
      </c>
      <c r="AI180" s="439">
        <f>SUM(AG24:AI24,AE24)</f>
        <v>2928.8450000000003</v>
      </c>
      <c r="AJ180" s="439">
        <f>SUM(AG24:AJ24)</f>
        <v>3157.8810000000003</v>
      </c>
      <c r="AK180" s="439"/>
      <c r="AL180" s="439">
        <f>SUM(AL24,AH24:AJ24)</f>
        <v>3398.9189999999999</v>
      </c>
      <c r="AM180" s="439">
        <f>SUM(AL24:AM24,AI24:AJ24)</f>
        <v>3540.2280000000001</v>
      </c>
      <c r="AN180" s="439">
        <f>SUM(AL24:AN24,AJ24)</f>
        <v>3575.799</v>
      </c>
      <c r="AO180" s="439">
        <f>SUM(AL24:AO24)</f>
        <v>3579.8890000000001</v>
      </c>
      <c r="AP180" s="439"/>
      <c r="AQ180" s="439">
        <f>SUM(AQ24,AM24:AO24)</f>
        <v>3475.8339999999998</v>
      </c>
      <c r="AR180" s="439">
        <f>SUM(AQ24:AR24,AN24:AO24)</f>
        <v>3293.6210000000001</v>
      </c>
      <c r="AS180" s="439">
        <f>SUM(AQ24:AS24,AO24)</f>
        <v>3103.8710000000001</v>
      </c>
      <c r="AT180" s="439">
        <f>SUM(AQ24:AT24)</f>
        <v>2945.8530000000001</v>
      </c>
      <c r="AU180" s="439"/>
      <c r="AV180" s="439">
        <f>SUM(AV24,AR24:AT24)</f>
        <v>3018.163</v>
      </c>
      <c r="AW180" s="439">
        <f>SUM(AV24:AW24,AS24:AT24)</f>
        <v>3256.5250000000001</v>
      </c>
      <c r="AX180" s="439">
        <f>SUM(AV24:AX24,AT24)</f>
        <v>3549.337</v>
      </c>
      <c r="AY180" s="439">
        <f>SUM(AV24:AY24)</f>
        <v>3800</v>
      </c>
      <c r="AZ180" s="439"/>
      <c r="BA180" s="439">
        <f>SUM(BA24,AW24:AY24)</f>
        <v>3969.0059999999999</v>
      </c>
      <c r="BB180" s="439">
        <f>SUM(BA24:BB24,AX24:AY24)</f>
        <v>4049.15</v>
      </c>
      <c r="BC180" s="439">
        <f>SUM(BA24:BC24,AY24)</f>
        <v>4072.0430000000001</v>
      </c>
      <c r="BD180" s="439">
        <f>SUM(BA24:BD24)</f>
        <v>4216.2579999999998</v>
      </c>
      <c r="BE180" s="439"/>
      <c r="BF180" s="439">
        <f>SUM(BF24,BB24:BD24)</f>
        <v>4233.7719999999999</v>
      </c>
      <c r="BG180" s="439">
        <f>SUM(BF24:BG24,BC24:BD24)</f>
        <v>4335.0419999999995</v>
      </c>
      <c r="BH180" s="439">
        <f>SUM(BF24:BH24,BD24)</f>
        <v>4402.41</v>
      </c>
      <c r="BI180" s="439">
        <f>SUM(BF24:BI24)</f>
        <v>4403.6769999999997</v>
      </c>
      <c r="BJ180" s="439"/>
      <c r="BK180" s="439">
        <f>SUM(BK24,BG24:BI24)</f>
        <v>4366.33</v>
      </c>
      <c r="BL180" s="439">
        <f>SUM(BK24:BL24,BH24:BI24)</f>
        <v>4252.43</v>
      </c>
      <c r="BM180" s="439">
        <f>SUM(BK24:BM24,BI24)</f>
        <v>4166.9690000000001</v>
      </c>
      <c r="BN180" s="439">
        <f>SUM(BK24:BN24)</f>
        <v>4055.24</v>
      </c>
      <c r="BO180" s="439"/>
      <c r="BP180" s="439">
        <f>SUM(BP24,BL24:BN24)</f>
        <v>4047.4870000000001</v>
      </c>
      <c r="BQ180" s="439">
        <f>SUM(BP24:BQ24,BM24:BN24)</f>
        <v>4105.1459999999997</v>
      </c>
      <c r="BR180" s="439">
        <f>SUM(BP24:BR24,BN24)</f>
        <v>4115.4359999999997</v>
      </c>
      <c r="BS180" s="439">
        <f>SUM(BP24:BS24)</f>
        <v>4147.0650000000005</v>
      </c>
      <c r="BT180" s="439"/>
      <c r="BU180" s="439">
        <f>SUM(BU24,BQ24:BS24)</f>
        <v>4256.1260000000002</v>
      </c>
      <c r="BV180" s="439">
        <f>SUM(BU24:BV24,BR24:BS24)</f>
        <v>4350.076</v>
      </c>
      <c r="BW180" s="439">
        <f>SUM(BU24:BW24,BS24)</f>
        <v>4562.4349999999995</v>
      </c>
      <c r="BX180" s="439">
        <f>SUM(BU24:BX24)</f>
        <v>4795.5109999999995</v>
      </c>
      <c r="BY180" s="439"/>
      <c r="BZ180" s="439">
        <f>SUM(BZ24,BV24:BX24)</f>
        <v>5069.665</v>
      </c>
      <c r="CA180" s="439">
        <f>SUM(BZ24:CA24,BW24:BX24)</f>
        <v>5306.2159999999994</v>
      </c>
      <c r="CB180" s="439">
        <f>SUM(BZ24:CB24,BX24)</f>
        <v>5552.415</v>
      </c>
      <c r="CC180" s="439">
        <f>SUM(BZ24:CC24)</f>
        <v>5854.43</v>
      </c>
      <c r="CD180" s="439"/>
      <c r="CE180" s="439">
        <f>SUM(CE24,CA24:CC24)</f>
        <v>6152.741</v>
      </c>
      <c r="CF180" s="439">
        <f>SUM(CE24:CF24,CB24:CC24)</f>
        <v>6526.2219999999998</v>
      </c>
      <c r="CG180" s="439">
        <f>SUM(CF24:CG24,CC24:CD24)</f>
        <v>11076.113000000001</v>
      </c>
      <c r="CH180" s="439">
        <f>SUM(CG24:CH24,CD24:CE24)</f>
        <v>11383.745000000001</v>
      </c>
      <c r="CI180" s="439"/>
      <c r="CJ180" s="439">
        <f>SUM(CJ24,CF24:CH24)</f>
        <v>7698.8060000000005</v>
      </c>
      <c r="CK180" s="440">
        <f>SUM(CJ24:CK24,CG24:CH24)</f>
        <v>8101.6177125198292</v>
      </c>
      <c r="CL180" s="440">
        <f>SUM(CJ24:CL24,CH24)</f>
        <v>8522.0194959621167</v>
      </c>
      <c r="CM180" s="440">
        <f>SUM(CJ24:CM24)</f>
        <v>8895.2289742176399</v>
      </c>
      <c r="CN180" s="440"/>
      <c r="CO180" s="440">
        <f>SUM(CO24,CK24:CM24)</f>
        <v>9284.7351217661126</v>
      </c>
      <c r="CP180" s="440">
        <f>SUM(CO24:CP24,CL24:CM24)</f>
        <v>9680.6912324050609</v>
      </c>
      <c r="CQ180" s="440">
        <f>SUM(CO24:CQ24,CM24)</f>
        <v>10097.347055578261</v>
      </c>
      <c r="CR180" s="440">
        <f>SUM(CO24:CR24)</f>
        <v>10534.244334120731</v>
      </c>
      <c r="CS180" s="440"/>
      <c r="CT180" s="440">
        <f>SUM(CT24,CP24:CR24)</f>
        <v>10970.247181398161</v>
      </c>
      <c r="CU180" s="440">
        <f>SUM(CT24:CU24,CQ24:CR24)</f>
        <v>11403.185702342173</v>
      </c>
      <c r="CV180" s="440">
        <f>SUM(CT24:CV24,CR24)</f>
        <v>11830.123383763566</v>
      </c>
      <c r="CW180" s="440">
        <f>SUM(CT24:CW24)</f>
        <v>12255.100183504495</v>
      </c>
      <c r="CX180" s="440"/>
      <c r="DA180" s="201"/>
      <c r="DB180" s="200"/>
      <c r="DC180" s="200"/>
    </row>
    <row r="181" spans="1:113" hidden="1" outlineLevel="1">
      <c r="A181" s="90" t="s">
        <v>126</v>
      </c>
      <c r="B181" s="412" t="s">
        <v>314</v>
      </c>
      <c r="C181" s="442" t="s">
        <v>131</v>
      </c>
      <c r="D181" s="442" t="s">
        <v>131</v>
      </c>
      <c r="E181" s="442" t="s">
        <v>131</v>
      </c>
      <c r="F181" s="442" t="s">
        <v>131</v>
      </c>
      <c r="G181" s="439"/>
      <c r="H181" s="439">
        <f>SUM(H65,D65:F65)</f>
        <v>727.7650000000001</v>
      </c>
      <c r="I181" s="439">
        <f>SUM(H65:I65,E65:F65)</f>
        <v>723.33300000000008</v>
      </c>
      <c r="J181" s="439">
        <f>SUM(H65:J65,F65)</f>
        <v>727.89900000000011</v>
      </c>
      <c r="K181" s="439">
        <f>SUM(H65:K65)</f>
        <v>734.58300000000008</v>
      </c>
      <c r="L181" s="439"/>
      <c r="M181" s="439">
        <f>SUM(M65,I65:K65)</f>
        <v>754.39400000000001</v>
      </c>
      <c r="N181" s="439">
        <f>SUM(M65:N65,J65:K65)</f>
        <v>763.90100000000007</v>
      </c>
      <c r="O181" s="439">
        <f>SUM(M65:O65,K65)</f>
        <v>788.9380000000001</v>
      </c>
      <c r="P181" s="439">
        <f>SUM(M65:P65)</f>
        <v>822.82400000000007</v>
      </c>
      <c r="Q181" s="439"/>
      <c r="R181" s="439">
        <f>SUM(R65,N65:P65)</f>
        <v>864.63599999999997</v>
      </c>
      <c r="S181" s="439">
        <f>SUM(R65:S65,O65:P65)</f>
        <v>900.298</v>
      </c>
      <c r="T181" s="439">
        <f>SUM(R65:T65,P65)</f>
        <v>934.85899999999992</v>
      </c>
      <c r="U181" s="439">
        <f>SUM(R65:U65)</f>
        <v>970.40899999999999</v>
      </c>
      <c r="V181" s="439"/>
      <c r="W181" s="439">
        <f>SUM(W65,S65:U65)</f>
        <v>1009.7729999999999</v>
      </c>
      <c r="X181" s="439">
        <f>SUM(W65:X65,T65:U65)</f>
        <v>1055.173</v>
      </c>
      <c r="Y181" s="439">
        <f>SUM(W65:Y65,U65)</f>
        <v>1091.3140000000001</v>
      </c>
      <c r="Z181" s="439">
        <f>SUM(W65:Z65)</f>
        <v>1125.309</v>
      </c>
      <c r="AA181" s="439"/>
      <c r="AB181" s="439">
        <f>SUM(AB65,X65:Z65)</f>
        <v>1212.5339999999999</v>
      </c>
      <c r="AC181" s="439">
        <f>SUM(AB65:AC65,Y65:Z65)</f>
        <v>1289.588</v>
      </c>
      <c r="AD181" s="439">
        <f>SUM(AB65:AD65,Z65)</f>
        <v>1374.432</v>
      </c>
      <c r="AE181" s="439">
        <f>SUM(AB65:AE65)</f>
        <v>1471.873</v>
      </c>
      <c r="AF181" s="439"/>
      <c r="AG181" s="439">
        <f>SUM(AG65,AC65:AE65)</f>
        <v>1493.1659999999999</v>
      </c>
      <c r="AH181" s="439">
        <f>SUM(AG65:AH65,AD65:AE65)</f>
        <v>1541.3429999999998</v>
      </c>
      <c r="AI181" s="439">
        <f>SUM(AG65:AI65,AE65)</f>
        <v>1628.9539999999997</v>
      </c>
      <c r="AJ181" s="439">
        <f>SUM(AG65:AJ65)</f>
        <v>1724.0889999999999</v>
      </c>
      <c r="AK181" s="439"/>
      <c r="AL181" s="439">
        <f>SUM(AL65,AH65:AJ65)</f>
        <v>1812.1790000000001</v>
      </c>
      <c r="AM181" s="439">
        <f>SUM(AL65:AM65,AI65:AJ65)</f>
        <v>1880.1</v>
      </c>
      <c r="AN181" s="439">
        <f>SUM(AL65:AN65,AJ65)</f>
        <v>1906.761</v>
      </c>
      <c r="AO181" s="439">
        <f>SUM(AL65:AO65)</f>
        <v>1903.2570000000001</v>
      </c>
      <c r="AP181" s="439"/>
      <c r="AQ181" s="439">
        <f>SUM(AQ65,AM65:AO65)</f>
        <v>1860.0030000000002</v>
      </c>
      <c r="AR181" s="439">
        <f>SUM(AQ65:AR65,AN65:AO65)</f>
        <v>1791.0730000000001</v>
      </c>
      <c r="AS181" s="439">
        <f>SUM(AQ65:AS65,AO65)</f>
        <v>1725.875</v>
      </c>
      <c r="AT181" s="439">
        <f>SUM(AQ65:AT65)</f>
        <v>1677.79</v>
      </c>
      <c r="AU181" s="439"/>
      <c r="AV181" s="439">
        <f>SUM(AV65,AR65:AT65)</f>
        <v>1747.9769999999999</v>
      </c>
      <c r="AW181" s="439">
        <f>SUM(AV65:AW65,AS65:AT65)</f>
        <v>1857.58</v>
      </c>
      <c r="AX181" s="439">
        <f>SUM(AV65:AX65,AT65)</f>
        <v>1972.3979999999999</v>
      </c>
      <c r="AY181" s="439">
        <f>SUM(AV65:AY65)</f>
        <v>2078.7739999999999</v>
      </c>
      <c r="AZ181" s="439"/>
      <c r="BA181" s="439">
        <f>SUM(BA65,AW65:AY65)</f>
        <v>2119.5889999999999</v>
      </c>
      <c r="BB181" s="439">
        <f>SUM(BA65:BB65,AX65:AY65)</f>
        <v>2156.1210000000001</v>
      </c>
      <c r="BC181" s="439">
        <f>SUM(BA65:BC65,AY65)</f>
        <v>2191.4700000000003</v>
      </c>
      <c r="BD181" s="439">
        <f>SUM(BA65:BD65)</f>
        <v>2268.1800000000003</v>
      </c>
      <c r="BE181" s="439"/>
      <c r="BF181" s="439">
        <f>SUM(BF65,BB65:BD65)</f>
        <v>2299.895</v>
      </c>
      <c r="BG181" s="439">
        <f>SUM(BF65:BG65,BC65:BD65)</f>
        <v>2354.9120000000003</v>
      </c>
      <c r="BH181" s="439">
        <f>SUM(BF65:BH65,BD65)</f>
        <v>2386.806</v>
      </c>
      <c r="BI181" s="439">
        <f>SUM(BF65:BI65)</f>
        <v>2413.0640000000003</v>
      </c>
      <c r="BJ181" s="439"/>
      <c r="BK181" s="439">
        <f>SUM(BK65,BG65:BI65)</f>
        <v>2502.2159999999999</v>
      </c>
      <c r="BL181" s="439">
        <f>SUM(BK65:BL65,BH65:BI65)</f>
        <v>2541.826</v>
      </c>
      <c r="BM181" s="439">
        <f>SUM(BK65:BM65,BI65)</f>
        <v>2599.2920000000004</v>
      </c>
      <c r="BN181" s="439">
        <f>SUM(BK65:BN65)</f>
        <v>2652.4090000000001</v>
      </c>
      <c r="BO181" s="439"/>
      <c r="BP181" s="439">
        <f>SUM(BP65,BL65:BN65)</f>
        <v>2661.2350000000001</v>
      </c>
      <c r="BQ181" s="439">
        <f>SUM(BP65:BQ65,BM65:BN65)</f>
        <v>2695.92</v>
      </c>
      <c r="BR181" s="439">
        <f>SUM(BP65:BR65,BN65)</f>
        <v>2727.6039999999998</v>
      </c>
      <c r="BS181" s="439">
        <f>SUM(BP65:BS65)</f>
        <v>2731.9929999999999</v>
      </c>
      <c r="BT181" s="439"/>
      <c r="BU181" s="439">
        <f>SUM(BU65,BQ65:BS65)</f>
        <v>2734.4740000000002</v>
      </c>
      <c r="BV181" s="439">
        <f>SUM(BU65:BV65,BR65:BS65)</f>
        <v>2733.2669999999998</v>
      </c>
      <c r="BW181" s="439">
        <f>SUM(BU65:BW65,BS65)</f>
        <v>2745.636</v>
      </c>
      <c r="BX181" s="439">
        <f>SUM(BU65:BX65)</f>
        <v>2769.3909999999996</v>
      </c>
      <c r="BY181" s="439"/>
      <c r="BZ181" s="439">
        <f>SUM(BZ65,BV65:BX65)</f>
        <v>2870.49</v>
      </c>
      <c r="CA181" s="439">
        <f>SUM(BZ65:CA65,BW65:BX65)</f>
        <v>2937.6059999999998</v>
      </c>
      <c r="CB181" s="439">
        <f>SUM(BZ65:CB65,BX65)</f>
        <v>3032.6639999999998</v>
      </c>
      <c r="CC181" s="439">
        <f>SUM(BZ65:CC65)</f>
        <v>3133.3940000000002</v>
      </c>
      <c r="CD181" s="439"/>
      <c r="CE181" s="439">
        <f>SUM(CE65,CA65:CC65)</f>
        <v>3220.5460000000003</v>
      </c>
      <c r="CF181" s="439">
        <f>SUM(CE65:CF65,CB65:CC65)</f>
        <v>3368.1050000000005</v>
      </c>
      <c r="CG181" s="439">
        <f>SUM(CF65:CG65,CC65:CD65)</f>
        <v>5756.34</v>
      </c>
      <c r="CH181" s="439">
        <f>SUM(CG65:CH65,CD65:CE65)</f>
        <v>5851.1230000000005</v>
      </c>
      <c r="CI181" s="439"/>
      <c r="CJ181" s="439">
        <f>SUM(CJ65,CF65:CH65)</f>
        <v>3731.6610000000001</v>
      </c>
      <c r="CK181" s="440">
        <f>SUM(CJ65:CK65,CG65:CH65)</f>
        <v>3854.5575593166595</v>
      </c>
      <c r="CL181" s="440">
        <f>SUM(CJ65:CL65,CH65)</f>
        <v>4004.2969746847875</v>
      </c>
      <c r="CM181" s="440">
        <f>SUM(CJ65:CM65)</f>
        <v>4168.0741502631663</v>
      </c>
      <c r="CN181" s="440"/>
      <c r="CO181" s="440">
        <f>SUM(CO65,CK65:CM65)</f>
        <v>4334.5876524630203</v>
      </c>
      <c r="CP181" s="440">
        <f>SUM(CO65:CP65,CL65:CM65)</f>
        <v>4498.8655147251266</v>
      </c>
      <c r="CQ181" s="440">
        <f>SUM(CO65:CQ65,CM65)</f>
        <v>4668.7842342133317</v>
      </c>
      <c r="CR181" s="440">
        <f>SUM(CO65:CR65)</f>
        <v>4848.71433480206</v>
      </c>
      <c r="CS181" s="440"/>
      <c r="CT181" s="440">
        <f>SUM(CT65,CP65:CR65)</f>
        <v>5042.9702590179604</v>
      </c>
      <c r="CU181" s="440">
        <f>SUM(CT65:CU65,CQ65:CR65)</f>
        <v>5220.2767500265136</v>
      </c>
      <c r="CV181" s="440">
        <f>SUM(CT65:CV65,CR65)</f>
        <v>5391.9560934955407</v>
      </c>
      <c r="CW181" s="440">
        <f>SUM(CT65:CW65)</f>
        <v>5563.4981771437424</v>
      </c>
      <c r="CX181" s="440"/>
      <c r="DA181" s="201"/>
      <c r="DB181" s="200"/>
      <c r="DC181" s="200"/>
    </row>
    <row r="182" spans="1:113" hidden="1" outlineLevel="1">
      <c r="A182" s="90" t="s">
        <v>166</v>
      </c>
      <c r="B182" s="412" t="s">
        <v>313</v>
      </c>
      <c r="C182" s="442" t="s">
        <v>131</v>
      </c>
      <c r="D182" s="442" t="s">
        <v>131</v>
      </c>
      <c r="E182" s="442" t="s">
        <v>131</v>
      </c>
      <c r="F182" s="442" t="s">
        <v>131</v>
      </c>
      <c r="G182" s="439"/>
      <c r="H182" s="439">
        <f>SUM(H67,D67:F67)</f>
        <v>358.44999999999993</v>
      </c>
      <c r="I182" s="439">
        <f>SUM(H67:I67,E67:F67)</f>
        <v>333.37399999999997</v>
      </c>
      <c r="J182" s="439">
        <f>SUM(H67:J67,F67)</f>
        <v>309.97399999999999</v>
      </c>
      <c r="K182" s="439">
        <f>SUM(H67:K67)</f>
        <v>325.91700000000009</v>
      </c>
      <c r="L182" s="439"/>
      <c r="M182" s="439">
        <f>SUM(M67,I67:K67)</f>
        <v>333.74</v>
      </c>
      <c r="N182" s="439">
        <f>SUM(M67:N67,J67:K67)</f>
        <v>328.79699999999991</v>
      </c>
      <c r="O182" s="439">
        <f>SUM(M67:O67,K67)</f>
        <v>347.5619999999999</v>
      </c>
      <c r="P182" s="439">
        <f>SUM(M67:P67)</f>
        <v>378.90299999999985</v>
      </c>
      <c r="Q182" s="439"/>
      <c r="R182" s="439">
        <f>SUM(R67,N67:P67)</f>
        <v>461.65699999999987</v>
      </c>
      <c r="S182" s="439">
        <f>SUM(R67:S67,O67:P67)</f>
        <v>512.03499999999985</v>
      </c>
      <c r="T182" s="439">
        <f>SUM(R67:T67,P67)</f>
        <v>560.57299999999987</v>
      </c>
      <c r="U182" s="439">
        <f>SUM(R67:U67)</f>
        <v>591.79399999999987</v>
      </c>
      <c r="V182" s="439"/>
      <c r="W182" s="439">
        <f>SUM(W67,S67:U67)</f>
        <v>599.24399999999991</v>
      </c>
      <c r="X182" s="439">
        <f>SUM(W67:X67,T67:U67)</f>
        <v>639.60899999999992</v>
      </c>
      <c r="Y182" s="439">
        <f>SUM(W67:Y67,U67)</f>
        <v>682.88299999999981</v>
      </c>
      <c r="Z182" s="439">
        <f>SUM(W67:Z67)</f>
        <v>728.43400000000008</v>
      </c>
      <c r="AA182" s="439"/>
      <c r="AB182" s="439">
        <f>SUM(AB67,X67:Z67)</f>
        <v>810.12300000000016</v>
      </c>
      <c r="AC182" s="439">
        <f>SUM(AB67:AC67,Y67:Z67)</f>
        <v>870.98400000000026</v>
      </c>
      <c r="AD182" s="439">
        <f>SUM(AB67:AD67,Z67)</f>
        <v>894.64500000000021</v>
      </c>
      <c r="AE182" s="439">
        <f>SUM(AB67:AE67)</f>
        <v>956.68399999999997</v>
      </c>
      <c r="AF182" s="439"/>
      <c r="AG182" s="439">
        <f>SUM(AG67,AC67:AE67)</f>
        <v>926.80799999999999</v>
      </c>
      <c r="AH182" s="439">
        <f>SUM(AG67:AH67,AD67:AE67)</f>
        <v>965.79700000000003</v>
      </c>
      <c r="AI182" s="439">
        <f>SUM(AG67:AI67,AE67)</f>
        <v>1099.405</v>
      </c>
      <c r="AJ182" s="439">
        <f>SUM(AG67:AJ67)</f>
        <v>1207.6289999999999</v>
      </c>
      <c r="AK182" s="439"/>
      <c r="AL182" s="439">
        <f>SUM(AL67,AH67:AJ67)</f>
        <v>1344.0449999999998</v>
      </c>
      <c r="AM182" s="439">
        <f>SUM(AL67:AM67,AI67:AJ67)</f>
        <v>1411.6279999999999</v>
      </c>
      <c r="AN182" s="439">
        <f>SUM(AL67:AN67,AJ67)</f>
        <v>1422.6899999999998</v>
      </c>
      <c r="AO182" s="439">
        <f>SUM(AL67:AO67)</f>
        <v>1435.36</v>
      </c>
      <c r="AP182" s="439"/>
      <c r="AQ182" s="439">
        <f>SUM(AQ67,AM67:AO67)</f>
        <v>1371.3939999999998</v>
      </c>
      <c r="AR182" s="439">
        <f>SUM(AQ67:AR67,AN67:AO67)</f>
        <v>1259.453</v>
      </c>
      <c r="AS182" s="439">
        <f>SUM(AQ67:AS67,AO67)</f>
        <v>1144.623</v>
      </c>
      <c r="AT182" s="439">
        <f>SUM(AQ67:AT67)</f>
        <v>1034.9459999999999</v>
      </c>
      <c r="AU182" s="439"/>
      <c r="AV182" s="439">
        <f>SUM(AV67,AR67:AT67)</f>
        <v>1029.2570000000001</v>
      </c>
      <c r="AW182" s="439">
        <f>SUM(AV67:AW67,AS67:AT67)</f>
        <v>1126.027</v>
      </c>
      <c r="AX182" s="439">
        <f>SUM(AV67:AX67,AT67)</f>
        <v>1273.8779999999999</v>
      </c>
      <c r="AY182" s="439">
        <f>SUM(AV67:AY67)</f>
        <v>1392.61</v>
      </c>
      <c r="AZ182" s="439"/>
      <c r="BA182" s="439">
        <f>SUM(BA67,AW67:AY67)</f>
        <v>1503.434</v>
      </c>
      <c r="BB182" s="439">
        <f>SUM(BA67:BB67,AX67:AY67)</f>
        <v>1545.3979999999999</v>
      </c>
      <c r="BC182" s="439">
        <f>SUM(BA67:BC67,AY67)</f>
        <v>1526.56</v>
      </c>
      <c r="BD182" s="439">
        <f>SUM(BA67:BD67)</f>
        <v>1587.2049999999999</v>
      </c>
      <c r="BE182" s="439"/>
      <c r="BF182" s="439">
        <f>SUM(BF67,BB67:BD67)</f>
        <v>1573.6779999999997</v>
      </c>
      <c r="BG182" s="439">
        <f>SUM(BF67:BG67,BC67:BD67)</f>
        <v>1601.6049999999998</v>
      </c>
      <c r="BH182" s="439">
        <f>SUM(BF67:BH67,BD67)</f>
        <v>1627.5119999999999</v>
      </c>
      <c r="BI182" s="439">
        <f>SUM(BF67:BI67)</f>
        <v>1597.5219999999999</v>
      </c>
      <c r="BJ182" s="439"/>
      <c r="BK182" s="439">
        <f>SUM(BK67,BG67:BI67)</f>
        <v>1451.6039999999998</v>
      </c>
      <c r="BL182" s="439">
        <f>SUM(BK67:BL67,BH67:BI67)</f>
        <v>1294.5399999999995</v>
      </c>
      <c r="BM182" s="439">
        <f>SUM(BK67:BM67,BI67)</f>
        <v>1125.5579999999995</v>
      </c>
      <c r="BN182" s="439">
        <f>SUM(BK67:BN67)</f>
        <v>935.37399999999968</v>
      </c>
      <c r="BO182" s="439"/>
      <c r="BP182" s="439">
        <f>SUM(BP67,BL67:BN67)</f>
        <v>899.66999999999962</v>
      </c>
      <c r="BQ182" s="439">
        <f>SUM(BP67:BQ67,BM67:BN67)</f>
        <v>902.72099999999989</v>
      </c>
      <c r="BR182" s="439">
        <f>SUM(BP67:BR67,BN67)</f>
        <v>869.57900000000006</v>
      </c>
      <c r="BS182" s="439">
        <f>SUM(BP67:BS67)</f>
        <v>885.89200000000017</v>
      </c>
      <c r="BT182" s="439"/>
      <c r="BU182" s="439">
        <f>SUM(BU67,BQ67:BS67)</f>
        <v>976.08300000000031</v>
      </c>
      <c r="BV182" s="439">
        <f>SUM(BU67:BV67,BR67:BS67)</f>
        <v>1044.8710000000001</v>
      </c>
      <c r="BW182" s="439">
        <f>SUM(BU67:BW67,BS67)</f>
        <v>1215.6999999999998</v>
      </c>
      <c r="BX182" s="439">
        <f>SUM(BU67:BX67)</f>
        <v>1385.2029999999995</v>
      </c>
      <c r="BY182" s="439"/>
      <c r="BZ182" s="439">
        <f>SUM(BZ67,BV67:BX67)</f>
        <v>1525.3839999999998</v>
      </c>
      <c r="CA182" s="439">
        <f>SUM(BZ67:CA67,BW67:BX67)</f>
        <v>1669.816</v>
      </c>
      <c r="CB182" s="439">
        <f>SUM(BZ67:CB67,BX67)</f>
        <v>1800.2410000000002</v>
      </c>
      <c r="CC182" s="439">
        <f>SUM(BZ67:CC67)</f>
        <v>1979.7310000000004</v>
      </c>
      <c r="CD182" s="439"/>
      <c r="CE182" s="439">
        <f>SUM(CE67,CA67:CC67)</f>
        <v>2152.4250000000002</v>
      </c>
      <c r="CF182" s="439">
        <f>SUM(CE67:CF67,CB67:CC67)</f>
        <v>2348.0630000000001</v>
      </c>
      <c r="CG182" s="439">
        <f>SUM(CF67:CG67,CC67:CD67)</f>
        <v>3928.9300000000003</v>
      </c>
      <c r="CH182" s="439">
        <f>SUM(CG67:CH67,CD67:CE67)</f>
        <v>4094.3860000000004</v>
      </c>
      <c r="CI182" s="439"/>
      <c r="CJ182" s="439">
        <f>SUM(CJ67,CF67:CH67)</f>
        <v>3035.7889999999998</v>
      </c>
      <c r="CK182" s="440">
        <f>SUM(CJ67:CK67,CG67:CH67)</f>
        <v>3275.7075621879148</v>
      </c>
      <c r="CL182" s="440">
        <f>SUM(CJ67:CL67,CH67)</f>
        <v>3502.6068658862023</v>
      </c>
      <c r="CM182" s="440">
        <f>SUM(CJ67:CM67)</f>
        <v>3676.4802991187157</v>
      </c>
      <c r="CN182" s="440"/>
      <c r="CO182" s="440">
        <f>SUM(CO67,CK67:CM67)</f>
        <v>3867.6646207631511</v>
      </c>
      <c r="CP182" s="440">
        <f>SUM(CO67:CP67,CL67:CM67)</f>
        <v>4066.0036409867507</v>
      </c>
      <c r="CQ182" s="440">
        <f>SUM(CO67:CQ67,CM67)</f>
        <v>4274.7084782496804</v>
      </c>
      <c r="CR182" s="440">
        <f>SUM(CO67:CR67)</f>
        <v>4494.4346224131605</v>
      </c>
      <c r="CS182" s="440"/>
      <c r="CT182" s="440">
        <f>SUM(CT67,CP67:CR67)</f>
        <v>4704.1879273646091</v>
      </c>
      <c r="CU182" s="440">
        <f>SUM(CT67:CU67,CQ67:CR67)</f>
        <v>4926.8522664708498</v>
      </c>
      <c r="CV182" s="440">
        <f>SUM(CT67:CV67,CR67)</f>
        <v>5147.6547795670895</v>
      </c>
      <c r="CW182" s="440">
        <f>SUM(CT67:CW67)</f>
        <v>5370.1332882163806</v>
      </c>
      <c r="CX182" s="440"/>
      <c r="DA182" s="201"/>
      <c r="DB182" s="200"/>
      <c r="DC182" s="200"/>
    </row>
    <row r="183" spans="1:113" hidden="1" outlineLevel="1">
      <c r="A183" s="90" t="s">
        <v>59</v>
      </c>
      <c r="B183" s="412" t="s">
        <v>316</v>
      </c>
      <c r="C183" s="442" t="s">
        <v>131</v>
      </c>
      <c r="D183" s="442" t="s">
        <v>131</v>
      </c>
      <c r="E183" s="442" t="s">
        <v>131</v>
      </c>
      <c r="F183" s="442" t="s">
        <v>131</v>
      </c>
      <c r="G183" s="439"/>
      <c r="H183" s="335">
        <f>SUM(H67,D67:F67)/SUM(H24,D24:F24)</f>
        <v>0.30672221808638533</v>
      </c>
      <c r="I183" s="335">
        <f>SUM(H67:I67,E67:F67)/SUM(H24:I24,E24:F24)</f>
        <v>0.29194343176756893</v>
      </c>
      <c r="J183" s="335">
        <f>SUM(H67:J67,F67)/SUM(H24:J24,F24)</f>
        <v>0.27318331080116404</v>
      </c>
      <c r="K183" s="335">
        <f>SUM(H67:K67)/SUM(H24:K24)</f>
        <v>0.27980799939559825</v>
      </c>
      <c r="L183" s="439"/>
      <c r="M183" s="335">
        <f>SUM(M67,I67:K67)/SUM(M24,I24:K24)</f>
        <v>0.27956410984539121</v>
      </c>
      <c r="N183" s="335">
        <f>SUM(M67:N67,J67:K67)/SUM(M24:N24,J24:K24)</f>
        <v>0.27478200261747282</v>
      </c>
      <c r="O183" s="335">
        <f>SUM(M67:O67,K67)/SUM(M24:O24,K24)</f>
        <v>0.28238316500340821</v>
      </c>
      <c r="P183" s="335">
        <f>SUM(M67:P67)/SUM(M24:P24)</f>
        <v>0.29264591052010847</v>
      </c>
      <c r="Q183" s="439"/>
      <c r="R183" s="335">
        <f>SUM(R67,N67:P67)/SUM(R24,N24:P24)</f>
        <v>0.3248509114193936</v>
      </c>
      <c r="S183" s="335">
        <f>SUM(R67:S67,O67:P67)/SUM(R24:S24,O24:P24)</f>
        <v>0.33885501305693833</v>
      </c>
      <c r="T183" s="335">
        <f>SUM(R67:T67,P67)/SUM(R24:T24,P24)</f>
        <v>0.35130995541044008</v>
      </c>
      <c r="U183" s="335">
        <f>SUM(R67:U67)/SUM(R24:U24)</f>
        <v>0.3550946518651058</v>
      </c>
      <c r="V183" s="439"/>
      <c r="W183" s="335">
        <f>SUM(W67,S67:U67)/SUM(W24,S24:U24)</f>
        <v>0.34917275673559095</v>
      </c>
      <c r="X183" s="335">
        <f>SUM(W67:X67,T67:U67)/SUM(W24:X24,T24:U24)</f>
        <v>0.35491913440014733</v>
      </c>
      <c r="Y183" s="335">
        <f>SUM(W67:Y67,U67)/SUM(W24:Y24,U24)</f>
        <v>0.36218530092518919</v>
      </c>
      <c r="Z183" s="335">
        <f>SUM(W67:Z67)/SUM(W24:Z24)</f>
        <v>0.37045528171646441</v>
      </c>
      <c r="AA183" s="439"/>
      <c r="AB183" s="335">
        <f>SUM(AB67,X67:Z67)/SUM(AB24,X24:Z24)</f>
        <v>0.37699129375401658</v>
      </c>
      <c r="AC183" s="335">
        <f>SUM(AB67:AC67,Y67:Z67)/SUM(AB24:AC24,Y24:Z24)</f>
        <v>0.38061759945183077</v>
      </c>
      <c r="AD183" s="335">
        <f>SUM(AB67:AD67,Z67)/SUM(AB24:AD24,Z24)</f>
        <v>0.37222654000672362</v>
      </c>
      <c r="AE183" s="335">
        <f>SUM(AB67:AE67)/SUM(AB24:AE24)</f>
        <v>0.37148448724420452</v>
      </c>
      <c r="AF183" s="439"/>
      <c r="AG183" s="335">
        <f>SUM(AG67,AC67:AE67)/SUM(AG24,AC24:AE24)</f>
        <v>0.36073390110418335</v>
      </c>
      <c r="AH183" s="335">
        <f>SUM(AG67:AH67,AD67:AE67)/SUM(AG24:AH24,AD24:AE24)</f>
        <v>0.36045943978950129</v>
      </c>
      <c r="AI183" s="335">
        <f>SUM(AG67:AI67,AE67)/SUM(AG24:AI24,AE24)</f>
        <v>0.37537152017262776</v>
      </c>
      <c r="AJ183" s="335">
        <f>SUM(AG67:AJ67)/SUM(AG24:AJ24)</f>
        <v>0.38241751351618375</v>
      </c>
      <c r="AK183" s="439"/>
      <c r="AL183" s="335">
        <f>SUM(AL67,AH67:AJ67)/SUM(AL24,AH24:AJ24)</f>
        <v>0.39543307739902006</v>
      </c>
      <c r="AM183" s="335">
        <f>SUM(AL67:AM67,AI67:AJ67)/SUM(AL24:AM24,AI24:AJ24)</f>
        <v>0.39873929023780386</v>
      </c>
      <c r="AN183" s="335">
        <f>SUM(AL67:AN67,AJ67)/SUM(AL24:AN24,AJ24)</f>
        <v>0.39786632302319003</v>
      </c>
      <c r="AO183" s="335">
        <f>SUM(AL67:AO67)/SUM(AL24:AO24)</f>
        <v>0.40095097920633849</v>
      </c>
      <c r="AP183" s="439"/>
      <c r="AQ183" s="335">
        <f>SUM(AQ67,AM67:AO67)/SUM(AQ24,AM24:AO24)</f>
        <v>0.39455106314052968</v>
      </c>
      <c r="AR183" s="335">
        <f>SUM(AQ67:AR67,AN67:AO67)/SUM(AQ24:AR24,AN24:AO24)</f>
        <v>0.38239159879051049</v>
      </c>
      <c r="AS183" s="335">
        <f>SUM(AQ67:AS67,AO67)/SUM(AQ24:AS24,AO24)</f>
        <v>0.3687727357225864</v>
      </c>
      <c r="AT183" s="335">
        <f>SUM(AQ67:AT67)/SUM(AQ24:AT24)</f>
        <v>0.35132302935686194</v>
      </c>
      <c r="AU183" s="439"/>
      <c r="AV183" s="335">
        <f>SUM(AV67,AR67:AT67)/SUM(AV24,AR24:AT24)</f>
        <v>0.34102101178763378</v>
      </c>
      <c r="AW183" s="335">
        <f>SUM(AV67:AW67,AS67:AT67)/SUM(AV24:AW24,AS24:AT24)</f>
        <v>0.34577563507112641</v>
      </c>
      <c r="AX183" s="335">
        <f>SUM(AV67:AX67,AT67)/SUM(AV24:AX24,AT24)</f>
        <v>0.35890590270802686</v>
      </c>
      <c r="AY183" s="335">
        <f>SUM(AV67:AY67)/SUM(AV24:AY24)</f>
        <v>0.36647631578947365</v>
      </c>
      <c r="AZ183" s="439"/>
      <c r="BA183" s="335">
        <f>SUM(BA67,AW67:AY67)/SUM(BA24,AW24:AY24)</f>
        <v>0.37879358207067465</v>
      </c>
      <c r="BB183" s="335">
        <f>SUM(BA67:BB67,AX67:AY67)/SUM(BA24:BB24,AX24:AY24)</f>
        <v>0.381659854537372</v>
      </c>
      <c r="BC183" s="335">
        <f>SUM(BA67:BC67,AY67)/SUM(BA24:BC24,AY24)</f>
        <v>0.37488798620250324</v>
      </c>
      <c r="BD183" s="335">
        <f>SUM(BA67:BD67)/SUM(BA24:BD24)</f>
        <v>0.37644873724520656</v>
      </c>
      <c r="BE183" s="439"/>
      <c r="BF183" s="335">
        <f>SUM(BF67,BB67:BD67)/SUM(BF24,BB24:BD24)</f>
        <v>0.37169644468336976</v>
      </c>
      <c r="BG183" s="335">
        <f>SUM(BF67:BG67,BC67:BD67)/SUM(BF24:BG24,BC24:BD24)</f>
        <v>0.36945547471051032</v>
      </c>
      <c r="BH183" s="335">
        <f>SUM(BF67:BH67,BD67)/SUM(BF24:BH24,BD24)</f>
        <v>0.36968660347400628</v>
      </c>
      <c r="BI183" s="335">
        <f>SUM(BF67:BI67)/SUM(BF24:BI24)</f>
        <v>0.36277002150702697</v>
      </c>
      <c r="BJ183" s="439"/>
      <c r="BK183" s="335">
        <f>SUM(BK67,BG67:BI67)/SUM(BK24,BG24:BI24)</f>
        <v>0.33245402889841119</v>
      </c>
      <c r="BL183" s="335">
        <f>SUM(BK67:BL67,BH67:BI67)/SUM(BK24:BL24,BH24:BI24)</f>
        <v>0.30442358839534089</v>
      </c>
      <c r="BM183" s="335">
        <f>SUM(BK67:BM67,BI67)/SUM(BK24:BM24,BI24)</f>
        <v>0.27011432050490403</v>
      </c>
      <c r="BN183" s="335">
        <f>SUM(BK67:BN67)/SUM(BK24:BN24)</f>
        <v>0.23065811148045484</v>
      </c>
      <c r="BO183" s="439"/>
      <c r="BP183" s="335">
        <f>SUM(BP67,BL67:BN67)/SUM(BP24,BL24:BN24)</f>
        <v>0.22227866327921489</v>
      </c>
      <c r="BQ183" s="335">
        <f>SUM(BP67:BQ67,BM67:BN67)/SUM(BP24:BQ24,BM24:BN24)</f>
        <v>0.21989985252656055</v>
      </c>
      <c r="BR183" s="335">
        <f>SUM(BP67:BR67,BN67)/SUM(BP24:BR24,BN24)</f>
        <v>0.21129693184391646</v>
      </c>
      <c r="BS183" s="335">
        <f>SUM(BP67:BS67)/SUM(BP24:BS24)</f>
        <v>0.21361902936172933</v>
      </c>
      <c r="BT183" s="439"/>
      <c r="BU183" s="335">
        <f>SUM(BU67,BQ67:BS67)/SUM(BU24,BQ24:BS24)</f>
        <v>0.22933602059713465</v>
      </c>
      <c r="BV183" s="335">
        <f>SUM(BU67:BV67,BR67:BS67)/SUM(BU24:BV24,BR24:BS24)</f>
        <v>0.24019603335665862</v>
      </c>
      <c r="BW183" s="335">
        <f>SUM(BU67:BW67,BS67)/SUM(BU24:BW24,BS24)</f>
        <v>0.2664585906429352</v>
      </c>
      <c r="BX183" s="335">
        <f>SUM(BU67:BX67)/SUM(BU24:BX24)</f>
        <v>0.28885409709205123</v>
      </c>
      <c r="BY183" s="439"/>
      <c r="BZ183" s="335">
        <f>SUM(BZ67,BV67:BX67)/SUM(BZ24,BV24:BX24)</f>
        <v>0.30088457521354955</v>
      </c>
      <c r="CA183" s="335">
        <f>SUM(BZ67:CA67,BW67:BX67)/SUM(BZ24:CA24,BW24:BX24)</f>
        <v>0.31469054407133074</v>
      </c>
      <c r="CB183" s="335">
        <f>SUM(BZ67:CB67,BX67)/SUM(BZ24:CB24,BX24)</f>
        <v>0.32422666533391331</v>
      </c>
      <c r="CC183" s="335">
        <f>SUM(BZ67:CC67)/SUM(BZ24:CC24)</f>
        <v>0.33815947923196626</v>
      </c>
      <c r="CD183" s="439"/>
      <c r="CE183" s="335">
        <f>SUM(CE67,CA67:CC67)/SUM(CE24,CA24:CC24)</f>
        <v>0.34983188793417441</v>
      </c>
      <c r="CF183" s="335">
        <f>SUM(CE67:CF67,CB67:CC67)/SUM(CE24:CF24,CB24:CC24)</f>
        <v>0.35978901729055496</v>
      </c>
      <c r="CG183" s="335">
        <f>SUM(CF67:CG67,CC67:CD67)/SUM(CF24:CG24,CC24:CD24)</f>
        <v>0.35472101088170549</v>
      </c>
      <c r="CH183" s="335">
        <f>SUM(CG67:CH67,CD67:CE67)/SUM(CG24:CH24,CD24:CE24)</f>
        <v>0.35966951121972601</v>
      </c>
      <c r="CI183" s="439"/>
      <c r="CJ183" s="335">
        <f>SUM(CJ67,CF67:CH67)/SUM(CJ24,CF24:CH24)</f>
        <v>0.3943194568092766</v>
      </c>
      <c r="CK183" s="443">
        <f>SUM(CJ67:CK67,CG67:CH67)/SUM(CJ24:CK24,CG24:CH24)</f>
        <v>0.4043275896770348</v>
      </c>
      <c r="CL183" s="443">
        <f>SUM(CJ67:CL67,CH67)/SUM(CJ24:CL24,CH24)</f>
        <v>0.41100667131139507</v>
      </c>
      <c r="CM183" s="443">
        <f>SUM(CJ67:CM67)/SUM(CJ24:CM24)</f>
        <v>0.41330923687010229</v>
      </c>
      <c r="CN183" s="440"/>
      <c r="CO183" s="443">
        <f>SUM(CO67,CK67:CM67)/SUM(CO24,CK24:CM24)</f>
        <v>0.41656165416030266</v>
      </c>
      <c r="CP183" s="443">
        <f>SUM(CO67:CP67,CL67:CM67)/SUM(CO24:CP24,CL24:CM24)</f>
        <v>0.42001170612448063</v>
      </c>
      <c r="CQ183" s="443">
        <f>SUM(CO67:CQ67,CM67)/SUM(CO24:CQ24,CM24)</f>
        <v>0.42334966350276387</v>
      </c>
      <c r="CR183" s="443">
        <f>SUM(CO67:CR67)/SUM(CO24:CR24)</f>
        <v>0.42664993139142909</v>
      </c>
      <c r="CS183" s="440"/>
      <c r="CT183" s="443">
        <f>SUM(CT67,CP67:CR67)/SUM(CT24,CP24:CR24)</f>
        <v>0.42881330288904751</v>
      </c>
      <c r="CU183" s="443">
        <f>SUM(CT67:CU67,CQ67:CR67)/SUM(CT24:CU24,CQ24:CR24)</f>
        <v>0.43205928545554534</v>
      </c>
      <c r="CV183" s="443">
        <f>SUM(CT67:CV67,CR67)/SUM(CT24:CV24,CR24)</f>
        <v>0.43513111508473928</v>
      </c>
      <c r="CW183" s="443">
        <f>SUM(CT67:CW67)/SUM(CT24:CW24)</f>
        <v>0.43819578851298507</v>
      </c>
      <c r="CX183" s="440"/>
      <c r="DA183" s="201"/>
      <c r="DB183" s="200"/>
      <c r="DC183" s="200"/>
    </row>
    <row r="184" spans="1:113" hidden="1" outlineLevel="1">
      <c r="A184" s="90" t="s">
        <v>269</v>
      </c>
      <c r="B184" s="412" t="s">
        <v>317</v>
      </c>
      <c r="C184" s="442" t="s">
        <v>131</v>
      </c>
      <c r="D184" s="442" t="s">
        <v>131</v>
      </c>
      <c r="E184" s="442" t="s">
        <v>131</v>
      </c>
      <c r="F184" s="442" t="s">
        <v>131</v>
      </c>
      <c r="G184" s="439"/>
      <c r="H184" s="439">
        <f>SUM(H44,D44:F44)</f>
        <v>227.73200000000003</v>
      </c>
      <c r="I184" s="439">
        <f>SUM(H44:I44,E44:F44)</f>
        <v>230.99300000000002</v>
      </c>
      <c r="J184" s="439">
        <f>SUM(H44:J44,F44)</f>
        <v>236.55000000000004</v>
      </c>
      <c r="K184" s="439">
        <f>SUM(H44:K44)</f>
        <v>246.08199999999999</v>
      </c>
      <c r="L184" s="439"/>
      <c r="M184" s="439">
        <f>SUM(M44,I44:K44)</f>
        <v>252.74099999999999</v>
      </c>
      <c r="N184" s="439">
        <f>SUM(M44:N44,J44:K44)</f>
        <v>259</v>
      </c>
      <c r="O184" s="439">
        <f>SUM(M44:O44,K44)</f>
        <v>268.06799999999998</v>
      </c>
      <c r="P184" s="439">
        <f>SUM(M44:P44)</f>
        <v>276.98</v>
      </c>
      <c r="Q184" s="439"/>
      <c r="R184" s="439">
        <f>SUM(R44,N44:P44)</f>
        <v>286.09500000000003</v>
      </c>
      <c r="S184" s="439">
        <f>SUM(R44:S44,O44:P44)</f>
        <v>293.03100000000001</v>
      </c>
      <c r="T184" s="439">
        <f>SUM(R44:T44,P44)</f>
        <v>304.28899999999999</v>
      </c>
      <c r="U184" s="439">
        <f>SUM(R44:U44)</f>
        <v>311.29599999999999</v>
      </c>
      <c r="V184" s="439"/>
      <c r="W184" s="439">
        <f>SUM(W44,S44:U44)</f>
        <v>322.911</v>
      </c>
      <c r="X184" s="439">
        <f>SUM(W44:X44,T44:U44)</f>
        <v>336.26700000000005</v>
      </c>
      <c r="Y184" s="439">
        <f>SUM(W44:Y44,U44)</f>
        <v>350.78100000000006</v>
      </c>
      <c r="Z184" s="439">
        <f>SUM(W44:Z44)</f>
        <v>365.32799999999997</v>
      </c>
      <c r="AA184" s="439"/>
      <c r="AB184" s="439">
        <f>SUM(AB44,X44:Z44)</f>
        <v>392.47399999999993</v>
      </c>
      <c r="AC184" s="439">
        <f>SUM(AB44:AC44,Y44:Z44)</f>
        <v>418.08199999999994</v>
      </c>
      <c r="AD184" s="439">
        <f>SUM(AB44:AD44,Z44)</f>
        <v>438.85099999999989</v>
      </c>
      <c r="AE184" s="439">
        <f>SUM(AB44:AE44)</f>
        <v>468.55499999999995</v>
      </c>
      <c r="AF184" s="439"/>
      <c r="AG184" s="439">
        <f>SUM(AG44,AC44:AE44)</f>
        <v>477.94200000000001</v>
      </c>
      <c r="AH184" s="439">
        <f>SUM(AG44:AH44,AD44:AE44)</f>
        <v>493.59399999999994</v>
      </c>
      <c r="AI184" s="439">
        <f>SUM(AG44:AI44,AE44)</f>
        <v>522.65599999999995</v>
      </c>
      <c r="AJ184" s="439">
        <f>SUM(AG44:AJ44)</f>
        <v>543.25199999999995</v>
      </c>
      <c r="AK184" s="439"/>
      <c r="AL184" s="439">
        <f>SUM(AL44,AH44:AJ44)</f>
        <v>570.21800000000007</v>
      </c>
      <c r="AM184" s="439">
        <f>SUM(AL44:AM44,AI44:AJ44)</f>
        <v>590.34900000000005</v>
      </c>
      <c r="AN184" s="439">
        <f>SUM(AL44:AN44,AJ44)</f>
        <v>594.05600000000004</v>
      </c>
      <c r="AO184" s="439">
        <f>SUM(AL44:AO44)</f>
        <v>586.75700000000006</v>
      </c>
      <c r="AP184" s="439"/>
      <c r="AQ184" s="439">
        <f>SUM(AQ44,AM44:AO44)</f>
        <v>564.38900000000001</v>
      </c>
      <c r="AR184" s="439">
        <f>SUM(AQ44:AR44,AN44:AO44)</f>
        <v>535.45900000000006</v>
      </c>
      <c r="AS184" s="439">
        <f>SUM(AQ44:AS44,AO44)</f>
        <v>507.53700000000003</v>
      </c>
      <c r="AT184" s="439">
        <f>SUM(AQ44:AT44)</f>
        <v>490.64100000000002</v>
      </c>
      <c r="AU184" s="439"/>
      <c r="AV184" s="439">
        <f>SUM(AV44,AR44:AT44)</f>
        <v>509.56400000000002</v>
      </c>
      <c r="AW184" s="439">
        <f>SUM(AV44:AW44,AS44:AT44)</f>
        <v>532.41200000000003</v>
      </c>
      <c r="AX184" s="439">
        <f>SUM(AV44:AX44,AT44)</f>
        <v>562.30600000000004</v>
      </c>
      <c r="AY184" s="439">
        <f>SUM(AV44:AY44)</f>
        <v>591.23199999999997</v>
      </c>
      <c r="AZ184" s="439"/>
      <c r="BA184" s="439">
        <f>SUM(BA44,AW44:AY44)</f>
        <v>595.19200000000001</v>
      </c>
      <c r="BB184" s="439">
        <f>SUM(BA44:BB44,AX44:AY44)</f>
        <v>607.18500000000006</v>
      </c>
      <c r="BC184" s="439">
        <f>SUM(BA44:BC44,AY44)</f>
        <v>614.72800000000007</v>
      </c>
      <c r="BD184" s="439">
        <f>SUM(BA44:BD44)</f>
        <v>630.45300000000009</v>
      </c>
      <c r="BE184" s="439"/>
      <c r="BF184" s="439">
        <f>SUM(BF44,BB44:BD44)</f>
        <v>631.68100000000004</v>
      </c>
      <c r="BG184" s="439">
        <f>SUM(BF44:BG44,BC44:BD44)</f>
        <v>631.77300000000002</v>
      </c>
      <c r="BH184" s="439">
        <f>SUM(BF44:BH44,BD44)</f>
        <v>632.87900000000002</v>
      </c>
      <c r="BI184" s="439">
        <f>SUM(BF44:BI44)</f>
        <v>633.82299999999998</v>
      </c>
      <c r="BJ184" s="439"/>
      <c r="BK184" s="439">
        <f>SUM(BK44,BG44:BI44)</f>
        <v>659.53300000000002</v>
      </c>
      <c r="BL184" s="439">
        <f>SUM(BK44:BL44,BH44:BI44)</f>
        <v>677.52700000000004</v>
      </c>
      <c r="BM184" s="439">
        <f>SUM(BK44:BM44,BI44)</f>
        <v>696.88199999999995</v>
      </c>
      <c r="BN184" s="439">
        <f>SUM(BK44:BN44)</f>
        <v>704.23099999999999</v>
      </c>
      <c r="BO184" s="439"/>
      <c r="BP184" s="439">
        <f>SUM(BP44,BL44:BN44)</f>
        <v>704.91800000000001</v>
      </c>
      <c r="BQ184" s="439">
        <f>SUM(BP44:BQ44,BM44:BN44)</f>
        <v>709.01300000000003</v>
      </c>
      <c r="BR184" s="439">
        <f>SUM(BP44:BR44,BN44)</f>
        <v>712.36200000000008</v>
      </c>
      <c r="BS184" s="439">
        <f>SUM(BP44:BS44)</f>
        <v>721.05300000000011</v>
      </c>
      <c r="BT184" s="439"/>
      <c r="BU184" s="439">
        <f>SUM(BU44,BQ44:BS44)</f>
        <v>727.13699999999994</v>
      </c>
      <c r="BV184" s="439">
        <f>SUM(BU44:BV44,BR44:BS44)</f>
        <v>727.19200000000001</v>
      </c>
      <c r="BW184" s="439">
        <f>SUM(BU44:BW44,BS44)</f>
        <v>735.40300000000002</v>
      </c>
      <c r="BX184" s="439">
        <f>SUM(BU44:BX44)</f>
        <v>744.03</v>
      </c>
      <c r="BY184" s="439"/>
      <c r="BZ184" s="439">
        <f>SUM(BZ44,BV44:BX44)</f>
        <v>764.02499999999998</v>
      </c>
      <c r="CA184" s="439">
        <f>SUM(BZ44:CA44,BW44:BX44)</f>
        <v>787.36199999999997</v>
      </c>
      <c r="CB184" s="439">
        <f>SUM(BZ44:CB44,BX44)</f>
        <v>815.55200000000002</v>
      </c>
      <c r="CC184" s="439">
        <f>SUM(BZ44:CC44)</f>
        <v>851.48699999999997</v>
      </c>
      <c r="CD184" s="439"/>
      <c r="CE184" s="439">
        <f>SUM(CE44,CA44:CC44)</f>
        <v>893.56</v>
      </c>
      <c r="CF184" s="439">
        <f>SUM(CE44:CF44,CB44:CC44)</f>
        <v>942.67700000000002</v>
      </c>
      <c r="CG184" s="439">
        <f>SUM(CF44:CG44,CC44:CD44)</f>
        <v>1596.992</v>
      </c>
      <c r="CH184" s="439">
        <f>SUM(CG44:CH44,CD44:CE44)</f>
        <v>1638.2450000000001</v>
      </c>
      <c r="CI184" s="439"/>
      <c r="CJ184" s="439">
        <f>SUM(CJ44,CF44:CH44)</f>
        <v>1080.451</v>
      </c>
      <c r="CK184" s="440">
        <f>SUM(CJ44:CK44,CG44:CH44)</f>
        <v>1126.718435159122</v>
      </c>
      <c r="CL184" s="440">
        <f>SUM(CJ44:CL44,CH44)</f>
        <v>1176.4148173376216</v>
      </c>
      <c r="CM184" s="440">
        <f>SUM(CJ44:CM44)</f>
        <v>1227.1818034563235</v>
      </c>
      <c r="CN184" s="440"/>
      <c r="CO184" s="440">
        <f>SUM(CO44,CK44:CM44)</f>
        <v>1275.1136855856339</v>
      </c>
      <c r="CP184" s="440">
        <f>SUM(CO44:CP44,CL44:CM44)</f>
        <v>1322.8764257605681</v>
      </c>
      <c r="CQ184" s="440">
        <f>SUM(CO44:CQ44,CM44)</f>
        <v>1374.5580090380884</v>
      </c>
      <c r="CR184" s="440">
        <f>SUM(CO44:CR44)</f>
        <v>1426.9782673732839</v>
      </c>
      <c r="CS184" s="440"/>
      <c r="CT184" s="440">
        <f>SUM(CT44,CP44:CR44)</f>
        <v>1486.449739795192</v>
      </c>
      <c r="CU184" s="440">
        <f>SUM(CT44:CU44,CQ44:CR44)</f>
        <v>1537.1091609452767</v>
      </c>
      <c r="CV184" s="440">
        <f>SUM(CT44:CV44,CR44)</f>
        <v>1588.0966288349355</v>
      </c>
      <c r="CW184" s="440">
        <f>SUM(CT44:CW44)</f>
        <v>1636.7696180090006</v>
      </c>
      <c r="CX184" s="440"/>
      <c r="DA184" s="201"/>
      <c r="DB184" s="200"/>
      <c r="DC184" s="200"/>
    </row>
    <row r="185" spans="1:113" hidden="1" outlineLevel="1">
      <c r="A185" s="90" t="s">
        <v>190</v>
      </c>
      <c r="B185" s="412" t="s">
        <v>58</v>
      </c>
      <c r="C185" s="442" t="s">
        <v>131</v>
      </c>
      <c r="D185" s="442" t="s">
        <v>131</v>
      </c>
      <c r="E185" s="442" t="s">
        <v>131</v>
      </c>
      <c r="F185" s="442" t="s">
        <v>131</v>
      </c>
      <c r="G185" s="444"/>
      <c r="H185" s="445">
        <f>SUM(H87,D87:F87)</f>
        <v>0.52</v>
      </c>
      <c r="I185" s="445">
        <f>SUM(H87:I87,E87:F87)</f>
        <v>0.49</v>
      </c>
      <c r="J185" s="445">
        <f>SUM(H87:J87,F87)</f>
        <v>0.45999999999999996</v>
      </c>
      <c r="K185" s="445">
        <f>SUM(H87:K87)</f>
        <v>0.49</v>
      </c>
      <c r="L185" s="444"/>
      <c r="M185" s="445">
        <f>SUM(M87,I87:K87)</f>
        <v>0.5</v>
      </c>
      <c r="N185" s="445">
        <f>SUM(M87:N87,J87:K87)</f>
        <v>0.49</v>
      </c>
      <c r="O185" s="445">
        <f>SUM(M87:O87,K87)</f>
        <v>0.51</v>
      </c>
      <c r="P185" s="445">
        <f>SUM(M87:P87)</f>
        <v>0.55000000000000004</v>
      </c>
      <c r="Q185" s="444"/>
      <c r="R185" s="445">
        <f>SUM(R87,N87:P87)</f>
        <v>0.68</v>
      </c>
      <c r="S185" s="445">
        <f>SUM(R87:S87,O87:P87)</f>
        <v>0.77</v>
      </c>
      <c r="T185" s="445">
        <f>SUM(R87:T87,P87)</f>
        <v>0.85</v>
      </c>
      <c r="U185" s="445">
        <f>SUM(R87:U87)</f>
        <v>0.89999999999999991</v>
      </c>
      <c r="V185" s="444"/>
      <c r="W185" s="445">
        <f>SUM(W87,S87:U87)</f>
        <v>0.90999999999999992</v>
      </c>
      <c r="X185" s="445">
        <f>SUM(W87:X87,T87:U87)</f>
        <v>0.97</v>
      </c>
      <c r="Y185" s="445">
        <f>SUM(W87:Y87,U87)</f>
        <v>1.05</v>
      </c>
      <c r="Z185" s="445">
        <f>SUM(W87:Z87)</f>
        <v>1.1281360836105265</v>
      </c>
      <c r="AA185" s="444"/>
      <c r="AB185" s="445">
        <f>SUM(AB87,X87:Z87)</f>
        <v>1.1881360836105266</v>
      </c>
      <c r="AC185" s="445">
        <f>SUM(AB87:AC87,Y87:Z87)</f>
        <v>1.2181360836105264</v>
      </c>
      <c r="AD185" s="445">
        <f>SUM(AB87:AD87,Z87)</f>
        <v>1.2181360836105264</v>
      </c>
      <c r="AE185" s="445">
        <f>SUM(AB87:AE87)</f>
        <v>1.25</v>
      </c>
      <c r="AF185" s="444"/>
      <c r="AG185" s="445">
        <f>SUM(AG87,AC87:AE87)</f>
        <v>1.23</v>
      </c>
      <c r="AH185" s="445">
        <f>SUM(AG87:AH87,AD87:AE87)</f>
        <v>1.29</v>
      </c>
      <c r="AI185" s="445">
        <f>SUM(AG87:AI87,AE87)</f>
        <v>1.45</v>
      </c>
      <c r="AJ185" s="445">
        <f>SUM(AG87:AJ87)</f>
        <v>1.6099999999999999</v>
      </c>
      <c r="AK185" s="444"/>
      <c r="AL185" s="445">
        <f>SUM(AL87,AH87:AJ87)</f>
        <v>1.79</v>
      </c>
      <c r="AM185" s="445">
        <f>SUM(AL87:AM87,AI87:AJ87)</f>
        <v>1.9228577960676727</v>
      </c>
      <c r="AN185" s="445">
        <f>SUM(AL87:AN87,AJ87)</f>
        <v>1.9699953011248394</v>
      </c>
      <c r="AO185" s="445">
        <f>SUM(AL87:AO87)</f>
        <v>2.0799362242201704</v>
      </c>
      <c r="AP185" s="444"/>
      <c r="AQ185" s="445">
        <f>SUM(AQ87,AM87:AO87)</f>
        <v>2.0499362242201702</v>
      </c>
      <c r="AR185" s="445">
        <f>SUM(AQ87:AR87,AN87:AO87)</f>
        <v>1.8970784281524975</v>
      </c>
      <c r="AS185" s="445">
        <f>SUM(AQ87:AS87,AO87)</f>
        <v>1.7499409230953309</v>
      </c>
      <c r="AT185" s="445">
        <f>SUM(AQ87:AT87)</f>
        <v>1.54</v>
      </c>
      <c r="AU185" s="444"/>
      <c r="AV185" s="445">
        <f>SUM(AV87,AR87:AT87)</f>
        <v>1.4900000000000002</v>
      </c>
      <c r="AW185" s="445">
        <f>SUM(AV87:AW87,AS87:AT87)</f>
        <v>1.58</v>
      </c>
      <c r="AX185" s="445">
        <f>SUM(AV87:AX87,AT87)</f>
        <v>1.7727434969675775</v>
      </c>
      <c r="AY185" s="445">
        <f>SUM(AV87:AY87)</f>
        <v>1.940845008327684</v>
      </c>
      <c r="AZ185" s="444"/>
      <c r="BA185" s="445">
        <f>SUM(BA87,AW87:AY87)</f>
        <v>2.1208450083276835</v>
      </c>
      <c r="BB185" s="445">
        <f>SUM(BA87:BB87,AX87:AY87)</f>
        <v>2.2308450083276838</v>
      </c>
      <c r="BC185" s="445">
        <f>SUM(BA87:BC87,AY87)</f>
        <v>2.2381015113601066</v>
      </c>
      <c r="BD185" s="445">
        <f>SUM(BA87:BD87)</f>
        <v>2.35</v>
      </c>
      <c r="BE185" s="444"/>
      <c r="BF185" s="445">
        <f>SUM(BF87,BB87:BD87)</f>
        <v>2.3400000000000003</v>
      </c>
      <c r="BG185" s="445">
        <f>SUM(BF87:BG87,BC87:BD87)</f>
        <v>2.3875543353604178</v>
      </c>
      <c r="BH185" s="445">
        <f>SUM(BF87:BH87,BD87)</f>
        <v>2.4205836876256184</v>
      </c>
      <c r="BI185" s="445">
        <f>SUM(BF87:BI87)</f>
        <v>2.3635191616037203</v>
      </c>
      <c r="BJ185" s="444"/>
      <c r="BK185" s="445">
        <f>SUM(BK87,BG87:BI87)</f>
        <v>2.1435191616037201</v>
      </c>
      <c r="BL185" s="445">
        <f>SUM(BK87:BL87,BH87:BI87)</f>
        <v>1.9046016387074451</v>
      </c>
      <c r="BM185" s="445">
        <f>SUM(BK87:BM87,BI87)</f>
        <v>1.6413777717563853</v>
      </c>
      <c r="BN185" s="445">
        <f>SUM(BK87:BN87)</f>
        <v>1.3504297674993848</v>
      </c>
      <c r="BO185" s="444"/>
      <c r="BP185" s="445">
        <f>SUM(BP87,BL87:BN87)</f>
        <v>1.2980966833431113</v>
      </c>
      <c r="BQ185" s="445">
        <f>SUM(BP87:BQ87,BM87:BN87)</f>
        <v>1.3071207739611481</v>
      </c>
      <c r="BR185" s="445">
        <f>SUM(BP87:BR87,BN87)</f>
        <v>1.2642135834850474</v>
      </c>
      <c r="BS185" s="445">
        <f>SUM(BP87:BS87)</f>
        <v>1.2973914400713136</v>
      </c>
      <c r="BT185" s="444"/>
      <c r="BU185" s="445">
        <f>SUM(BU87,BQ87:BS87)</f>
        <v>1.4417609913248393</v>
      </c>
      <c r="BV185" s="445">
        <f>SUM(BU87:BV87,BR87:BS87)</f>
        <v>1.5526693411037191</v>
      </c>
      <c r="BW185" s="445">
        <f>SUM(BU87:BW87,BS87)</f>
        <v>1.8202908155857185</v>
      </c>
      <c r="BX185" s="445">
        <f>SUM(BU87:BX87)</f>
        <v>2.0813164096517802</v>
      </c>
      <c r="BY185" s="444"/>
      <c r="BZ185" s="445">
        <f>SUM(BZ87,BV87:BX87)</f>
        <v>2.2971142079734923</v>
      </c>
      <c r="CA185" s="445">
        <f>SUM(BZ87:CA87,BW87:BX87)</f>
        <v>2.5267979641767755</v>
      </c>
      <c r="CB185" s="445">
        <f>SUM(BZ87:CB87,BX87)</f>
        <v>2.7297949171485589</v>
      </c>
      <c r="CC185" s="445">
        <f>SUM(BZ87:CC87)</f>
        <v>3.0164904079360788</v>
      </c>
      <c r="CD185" s="444"/>
      <c r="CE185" s="445">
        <f>SUM(CE87,CA87:CC87)</f>
        <v>3.300450372852477</v>
      </c>
      <c r="CF185" s="445">
        <f>SUM(CE87:CF87,CB87:CC87)</f>
        <v>3.6122053182041349</v>
      </c>
      <c r="CG185" s="445">
        <f>SUM(CF87:CG87,CC87:CD87)</f>
        <v>6.0354474938519749</v>
      </c>
      <c r="CH185" s="445">
        <f>SUM(CG87:CH87,CD87:CE87)</f>
        <v>6.3147181141197262</v>
      </c>
      <c r="CI185" s="444"/>
      <c r="CJ185" s="445">
        <f>SUM(CJ87,CF87:CH87)</f>
        <v>4.924022854752689</v>
      </c>
      <c r="CK185" s="446">
        <f>SUM(CJ87:CK87,CG87:CH87)</f>
        <v>5.5086492537369951</v>
      </c>
      <c r="CL185" s="446">
        <f>SUM(CJ87:CL87,CH87)</f>
        <v>6.0693022015439348</v>
      </c>
      <c r="CM185" s="446">
        <f>SUM(CJ87:CM87)</f>
        <v>6.5564004771072</v>
      </c>
      <c r="CN185" s="447"/>
      <c r="CO185" s="446">
        <f>SUM(CO87,CK87:CM87)</f>
        <v>6.7440966571025829</v>
      </c>
      <c r="CP185" s="446">
        <f>SUM(CO87:CP87,CL87:CM87)</f>
        <v>6.9363071384972539</v>
      </c>
      <c r="CQ185" s="446">
        <f>SUM(CO87:CQ87,CM87)</f>
        <v>7.1416051431057426</v>
      </c>
      <c r="CR185" s="446">
        <f>SUM(CO87:CR87)</f>
        <v>7.3663197365994559</v>
      </c>
      <c r="CS185" s="447"/>
      <c r="CT185" s="446">
        <f>SUM(CT87,CP87:CR87)</f>
        <v>7.7256568989108043</v>
      </c>
      <c r="CU185" s="446">
        <f>SUM(CT87:CU87,CQ87:CR87)</f>
        <v>8.1073023177853667</v>
      </c>
      <c r="CV185" s="446">
        <f>SUM(CT87:CV87,CR87)</f>
        <v>8.4866798728589412</v>
      </c>
      <c r="CW185" s="446">
        <f>SUM(CT87:CW87)</f>
        <v>8.8698367396308164</v>
      </c>
      <c r="CX185" s="447"/>
      <c r="DA185" s="201"/>
      <c r="DB185" s="200"/>
      <c r="DC185" s="200"/>
    </row>
    <row r="186" spans="1:113" hidden="1" outlineLevel="1">
      <c r="A186" s="90" t="s">
        <v>270</v>
      </c>
      <c r="B186" s="412" t="s">
        <v>315</v>
      </c>
      <c r="C186" s="442" t="s">
        <v>131</v>
      </c>
      <c r="D186" s="442" t="s">
        <v>131</v>
      </c>
      <c r="E186" s="442" t="s">
        <v>131</v>
      </c>
      <c r="F186" s="442" t="s">
        <v>131</v>
      </c>
      <c r="G186" s="444"/>
      <c r="H186" s="439"/>
      <c r="I186" s="439"/>
      <c r="J186" s="439"/>
      <c r="K186" s="329">
        <f>SUM(CF!H87:K87)+SUM(CF!H89:K89)</f>
        <v>297.75300000000004</v>
      </c>
      <c r="L186" s="444"/>
      <c r="M186" s="329">
        <f>SUM(CF!I87:K87,CF!M87)+SUM(CF!I89:K89,CF!M89)</f>
        <v>337.27600000000001</v>
      </c>
      <c r="N186" s="329">
        <f>SUM(CF!J87:K87,CF!M87:N87)+SUM(CF!J89:K89,CF!M89:N89)</f>
        <v>352.16599999999988</v>
      </c>
      <c r="O186" s="329">
        <f>SUM(CF!K87,CF!M87:O87)+SUM(CF!K89,CF!M89:O89)</f>
        <v>402.26599999999985</v>
      </c>
      <c r="P186" s="329">
        <f>SUM(CF!M87:P87)+SUM(CF!M89:P89)</f>
        <v>393.68199999999985</v>
      </c>
      <c r="Q186" s="444"/>
      <c r="R186" s="329">
        <f>SUM(CF!N87:P87,CF!R87)+SUM(CF!N89:P89,CF!R89)</f>
        <v>492.84199999999976</v>
      </c>
      <c r="S186" s="329">
        <f>SUM(CF!O87:P87,CF!R87:S87)+SUM(CF!O89:P89,CF!R89:S89)</f>
        <v>510.95199999999988</v>
      </c>
      <c r="T186" s="329">
        <f>SUM(CF!P87,CF!R87:T87)+SUM(CF!P89,CF!R89:T89)</f>
        <v>567.57999999999981</v>
      </c>
      <c r="U186" s="329">
        <f>SUM(CF!R87:U87)+SUM(CF!R89:U89)</f>
        <v>620.51799999999992</v>
      </c>
      <c r="V186" s="444"/>
      <c r="W186" s="329">
        <f>SUM(CF!S87:U87,CF!W87)+SUM(CF!S89:U89,CF!W89)</f>
        <v>602.0859999999999</v>
      </c>
      <c r="X186" s="329">
        <f>SUM(CF!T87:U87,CF!W87:X87)+SUM(CF!T89:U89,CF!W89:X89)</f>
        <v>629.43499999999983</v>
      </c>
      <c r="Y186" s="329">
        <f>SUM(CF!U87,CF!W87:Y87)+SUM(CF!U89,CF!W89:Y89)</f>
        <v>638.95699999999977</v>
      </c>
      <c r="Z186" s="329">
        <f>SUM(CF!W87:Z87)+SUM(CF!W89:Z89)</f>
        <v>681.47799999999984</v>
      </c>
      <c r="AA186" s="444"/>
      <c r="AB186" s="329">
        <f>SUM(CF!X87:Z87,CF!AB87)+SUM(CF!X89:Z89,CF!AB89)</f>
        <v>695.06</v>
      </c>
      <c r="AC186" s="329">
        <f>SUM(CF!Y87:Z87,CF!AB87:AC87)+SUM(CF!Y89:Z89,CF!AB89:AC89)</f>
        <v>754.78500000000008</v>
      </c>
      <c r="AD186" s="329">
        <f>SUM(CF!Z87,CF!AB87:AD87)+SUM(CF!Z89,CF!AB89:AD89)</f>
        <v>760.57300000000021</v>
      </c>
      <c r="AE186" s="329">
        <f>SUM(CF!AB87:AE87)+SUM(CF!AB89:AE89)</f>
        <v>762.22400000000005</v>
      </c>
      <c r="AF186" s="444"/>
      <c r="AG186" s="329">
        <f>SUM(CF!AC87:AE87,CF!AG87)+SUM(CF!AC89:AE89,CF!AG89)</f>
        <v>818.27500000000009</v>
      </c>
      <c r="AH186" s="329">
        <f>SUM(CF!AD87:AE87,CF!AG87:AH87)+SUM(CF!AD89:AE89,CF!AG89:AH89)</f>
        <v>918.60699999999997</v>
      </c>
      <c r="AI186" s="329">
        <f>SUM(CF!AE87,CF!AG87:AI87)+SUM(CF!AE89,CF!AG89:AI89)</f>
        <v>1150.278</v>
      </c>
      <c r="AJ186" s="329">
        <f>SUM(CF!AG87:AJ87)+SUM(CF!AG89:AJ89)</f>
        <v>1307.0389999999998</v>
      </c>
      <c r="AK186" s="444"/>
      <c r="AL186" s="329">
        <f>SUM(CF!AH87:AJ87,CF!AL87)+SUM(CF!AH89:AJ89,CF!AL89)</f>
        <v>1457.8529999999998</v>
      </c>
      <c r="AM186" s="329">
        <f>SUM(CF!AI87:AJ87,CF!AL87:AM87)+SUM(CF!AI89:AJ89,CF!AL89:AM89)</f>
        <v>1445.3259999999996</v>
      </c>
      <c r="AN186" s="329">
        <f>SUM(CF!AJ87,CF!AL87:AN87)+SUM(CF!AJ89,CF!AL89:AN89)</f>
        <v>1224.2769999999996</v>
      </c>
      <c r="AO186" s="329">
        <f>SUM(CF!AL87:AO87)+SUM(CF!AL89:AO89)</f>
        <v>1168.8899999999999</v>
      </c>
      <c r="AP186" s="444"/>
      <c r="AQ186" s="329">
        <f>SUM(CF!AM87:AO87,CF!AQ87)+SUM(CF!AM89:AO89,CF!AQ89)</f>
        <v>1145.6849999999997</v>
      </c>
      <c r="AR186" s="329">
        <f>SUM(CF!AN87:AO87,CF!AQ87:AR87)+SUM(CF!AN89:AO89,CF!AQ89:AR89)</f>
        <v>1087.5139999999999</v>
      </c>
      <c r="AS186" s="329">
        <f>SUM(CF!AO87,CF!AQ87:AS87)+SUM(CF!AO89,CF!AQ89:AS89)</f>
        <v>1093.8029999999999</v>
      </c>
      <c r="AT186" s="329">
        <f>SUM(CF!AQ87:AT87)+SUM(CF!AQ89:AT89)</f>
        <v>998.18000000000018</v>
      </c>
      <c r="AU186" s="444"/>
      <c r="AV186" s="329">
        <f>SUM(CF!AR87:AT87,CF!AV87)+SUM(CF!AR89:AT89,CF!AV89)</f>
        <v>925.19500000000016</v>
      </c>
      <c r="AW186" s="329">
        <f>SUM(CF!AS87:AT87,CF!AV87:AW87)+SUM(CF!AS89:AT89,CF!AV89:AW89)</f>
        <v>920.04000000000019</v>
      </c>
      <c r="AX186" s="329">
        <f>SUM(CF!AT87,CF!AV87:AX87)+SUM(CF!AT89,CF!AV89:AX89)</f>
        <v>1042.9439999999997</v>
      </c>
      <c r="AY186" s="329">
        <f>SUM(CF!AV87:AY87)+SUM(CF!AV89:AY89)</f>
        <v>1084.8419999999996</v>
      </c>
      <c r="AZ186" s="444"/>
      <c r="BA186" s="329">
        <f>SUM(CF!AW87:AY87,CF!CZ87)+SUM(CF!AW89:AY89,CF!CZ89)</f>
        <v>807.99999999999977</v>
      </c>
      <c r="BB186" s="329">
        <f>SUM(CF!AX87:AY87,CF!CZ87:DA87)+SUM(CF!AX89:AY89,CF!CZ89:DA89)</f>
        <v>561.93799999999965</v>
      </c>
      <c r="BC186" s="329">
        <f>SUM(CF!AY87,CF!CZ87:DB87)+SUM(CF!AY89,CF!CZ89:DB89)</f>
        <v>260.78399999999976</v>
      </c>
      <c r="BD186" s="329">
        <f>SUM(CF!CZ87:DC87)+SUM(CF!CZ89:DC89)</f>
        <v>0</v>
      </c>
      <c r="BE186" s="444"/>
      <c r="BF186" s="329">
        <f>SUM(CF!BB87:BD87,CF!DE87)+SUM(CF!BB89:BD89,CF!DE89)</f>
        <v>1120.7269999999999</v>
      </c>
      <c r="BG186" s="329">
        <f>SUM(CF!BC87:BD87,CF!DE87:DF87)+SUM(CF!BC89:BD89,CF!DE89:DF89)</f>
        <v>730.26800000000003</v>
      </c>
      <c r="BH186" s="329">
        <f>SUM(CF!BD87,CF!DE87:DG87)+SUM(CF!BD89,CF!DE89:DG89)</f>
        <v>469.25499999999994</v>
      </c>
      <c r="BI186" s="329">
        <f>SUM(CF!DE87:DH87)+SUM(CF!DE89:DH89)</f>
        <v>0</v>
      </c>
      <c r="BJ186" s="444"/>
      <c r="BK186" s="329">
        <f>SUM(CF!BG87:BI87,CF!DJ87)+SUM(CF!BG89:BI89,CF!DJ89)</f>
        <v>965.22900000000004</v>
      </c>
      <c r="BL186" s="329">
        <f>SUM(CF!BH87:BI87,CF!DJ87:DK87)+SUM(CF!BH89:BI89,CF!DJ89:DK89)</f>
        <v>577.77800000000002</v>
      </c>
      <c r="BM186" s="329">
        <f>SUM(CF!BI87,CF!DJ87:DL87)+SUM(CF!BI89,CF!DJ89:DL89)</f>
        <v>391.87</v>
      </c>
      <c r="BN186" s="329">
        <f>SUM(CF!DJ87:DM87)+SUM(CF!DJ89:DM89)</f>
        <v>0</v>
      </c>
      <c r="BO186" s="444"/>
      <c r="BP186" s="329">
        <f>SUM(CF!BL87:BN87,CF!DO87)+SUM(CF!BL89:BN89,CF!DO89)</f>
        <v>701.48699999999997</v>
      </c>
      <c r="BQ186" s="329">
        <f>SUM(CF!BM87:BN87,CF!DO87:DP87)+SUM(CF!BM89:BN89,CF!DO89:DP89)</f>
        <v>448.58799999999997</v>
      </c>
      <c r="BR186" s="329">
        <f>SUM(CF!BN87,CF!DO87:DQ87)+SUM(CF!BN89,CF!DO89:DQ89)</f>
        <v>279.86099999999999</v>
      </c>
      <c r="BS186" s="329">
        <f>SUM(CF!DO87:DR87)+SUM(CF!DO89:DR89)</f>
        <v>0</v>
      </c>
      <c r="BT186" s="444"/>
      <c r="BU186" s="329">
        <f>SUM(CF!BQ87:BS87,CF!DT87)+SUM(CF!BQ89:BS89,CF!DT89)</f>
        <v>916.87</v>
      </c>
      <c r="BV186" s="329">
        <f>SUM(CF!BR87:BS87,CF!DT87:DU87)+SUM(CF!BR89:BS89,CF!DT89:DU89)</f>
        <v>576.53200000000004</v>
      </c>
      <c r="BW186" s="329">
        <f>SUM(CF!BS87,CF!DT87:DV87)+SUM(CF!BS89,CF!DT89:DV89)</f>
        <v>362.97800000000001</v>
      </c>
      <c r="BX186" s="329">
        <f>SUM(CF!DT87:DW87)+SUM(CF!DT89:DW89)</f>
        <v>0</v>
      </c>
      <c r="BY186" s="444"/>
      <c r="BZ186" s="329">
        <f>SUM(CF!BV87:BX87,CF!DY87)+SUM(CF!BV89:BX89,CF!DY89)</f>
        <v>1137.097</v>
      </c>
      <c r="CA186" s="329">
        <f>SUM(CF!BW87:BX87,CF!DY87:DZ87)+SUM(CF!BW89:BX89,CF!DY89:DZ89)</f>
        <v>701.34300000000019</v>
      </c>
      <c r="CB186" s="329">
        <f>SUM(CF!BX87,CF!DY87:EA87)+SUM(CF!BX89,CF!DY89:EA89)</f>
        <v>389.83900000000006</v>
      </c>
      <c r="CC186" s="329">
        <f>SUM(CF!DY87:EB87)+SUM(CF!DY89:EB89)</f>
        <v>0</v>
      </c>
      <c r="CD186" s="444"/>
      <c r="CE186" s="329">
        <f>SUM(CF!CA87:CC87,CF!ED87)+SUM(CF!CA89:CC89,CF!ED89)</f>
        <v>1544.596</v>
      </c>
      <c r="CF186" s="329">
        <f>SUM(CF!CB87:CC87,CF!ED87:EE87)+SUM(CF!CB89:CC89,CF!ED89:EE89)</f>
        <v>1109.6399999999999</v>
      </c>
      <c r="CG186" s="329">
        <f>SUM(CF!CC87:CD87,CF!EE87:EF87)+SUM(CF!CC89:CD89,CF!EE89:EF89)</f>
        <v>2642.8910000000001</v>
      </c>
      <c r="CH186" s="329">
        <f>SUM(CF!CD87:CE87,CF!EF87:EG87)+SUM(CF!CD89:CE89,CF!EF89:EG89)</f>
        <v>2695.39</v>
      </c>
      <c r="CI186" s="444"/>
      <c r="CJ186" s="329">
        <f>SUM(CF!CF87:CH87,CF!EI87)+SUM(CF!CF89:CH89,CF!EI89)</f>
        <v>2035.2640000000001</v>
      </c>
      <c r="CK186" s="448">
        <f>SUM(CF!CG87:CH87,CF!EI87:EJ87)+SUM(CF!CG89:CH89,CF!EI89:EJ89)</f>
        <v>1445.7339999999999</v>
      </c>
      <c r="CL186" s="448">
        <f>SUM(CF!CH87,CF!EI87:EK87)+SUM(CF!CH89,CF!EI89:EK89)</f>
        <v>795.53600000000006</v>
      </c>
      <c r="CM186" s="448">
        <f>SUM(CF!EI87:EL87)+SUM(CF!EI89:EL89)</f>
        <v>0</v>
      </c>
      <c r="CN186" s="447"/>
      <c r="CO186" s="448">
        <f>SUM(CF!CK87:CM87,CF!EN87)+SUM(CF!CK89:CM89,CF!EN89)</f>
        <v>2784.9690994418897</v>
      </c>
      <c r="CP186" s="448">
        <f>SUM(CF!CL87:CM87,CF!EN87:EO87)+SUM(CF!CL89:CM89,CF!EN89:EO89)</f>
        <v>1985.2227699210491</v>
      </c>
      <c r="CQ186" s="448">
        <f>SUM(CF!CM87,CF!EN87:EP87)+SUM(CF!CM89,CF!EN89:EP89)</f>
        <v>1134.2820660858208</v>
      </c>
      <c r="CR186" s="448">
        <f>SUM(CF!EN87:EQ87)+SUM(CF!EN89:EQ89)</f>
        <v>0</v>
      </c>
      <c r="CS186" s="447"/>
      <c r="CT186" s="448">
        <f>SUM(CF!CP87:CR87,CF!ES87)+SUM(CF!CP89:CR89,CF!ES89)</f>
        <v>3196.7507865857269</v>
      </c>
      <c r="CU186" s="448">
        <f>SUM(CF!CQ87:CR87,CF!ES87:ET87)+SUM(CF!CQ89:CR89,CF!ES89:ET89)</f>
        <v>2275.3360266541008</v>
      </c>
      <c r="CV186" s="448">
        <f>SUM(CF!CR87,CF!ES87:EU87)+SUM(CF!CR89,CF!ES89:EU89)</f>
        <v>1300.137917661564</v>
      </c>
      <c r="CW186" s="448">
        <f>SUM(CF!ES87:EV87)+SUM(CF!ES89:EV89)</f>
        <v>0</v>
      </c>
      <c r="CX186" s="447"/>
      <c r="DA186" s="201"/>
      <c r="DB186" s="200"/>
      <c r="DC186" s="200"/>
    </row>
    <row r="187" spans="1:113" ht="4.5" hidden="1" customHeight="1" outlineLevel="1">
      <c r="A187" s="114"/>
      <c r="B187" s="293"/>
      <c r="C187" s="435"/>
      <c r="D187" s="435"/>
      <c r="E187" s="435"/>
      <c r="F187" s="435"/>
      <c r="G187" s="435"/>
      <c r="H187" s="435"/>
      <c r="I187" s="435"/>
      <c r="J187" s="435"/>
      <c r="K187" s="435"/>
      <c r="L187" s="435"/>
      <c r="M187" s="435"/>
      <c r="N187" s="435"/>
      <c r="O187" s="435"/>
      <c r="P187" s="435"/>
      <c r="Q187" s="435"/>
      <c r="R187" s="435"/>
      <c r="S187" s="435"/>
      <c r="T187" s="435"/>
      <c r="U187" s="435"/>
      <c r="V187" s="435"/>
      <c r="W187" s="435"/>
      <c r="X187" s="435"/>
      <c r="Y187" s="435"/>
      <c r="Z187" s="435"/>
      <c r="AA187" s="121"/>
      <c r="AB187" s="121"/>
      <c r="AC187" s="121"/>
      <c r="AD187" s="121"/>
      <c r="AE187" s="121"/>
      <c r="AF187" s="121"/>
      <c r="AG187" s="121"/>
      <c r="AH187" s="121"/>
      <c r="AI187" s="121"/>
      <c r="AJ187" s="121"/>
      <c r="AK187" s="121"/>
      <c r="AL187" s="121"/>
      <c r="AM187" s="121"/>
      <c r="AN187" s="121"/>
      <c r="AO187" s="121"/>
      <c r="AP187" s="121"/>
      <c r="AQ187" s="121"/>
      <c r="AR187" s="123"/>
      <c r="AS187" s="121"/>
      <c r="AT187" s="121"/>
      <c r="AU187" s="121"/>
      <c r="AV187" s="121"/>
      <c r="AW187" s="123"/>
      <c r="AX187" s="123"/>
      <c r="AY187" s="121"/>
      <c r="AZ187" s="121"/>
      <c r="BA187" s="121"/>
      <c r="BB187" s="123"/>
      <c r="BC187" s="123"/>
      <c r="BD187" s="121"/>
      <c r="BE187" s="121"/>
      <c r="BF187" s="121"/>
      <c r="BG187" s="123"/>
      <c r="BH187" s="123"/>
      <c r="BI187" s="123"/>
      <c r="BJ187" s="121"/>
      <c r="BK187" s="121"/>
      <c r="BL187" s="123"/>
      <c r="BM187" s="123"/>
      <c r="BN187" s="121"/>
      <c r="BO187" s="121"/>
      <c r="BP187" s="121"/>
      <c r="BQ187" s="123"/>
      <c r="BR187" s="123"/>
      <c r="BS187" s="121"/>
      <c r="BT187" s="121"/>
      <c r="BU187" s="121"/>
      <c r="BV187" s="123"/>
      <c r="BW187" s="123"/>
      <c r="BX187" s="121"/>
      <c r="BY187" s="121"/>
      <c r="BZ187" s="121"/>
      <c r="CA187" s="121"/>
      <c r="CB187" s="121"/>
      <c r="CC187" s="121"/>
      <c r="CD187" s="121"/>
      <c r="CE187" s="121"/>
      <c r="CF187" s="121"/>
      <c r="CG187" s="121"/>
      <c r="CH187" s="121"/>
      <c r="CI187" s="121"/>
      <c r="CJ187" s="121"/>
      <c r="CK187" s="123"/>
      <c r="CL187" s="123"/>
      <c r="CM187" s="123"/>
      <c r="CN187" s="123"/>
      <c r="CO187" s="123"/>
      <c r="CP187" s="123"/>
      <c r="CQ187" s="123"/>
      <c r="CR187" s="123"/>
      <c r="CS187" s="123"/>
      <c r="CT187" s="123"/>
      <c r="CU187" s="123"/>
      <c r="CV187" s="123"/>
      <c r="CW187" s="123"/>
      <c r="CX187" s="123"/>
      <c r="DA187" s="126"/>
      <c r="DB187" s="117"/>
      <c r="DC187" s="117"/>
    </row>
    <row r="188" spans="1:113" hidden="1" outlineLevel="1">
      <c r="A188" s="90" t="s">
        <v>465</v>
      </c>
      <c r="B188" s="412"/>
      <c r="C188" s="439">
        <f t="shared" ref="C188:AH188" si="370">C67*(1-C82)</f>
        <v>79.75401502409143</v>
      </c>
      <c r="D188" s="439">
        <f t="shared" si="370"/>
        <v>81.391561469170313</v>
      </c>
      <c r="E188" s="439">
        <f t="shared" si="370"/>
        <v>64.595510193398297</v>
      </c>
      <c r="F188" s="439">
        <f t="shared" si="370"/>
        <v>45.475925490789443</v>
      </c>
      <c r="G188" s="439">
        <f t="shared" si="370"/>
        <v>271.21702101999341</v>
      </c>
      <c r="H188" s="440">
        <f t="shared" si="370"/>
        <v>49.426249516839746</v>
      </c>
      <c r="I188" s="440">
        <f t="shared" si="370"/>
        <v>65.55518675798632</v>
      </c>
      <c r="J188" s="440">
        <f t="shared" si="370"/>
        <v>49.647139322376631</v>
      </c>
      <c r="K188" s="440">
        <f t="shared" si="370"/>
        <v>56.995444202673305</v>
      </c>
      <c r="L188" s="440">
        <f t="shared" si="370"/>
        <v>221.62401908652333</v>
      </c>
      <c r="M188" s="440">
        <f t="shared" si="370"/>
        <v>51.873834618629466</v>
      </c>
      <c r="N188" s="440">
        <f t="shared" si="370"/>
        <v>61.628210999937025</v>
      </c>
      <c r="O188" s="440">
        <f t="shared" si="370"/>
        <v>62.083992653112929</v>
      </c>
      <c r="P188" s="440">
        <f t="shared" si="370"/>
        <v>80.837641475384913</v>
      </c>
      <c r="Q188" s="440">
        <f t="shared" si="370"/>
        <v>256.38116250830518</v>
      </c>
      <c r="R188" s="440">
        <f t="shared" si="370"/>
        <v>120.81430939543556</v>
      </c>
      <c r="S188" s="440">
        <f t="shared" si="370"/>
        <v>104.96101441830082</v>
      </c>
      <c r="T188" s="440">
        <f t="shared" si="370"/>
        <v>103.83316653231174</v>
      </c>
      <c r="U188" s="440">
        <f t="shared" si="370"/>
        <v>108.3201853346021</v>
      </c>
      <c r="V188" s="440">
        <f t="shared" si="370"/>
        <v>437.92867302054469</v>
      </c>
      <c r="W188" s="440">
        <f t="shared" si="370"/>
        <v>128.03376069171634</v>
      </c>
      <c r="X188" s="440">
        <f t="shared" si="370"/>
        <v>136.65323910156471</v>
      </c>
      <c r="Y188" s="440">
        <f t="shared" si="370"/>
        <v>137.16367436023017</v>
      </c>
      <c r="Z188" s="440">
        <f t="shared" si="370"/>
        <v>143.76550813219217</v>
      </c>
      <c r="AA188" s="440">
        <f t="shared" si="370"/>
        <v>545.60877200333221</v>
      </c>
      <c r="AB188" s="440">
        <f t="shared" si="370"/>
        <v>186.89748493522882</v>
      </c>
      <c r="AC188" s="440">
        <f t="shared" si="370"/>
        <v>179.13930412772285</v>
      </c>
      <c r="AD188" s="440">
        <f t="shared" si="370"/>
        <v>157.72062678784593</v>
      </c>
      <c r="AE188" s="440">
        <f t="shared" si="370"/>
        <v>182.85812557430617</v>
      </c>
      <c r="AF188" s="440">
        <f t="shared" si="370"/>
        <v>706.65946095057086</v>
      </c>
      <c r="AG188" s="440">
        <f t="shared" si="370"/>
        <v>165.59964090224469</v>
      </c>
      <c r="AH188" s="440">
        <f t="shared" si="370"/>
        <v>208.04741177792394</v>
      </c>
      <c r="AI188" s="440">
        <f t="shared" ref="AI188:BN188" si="371">AI67*(1-AI82)</f>
        <v>252.57497980309245</v>
      </c>
      <c r="AJ188" s="440">
        <f t="shared" si="371"/>
        <v>276.7877313766416</v>
      </c>
      <c r="AK188" s="440">
        <f t="shared" si="371"/>
        <v>902.85455549802339</v>
      </c>
      <c r="AL188" s="440">
        <f t="shared" si="371"/>
        <v>264.53920975803373</v>
      </c>
      <c r="AM188" s="440">
        <f t="shared" si="371"/>
        <v>266.39725808262961</v>
      </c>
      <c r="AN188" s="440">
        <f t="shared" si="371"/>
        <v>263.89585672129226</v>
      </c>
      <c r="AO188" s="440">
        <f t="shared" si="371"/>
        <v>314.95990437765096</v>
      </c>
      <c r="AP188" s="440">
        <f t="shared" si="371"/>
        <v>1109.6029314134366</v>
      </c>
      <c r="AQ188" s="440">
        <f t="shared" si="371"/>
        <v>227.13114334221225</v>
      </c>
      <c r="AR188" s="440">
        <f t="shared" si="371"/>
        <v>181.83776429439638</v>
      </c>
      <c r="AS188" s="440">
        <f t="shared" si="371"/>
        <v>181.3726562253388</v>
      </c>
      <c r="AT188" s="440">
        <f t="shared" si="371"/>
        <v>202.86761378284578</v>
      </c>
      <c r="AU188" s="440">
        <f t="shared" si="371"/>
        <v>793.23118014260717</v>
      </c>
      <c r="AV188" s="440">
        <f t="shared" si="371"/>
        <v>216.96449999999999</v>
      </c>
      <c r="AW188" s="440">
        <f t="shared" si="371"/>
        <v>250.84949999999992</v>
      </c>
      <c r="AX188" s="440">
        <f t="shared" si="371"/>
        <v>290.58594100257346</v>
      </c>
      <c r="AY188" s="440">
        <f t="shared" si="371"/>
        <v>289.89732742899724</v>
      </c>
      <c r="AZ188" s="439">
        <f t="shared" si="371"/>
        <v>1048.3484122610741</v>
      </c>
      <c r="BA188" s="439">
        <f t="shared" si="371"/>
        <v>312.08586279962242</v>
      </c>
      <c r="BB188" s="439">
        <f t="shared" si="371"/>
        <v>293.66793136118417</v>
      </c>
      <c r="BC188" s="439">
        <f t="shared" si="371"/>
        <v>285.55001235330445</v>
      </c>
      <c r="BD188" s="439">
        <f t="shared" si="371"/>
        <v>346.82258302830473</v>
      </c>
      <c r="BE188" s="439">
        <f t="shared" si="371"/>
        <v>1238.1264735313423</v>
      </c>
      <c r="BF188" s="439">
        <f t="shared" si="371"/>
        <v>299.67680134774633</v>
      </c>
      <c r="BG188" s="439">
        <f t="shared" si="371"/>
        <v>313.36098603207455</v>
      </c>
      <c r="BH188" s="439">
        <f t="shared" si="371"/>
        <v>303.80064088910632</v>
      </c>
      <c r="BI188" s="439">
        <f t="shared" si="371"/>
        <v>321.34084768111836</v>
      </c>
      <c r="BJ188" s="439">
        <f t="shared" si="371"/>
        <v>1238.1788559533197</v>
      </c>
      <c r="BK188" s="439">
        <f t="shared" si="371"/>
        <v>190.19610268930185</v>
      </c>
      <c r="BL188" s="439">
        <f t="shared" si="371"/>
        <v>195.66210371193131</v>
      </c>
      <c r="BM188" s="439">
        <f t="shared" si="371"/>
        <v>176.27980656885171</v>
      </c>
      <c r="BN188" s="439">
        <f t="shared" si="371"/>
        <v>177.21994710167871</v>
      </c>
      <c r="BO188" s="439">
        <f t="shared" ref="BO188:CN188" si="372">BO67*(1-BO82)</f>
        <v>739.35986071424861</v>
      </c>
      <c r="BP188" s="439">
        <f t="shared" si="372"/>
        <v>161.93883892729579</v>
      </c>
      <c r="BQ188" s="439">
        <f t="shared" si="372"/>
        <v>197.77583677969855</v>
      </c>
      <c r="BR188" s="439">
        <f t="shared" si="372"/>
        <v>150.0191575363248</v>
      </c>
      <c r="BS188" s="439">
        <f t="shared" si="372"/>
        <v>190.16206075509908</v>
      </c>
      <c r="BT188" s="439">
        <f t="shared" si="372"/>
        <v>699.89578431224345</v>
      </c>
      <c r="BU188" s="439">
        <f t="shared" si="372"/>
        <v>233.19965289052462</v>
      </c>
      <c r="BV188" s="439">
        <f t="shared" si="372"/>
        <v>252.12038617411002</v>
      </c>
      <c r="BW188" s="439">
        <f t="shared" si="372"/>
        <v>284.97117851119242</v>
      </c>
      <c r="BX188" s="439">
        <f t="shared" si="372"/>
        <v>324.06978671004396</v>
      </c>
      <c r="BY188" s="439">
        <f t="shared" si="372"/>
        <v>1094.3609888857472</v>
      </c>
      <c r="BZ188" s="439">
        <f>BZ67*(1-BZ82)</f>
        <v>343.93448248074469</v>
      </c>
      <c r="CA188" s="439">
        <f>CA67*(1-CA82)</f>
        <v>366.23536381618368</v>
      </c>
      <c r="CB188" s="439">
        <f t="shared" si="372"/>
        <v>388.00025313324238</v>
      </c>
      <c r="CC188" s="439">
        <f t="shared" si="372"/>
        <v>465.92505102931671</v>
      </c>
      <c r="CD188" s="439">
        <f t="shared" si="372"/>
        <v>1564.0951551967769</v>
      </c>
      <c r="CE188" s="439">
        <f>CE67*(1-CE82)</f>
        <v>480.33789834584638</v>
      </c>
      <c r="CF188" s="439">
        <f t="shared" si="372"/>
        <v>520.78477408828667</v>
      </c>
      <c r="CG188" s="439">
        <f t="shared" ref="CG188:CI188" si="373">CG67*(1-CG82)</f>
        <v>553.23930545931694</v>
      </c>
      <c r="CH188" s="439">
        <f t="shared" si="373"/>
        <v>637.07159164654627</v>
      </c>
      <c r="CI188" s="439">
        <f t="shared" si="373"/>
        <v>2191.4337177838697</v>
      </c>
      <c r="CJ188" s="439">
        <f>CJ67*(1-CJ82)</f>
        <v>775.18143492336731</v>
      </c>
      <c r="CK188" s="440">
        <f t="shared" si="372"/>
        <v>801.16599468013158</v>
      </c>
      <c r="CL188" s="440">
        <f t="shared" si="372"/>
        <v>826.18748362124586</v>
      </c>
      <c r="CM188" s="440">
        <f t="shared" si="372"/>
        <v>873.4117391328225</v>
      </c>
      <c r="CN188" s="440">
        <f t="shared" si="372"/>
        <v>3275.946652357567</v>
      </c>
      <c r="CO188" s="440">
        <f t="shared" ref="CO188:CX188" si="374">CO67*(1-CO82)</f>
        <v>870.13752374843693</v>
      </c>
      <c r="CP188" s="440">
        <f t="shared" si="374"/>
        <v>899.91685757744176</v>
      </c>
      <c r="CQ188" s="440">
        <f t="shared" si="374"/>
        <v>931.44303558819865</v>
      </c>
      <c r="CR188" s="440">
        <f t="shared" si="374"/>
        <v>983.93897346471419</v>
      </c>
      <c r="CS188" s="440">
        <f t="shared" si="374"/>
        <v>3685.4363903787912</v>
      </c>
      <c r="CT188" s="440">
        <f t="shared" si="374"/>
        <v>1042.1352338086251</v>
      </c>
      <c r="CU188" s="440">
        <f t="shared" si="374"/>
        <v>1082.5016156445593</v>
      </c>
      <c r="CV188" s="440">
        <f t="shared" si="374"/>
        <v>1112.501096327115</v>
      </c>
      <c r="CW188" s="440">
        <f t="shared" si="374"/>
        <v>1166.3713505571332</v>
      </c>
      <c r="CX188" s="440">
        <f t="shared" si="374"/>
        <v>4403.5092963374327</v>
      </c>
      <c r="DA188" s="201"/>
      <c r="DB188" s="200"/>
      <c r="DC188" s="200"/>
    </row>
    <row r="189" spans="1:113" hidden="1" outlineLevel="1">
      <c r="A189" s="90" t="s">
        <v>486</v>
      </c>
      <c r="B189" s="412"/>
      <c r="C189" s="439">
        <f t="shared" ref="C189:AH189" si="375">C188/C114</f>
        <v>0.1572381402554551</v>
      </c>
      <c r="D189" s="439">
        <f t="shared" si="375"/>
        <v>0.1627004710990223</v>
      </c>
      <c r="E189" s="439">
        <f t="shared" si="375"/>
        <v>0.12993633520553555</v>
      </c>
      <c r="F189" s="439">
        <f t="shared" si="375"/>
        <v>9.3082320625369475E-2</v>
      </c>
      <c r="G189" s="439">
        <f t="shared" si="375"/>
        <v>0.54429553276203291</v>
      </c>
      <c r="H189" s="440">
        <f t="shared" si="375"/>
        <v>0.10076912784529704</v>
      </c>
      <c r="I189" s="440">
        <f t="shared" si="375"/>
        <v>0.13233473447937583</v>
      </c>
      <c r="J189" s="440">
        <f t="shared" si="375"/>
        <v>0.10199720456574551</v>
      </c>
      <c r="K189" s="440">
        <f t="shared" si="375"/>
        <v>0.12066665015872807</v>
      </c>
      <c r="L189" s="447">
        <f t="shared" si="375"/>
        <v>0.45579329276305702</v>
      </c>
      <c r="M189" s="447">
        <f t="shared" si="375"/>
        <v>0.11023195368056445</v>
      </c>
      <c r="N189" s="447">
        <f t="shared" si="375"/>
        <v>0.12880158796494068</v>
      </c>
      <c r="O189" s="447">
        <f t="shared" si="375"/>
        <v>0.12907543327951293</v>
      </c>
      <c r="P189" s="447">
        <f t="shared" si="375"/>
        <v>0.16117628375508461</v>
      </c>
      <c r="Q189" s="447">
        <f t="shared" si="375"/>
        <v>0.53091978154546526</v>
      </c>
      <c r="R189" s="447">
        <f t="shared" si="375"/>
        <v>0.24547072660367181</v>
      </c>
      <c r="S189" s="447">
        <f t="shared" si="375"/>
        <v>0.21249491729521205</v>
      </c>
      <c r="T189" s="447">
        <f t="shared" si="375"/>
        <v>0.21009248103562284</v>
      </c>
      <c r="U189" s="447">
        <f t="shared" si="375"/>
        <v>0.21570936559594225</v>
      </c>
      <c r="V189" s="447">
        <f t="shared" si="375"/>
        <v>0.48816690561075915</v>
      </c>
      <c r="W189" s="447">
        <f t="shared" si="375"/>
        <v>0.25294016913228112</v>
      </c>
      <c r="X189" s="447">
        <f t="shared" si="375"/>
        <v>0.26891985748778863</v>
      </c>
      <c r="Y189" s="447">
        <f t="shared" si="375"/>
        <v>0.27010240687216591</v>
      </c>
      <c r="Z189" s="447">
        <f t="shared" si="375"/>
        <v>0.2829639776648733</v>
      </c>
      <c r="AA189" s="447">
        <f t="shared" si="375"/>
        <v>1.0749699112825837</v>
      </c>
      <c r="AB189" s="447">
        <f t="shared" si="375"/>
        <v>0.30055606826723447</v>
      </c>
      <c r="AC189" s="447">
        <f t="shared" si="375"/>
        <v>0.29185098847143853</v>
      </c>
      <c r="AD189" s="447">
        <f t="shared" si="375"/>
        <v>0.26248186297450404</v>
      </c>
      <c r="AE189" s="447">
        <f t="shared" si="375"/>
        <v>0.30366276510035484</v>
      </c>
      <c r="AF189" s="447">
        <f t="shared" si="375"/>
        <v>1.1590756730234484</v>
      </c>
      <c r="AG189" s="447">
        <f t="shared" si="375"/>
        <v>0.27405860978213398</v>
      </c>
      <c r="AH189" s="447">
        <f t="shared" si="375"/>
        <v>0.34478215194123457</v>
      </c>
      <c r="AI189" s="447">
        <f t="shared" ref="AI189:BN189" si="376">AI188/AI114</f>
        <v>0.42283710587894291</v>
      </c>
      <c r="AJ189" s="447">
        <f t="shared" si="376"/>
        <v>0.47083553430913833</v>
      </c>
      <c r="AK189" s="447">
        <f t="shared" si="376"/>
        <v>1.5078360911828708</v>
      </c>
      <c r="AL189" s="447">
        <f t="shared" si="376"/>
        <v>0.46308103637410303</v>
      </c>
      <c r="AM189" s="447">
        <f t="shared" si="376"/>
        <v>0.4911671203789062</v>
      </c>
      <c r="AN189" s="447">
        <f t="shared" si="376"/>
        <v>0.48751245905088247</v>
      </c>
      <c r="AO189" s="447">
        <f t="shared" si="376"/>
        <v>0.5888245647334267</v>
      </c>
      <c r="AP189" s="447">
        <f t="shared" si="376"/>
        <v>2.0227816298761225</v>
      </c>
      <c r="AQ189" s="447">
        <f t="shared" si="376"/>
        <v>0.43031116712239215</v>
      </c>
      <c r="AR189" s="447">
        <f t="shared" si="376"/>
        <v>0.34438122601980703</v>
      </c>
      <c r="AS189" s="447">
        <f t="shared" si="376"/>
        <v>0.34104848963695389</v>
      </c>
      <c r="AT189" s="447">
        <f t="shared" si="376"/>
        <v>0.38135805779530035</v>
      </c>
      <c r="AU189" s="447">
        <f t="shared" si="376"/>
        <v>1.4969358654482814</v>
      </c>
      <c r="AV189" s="447">
        <f t="shared" si="376"/>
        <v>0.40733415314139809</v>
      </c>
      <c r="AW189" s="447">
        <f t="shared" si="376"/>
        <v>0.47040837566735849</v>
      </c>
      <c r="AX189" s="447">
        <f t="shared" si="376"/>
        <v>0.55542355676082844</v>
      </c>
      <c r="AY189" s="447">
        <f t="shared" si="376"/>
        <v>0.56629088247450743</v>
      </c>
      <c r="AZ189" s="444">
        <f t="shared" si="376"/>
        <v>1.9958979884133106</v>
      </c>
      <c r="BA189" s="444">
        <f t="shared" si="376"/>
        <v>0.61037720085981306</v>
      </c>
      <c r="BB189" s="444">
        <f t="shared" si="376"/>
        <v>0.58005042932998374</v>
      </c>
      <c r="BC189" s="444">
        <f t="shared" si="376"/>
        <v>0.57254168466860444</v>
      </c>
      <c r="BD189" s="444">
        <f t="shared" si="376"/>
        <v>0.69883330450928638</v>
      </c>
      <c r="BE189" s="444">
        <f t="shared" si="376"/>
        <v>2.4607392166711812</v>
      </c>
      <c r="BF189" s="444">
        <f t="shared" si="376"/>
        <v>0.59890083366524172</v>
      </c>
      <c r="BG189" s="444">
        <f t="shared" si="376"/>
        <v>0.6250007200810459</v>
      </c>
      <c r="BH189" s="444">
        <f t="shared" si="376"/>
        <v>0.60789671958393043</v>
      </c>
      <c r="BI189" s="444">
        <f t="shared" si="376"/>
        <v>0.63992489889778503</v>
      </c>
      <c r="BJ189" s="444">
        <f t="shared" si="376"/>
        <v>2.4718268532845689</v>
      </c>
      <c r="BK189" s="444">
        <f t="shared" si="376"/>
        <v>0.3745197359193877</v>
      </c>
      <c r="BL189" s="444">
        <f t="shared" si="376"/>
        <v>0.38181994534435099</v>
      </c>
      <c r="BM189" s="444">
        <f t="shared" si="376"/>
        <v>0.34289011197987107</v>
      </c>
      <c r="BN189" s="444">
        <f t="shared" si="376"/>
        <v>0.34675442903815573</v>
      </c>
      <c r="BO189" s="444">
        <f t="shared" ref="BO189:CN189" si="377">BO188/BO114</f>
        <v>1.445849772696026</v>
      </c>
      <c r="BP189" s="444">
        <f t="shared" si="377"/>
        <v>0.3185640298369119</v>
      </c>
      <c r="BQ189" s="444">
        <f t="shared" si="377"/>
        <v>0.39033138166106207</v>
      </c>
      <c r="BR189" s="444">
        <f t="shared" si="377"/>
        <v>0.29542321362933216</v>
      </c>
      <c r="BS189" s="444">
        <f t="shared" si="377"/>
        <v>0.37473974975928526</v>
      </c>
      <c r="BT189" s="444">
        <f t="shared" si="377"/>
        <v>1.3789086860289219</v>
      </c>
      <c r="BU189" s="444">
        <f t="shared" si="377"/>
        <v>0.45948316517877824</v>
      </c>
      <c r="BV189" s="444">
        <f t="shared" si="377"/>
        <v>0.49867358049556754</v>
      </c>
      <c r="BW189" s="444">
        <f t="shared" si="377"/>
        <v>0.56339681285068555</v>
      </c>
      <c r="BX189" s="444">
        <f t="shared" si="377"/>
        <v>0.64043893565773924</v>
      </c>
      <c r="BY189" s="444">
        <f t="shared" si="377"/>
        <v>2.1617765144076602</v>
      </c>
      <c r="BZ189" s="444">
        <f>BZ188/BZ114</f>
        <v>0.68014792570884264</v>
      </c>
      <c r="CA189" s="444">
        <f>CA188/CA114</f>
        <v>0.72561367837175428</v>
      </c>
      <c r="CB189" s="444">
        <f t="shared" si="377"/>
        <v>0.77034769488144472</v>
      </c>
      <c r="CC189" s="444">
        <f t="shared" si="377"/>
        <v>0.92966353342801078</v>
      </c>
      <c r="CD189" s="444">
        <f t="shared" si="377"/>
        <v>3.1045245199777631</v>
      </c>
      <c r="CE189" s="444">
        <f>CE188/CE114</f>
        <v>0.95902435674937037</v>
      </c>
      <c r="CF189" s="444">
        <f t="shared" si="377"/>
        <v>1.0408388792833165</v>
      </c>
      <c r="CG189" s="444">
        <f t="shared" ref="CG189:CI189" si="378">CG188/CG114</f>
        <v>1.1055985544692764</v>
      </c>
      <c r="CH189" s="444">
        <f t="shared" si="378"/>
        <v>1.2739903044565577</v>
      </c>
      <c r="CI189" s="444">
        <f t="shared" si="378"/>
        <v>4.3792107945542869</v>
      </c>
      <c r="CJ189" s="444">
        <f>CJ188/CJ114</f>
        <v>1.5521229773029963</v>
      </c>
      <c r="CK189" s="447">
        <f t="shared" si="377"/>
        <v>1.6091730805788036</v>
      </c>
      <c r="CL189" s="447">
        <f t="shared" si="377"/>
        <v>1.661090805724228</v>
      </c>
      <c r="CM189" s="447">
        <f t="shared" si="377"/>
        <v>1.7577953028260527</v>
      </c>
      <c r="CN189" s="447">
        <f t="shared" si="377"/>
        <v>6.579649846883056</v>
      </c>
      <c r="CO189" s="447">
        <f t="shared" ref="CO189:CX189" si="379">CO188/CO114</f>
        <v>1.75295869996502</v>
      </c>
      <c r="CP189" s="447">
        <f t="shared" si="379"/>
        <v>1.8147662154758457</v>
      </c>
      <c r="CQ189" s="447">
        <f t="shared" si="379"/>
        <v>1.8802219135851035</v>
      </c>
      <c r="CR189" s="447">
        <f t="shared" si="379"/>
        <v>1.9881790128629573</v>
      </c>
      <c r="CS189" s="447">
        <f t="shared" si="379"/>
        <v>7.4357401138680883</v>
      </c>
      <c r="CT189" s="447">
        <f t="shared" si="379"/>
        <v>2.1078801447878281</v>
      </c>
      <c r="CU189" s="447">
        <f t="shared" si="379"/>
        <v>2.1917191319791796</v>
      </c>
      <c r="CV189" s="447">
        <f t="shared" si="379"/>
        <v>2.2547131870860904</v>
      </c>
      <c r="CW189" s="447">
        <f t="shared" si="379"/>
        <v>2.366258639350602</v>
      </c>
      <c r="CX189" s="447">
        <f t="shared" si="379"/>
        <v>8.9201518427446551</v>
      </c>
      <c r="DA189" s="201"/>
      <c r="DB189" s="200"/>
      <c r="DC189" s="200"/>
    </row>
    <row r="190" spans="1:113" hidden="1" outlineLevel="1">
      <c r="A190" s="90" t="s">
        <v>198</v>
      </c>
      <c r="B190" s="412" t="s">
        <v>392</v>
      </c>
      <c r="C190" s="329">
        <f>BS!C28+BS!C39</f>
        <v>0</v>
      </c>
      <c r="D190" s="329">
        <f>BS!D28+BS!D39</f>
        <v>0</v>
      </c>
      <c r="E190" s="329">
        <f>BS!E28+BS!E39</f>
        <v>0</v>
      </c>
      <c r="F190" s="329">
        <f>BS!F28+BS!F39</f>
        <v>21.701000000000001</v>
      </c>
      <c r="G190" s="329">
        <f>BS!G28+BS!G39</f>
        <v>21.701000000000001</v>
      </c>
      <c r="H190" s="329">
        <f>BS!H28+BS!H39</f>
        <v>23.614999999999998</v>
      </c>
      <c r="I190" s="329">
        <f>BS!I28+BS!I39</f>
        <v>25.795999999999999</v>
      </c>
      <c r="J190" s="329">
        <f>BS!J28+BS!J39</f>
        <v>27.315000000000001</v>
      </c>
      <c r="K190" s="329">
        <f>BS!K28+BS!K39</f>
        <v>31.184999999999999</v>
      </c>
      <c r="L190" s="329">
        <f>BS!L28+BS!L39</f>
        <v>31.184999999999999</v>
      </c>
      <c r="M190" s="329">
        <f>BS!M28+BS!M39</f>
        <v>32.484000000000002</v>
      </c>
      <c r="N190" s="329">
        <f>BS!N28+BS!N39</f>
        <v>42.021000000000001</v>
      </c>
      <c r="O190" s="329">
        <f>BS!O28+BS!O39</f>
        <v>41.609000000000002</v>
      </c>
      <c r="P190" s="329">
        <f>BS!P28+BS!P39</f>
        <v>45.6</v>
      </c>
      <c r="Q190" s="329">
        <f>BS!Q28+BS!Q39</f>
        <v>45.6</v>
      </c>
      <c r="R190" s="329">
        <f>BS!R28+BS!R39</f>
        <v>43.326000000000001</v>
      </c>
      <c r="S190" s="329">
        <f>BS!S28+BS!S39</f>
        <v>44.78</v>
      </c>
      <c r="T190" s="329">
        <f>BS!T28+BS!T39</f>
        <v>47.148000000000003</v>
      </c>
      <c r="U190" s="329">
        <f>BS!U28+BS!U39</f>
        <v>59.540999999999997</v>
      </c>
      <c r="V190" s="329">
        <f>BS!V28+BS!V39</f>
        <v>59.540999999999997</v>
      </c>
      <c r="W190" s="329">
        <f>BS!W28+BS!W39</f>
        <v>57.087000000000003</v>
      </c>
      <c r="X190" s="329">
        <f>BS!X28+BS!X39</f>
        <v>61.033000000000001</v>
      </c>
      <c r="Y190" s="329">
        <f>BS!Y28+BS!Y39</f>
        <v>60.01</v>
      </c>
      <c r="Z190" s="329">
        <f>BS!Z28+BS!Z39</f>
        <v>67.569999999999993</v>
      </c>
      <c r="AA190" s="329">
        <f>BS!AA28+BS!AA39</f>
        <v>67.569999999999993</v>
      </c>
      <c r="AB190" s="329">
        <f>BS!AB28+BS!AB39</f>
        <v>94.763000000000005</v>
      </c>
      <c r="AC190" s="329">
        <f>BS!AC28+BS!AC39</f>
        <v>101.61999999999999</v>
      </c>
      <c r="AD190" s="329">
        <f>BS!AD28+BS!AD39</f>
        <v>124.791</v>
      </c>
      <c r="AE190" s="329">
        <f>BS!AE28+BS!AE39</f>
        <v>162.95400000000001</v>
      </c>
      <c r="AF190" s="329">
        <f>BS!AF28+BS!AF39</f>
        <v>162.95400000000001</v>
      </c>
      <c r="AG190" s="329">
        <f>BS!AG28+BS!AG39</f>
        <v>170.53900000000002</v>
      </c>
      <c r="AH190" s="329">
        <f>BS!AH28+BS!AH39</f>
        <v>208.79599999999999</v>
      </c>
      <c r="AI190" s="329">
        <f>BS!AI28+BS!AI39</f>
        <v>192.102</v>
      </c>
      <c r="AJ190" s="329">
        <f>BS!AJ28+BS!AJ39</f>
        <v>209.268</v>
      </c>
      <c r="AK190" s="329">
        <f>BS!AK28+BS!AK39</f>
        <v>209.268</v>
      </c>
      <c r="AL190" s="329">
        <f>BS!AL28+BS!AL39</f>
        <v>214.61799999999999</v>
      </c>
      <c r="AM190" s="329">
        <f>BS!AM28+BS!AM39</f>
        <v>216.41299999999998</v>
      </c>
      <c r="AN190" s="329">
        <f>BS!AN28+BS!AN39</f>
        <v>232.43099999999998</v>
      </c>
      <c r="AO190" s="329">
        <f>BS!AO28+BS!AO39</f>
        <v>275.32</v>
      </c>
      <c r="AP190" s="329">
        <f>BS!AP28+BS!AP39</f>
        <v>275.32</v>
      </c>
      <c r="AQ190" s="329">
        <f>BS!AQ28+BS!AQ39</f>
        <v>225.286</v>
      </c>
      <c r="AR190" s="329">
        <f>BS!AR28+BS!AR39</f>
        <v>213.315</v>
      </c>
      <c r="AS190" s="329">
        <f>BS!AS28+BS!AS39</f>
        <v>218.19400000000002</v>
      </c>
      <c r="AT190" s="329">
        <f>BS!AT28+BS!AT39</f>
        <v>318.29300000000001</v>
      </c>
      <c r="AU190" s="329">
        <f>BS!AU28+BS!AU39</f>
        <v>318.29300000000001</v>
      </c>
      <c r="AV190" s="329">
        <f>BS!AV28+BS!AV39</f>
        <v>359.74300000000005</v>
      </c>
      <c r="AW190" s="329">
        <f>BS!AW28+BS!AW39</f>
        <v>404.34299999999996</v>
      </c>
      <c r="AX190" s="329">
        <f>BS!AX28+BS!AX39</f>
        <v>420.91500000000002</v>
      </c>
      <c r="AY190" s="329">
        <f>BS!AY28+BS!AY39</f>
        <v>429.67700000000002</v>
      </c>
      <c r="AZ190" s="329">
        <f>BS!AZ28+BS!AZ39</f>
        <v>429.67700000000002</v>
      </c>
      <c r="BA190" s="329">
        <f>BS!BA28+BS!BA39</f>
        <v>443.39800000000002</v>
      </c>
      <c r="BB190" s="329">
        <f>BS!BB28+BS!BB39</f>
        <v>482.02699999999999</v>
      </c>
      <c r="BC190" s="329">
        <f>BS!BC28+BS!BC39</f>
        <v>484.05899999999997</v>
      </c>
      <c r="BD190" s="329">
        <f>BS!BD28+BS!BD39</f>
        <v>531.70499999999993</v>
      </c>
      <c r="BE190" s="329">
        <f>BS!BE28+BS!BE39</f>
        <v>531.70499999999993</v>
      </c>
      <c r="BF190" s="329">
        <f>BS!BF28+BS!BF39</f>
        <v>548.96400000000006</v>
      </c>
      <c r="BG190" s="329">
        <f>BS!BG28+BS!BG39</f>
        <v>592.77800000000002</v>
      </c>
      <c r="BH190" s="329">
        <f>BS!BH28+BS!BH39</f>
        <v>560.33299999999997</v>
      </c>
      <c r="BI190" s="329">
        <f>BS!BI28+BS!BI39</f>
        <v>619.56499999999994</v>
      </c>
      <c r="BJ190" s="329">
        <f>BS!BJ28+BS!BJ39</f>
        <v>619.56499999999994</v>
      </c>
      <c r="BK190" s="329">
        <f>BS!BK28+BS!BK39</f>
        <v>700.03099999999995</v>
      </c>
      <c r="BL190" s="329">
        <f>BS!BL28+BS!BL39</f>
        <v>691.26099999999997</v>
      </c>
      <c r="BM190" s="329">
        <f>BS!BM28+BS!BM39</f>
        <v>734.07500000000005</v>
      </c>
      <c r="BN190" s="329">
        <f>BS!BN28+BS!BN39</f>
        <v>828.81200000000001</v>
      </c>
      <c r="BO190" s="329">
        <f>BS!BO28+BS!BO39</f>
        <v>828.81200000000001</v>
      </c>
      <c r="BP190" s="329">
        <f>BS!BP28+BS!BP39</f>
        <v>881.08699999999999</v>
      </c>
      <c r="BQ190" s="329">
        <f>BS!BQ28+BS!BQ39</f>
        <v>928.60400000000004</v>
      </c>
      <c r="BR190" s="329">
        <f>BS!BR28+BS!BR39</f>
        <v>996.53800000000001</v>
      </c>
      <c r="BS190" s="329">
        <f>BS!BS28+BS!BS39</f>
        <v>1155.3240000000001</v>
      </c>
      <c r="BT190" s="329">
        <f>BS!BT28+BS!BT39</f>
        <v>1155.3240000000001</v>
      </c>
      <c r="BU190" s="329">
        <f>BS!BU28+BS!BU39</f>
        <v>1183.269</v>
      </c>
      <c r="BV190" s="329">
        <f>BS!BV28+BS!BV39</f>
        <v>1228.155</v>
      </c>
      <c r="BW190" s="329">
        <f>BS!BW28+BS!BW39</f>
        <v>1306.029</v>
      </c>
      <c r="BX190" s="329">
        <f>BS!BX28+BS!BX39</f>
        <v>1485.2940000000001</v>
      </c>
      <c r="BY190" s="329">
        <f>BS!BY28+BS!BY39</f>
        <v>1485.2940000000001</v>
      </c>
      <c r="BZ190" s="329">
        <f>BS!BZ28+BS!BZ39</f>
        <v>1608.6599999999999</v>
      </c>
      <c r="CA190" s="329">
        <f>BS!CA28+BS!CA39</f>
        <v>1681.6320000000001</v>
      </c>
      <c r="CB190" s="329">
        <f>BS!CB28+BS!CB39</f>
        <v>1797.9849999999999</v>
      </c>
      <c r="CC190" s="329">
        <f>BS!CC28+BS!CC39</f>
        <v>2014.75</v>
      </c>
      <c r="CD190" s="329">
        <f>BS!CD28+BS!CD39</f>
        <v>2014.75</v>
      </c>
      <c r="CE190" s="329">
        <f>BS!CE28+BS!CE39</f>
        <v>2060.2460000000001</v>
      </c>
      <c r="CF190" s="329">
        <f>BS!CF28+BS!CF39</f>
        <v>2074.9920000000002</v>
      </c>
      <c r="CG190" s="329">
        <f>BS!CG28+BS!CG39</f>
        <v>2204.864</v>
      </c>
      <c r="CH190" s="329">
        <f>BS!CH28+BS!CH39</f>
        <v>2494.5419999999999</v>
      </c>
      <c r="CI190" s="329">
        <f>BS!CI28+BS!CI39</f>
        <v>2494.5419999999999</v>
      </c>
      <c r="CJ190" s="329">
        <f>BS!CJ28+BS!CJ39</f>
        <v>2572.2040000000002</v>
      </c>
      <c r="CK190" s="448">
        <f>BS!CK28+BS!CK39</f>
        <v>2550.979401776764</v>
      </c>
      <c r="CL190" s="448">
        <f>BS!CL28+BS!CL39</f>
        <v>2712.8587065575584</v>
      </c>
      <c r="CM190" s="448">
        <f>BS!CM28+BS!CM39</f>
        <v>2963.2650486673087</v>
      </c>
      <c r="CN190" s="448">
        <f>BS!CN28+BS!CN39</f>
        <v>2963.2650486673087</v>
      </c>
      <c r="CO190" s="448">
        <f>BS!CO28+BS!CO39</f>
        <v>3056.5939599241883</v>
      </c>
      <c r="CP190" s="448">
        <f>BS!CP28+BS!CP39</f>
        <v>3017.9526984272243</v>
      </c>
      <c r="CQ190" s="448">
        <f>BS!CQ28+BS!CQ39</f>
        <v>3215.3557554434028</v>
      </c>
      <c r="CR190" s="448">
        <f>BS!CR28+BS!CR39</f>
        <v>3510.0938519190104</v>
      </c>
      <c r="CS190" s="448">
        <f>BS!CS28+BS!CS39</f>
        <v>3510.0938519190104</v>
      </c>
      <c r="CT190" s="448">
        <f>BS!CT28+BS!CT39</f>
        <v>3599.3845672204816</v>
      </c>
      <c r="CU190" s="448">
        <f>BS!CU28+BS!CU39</f>
        <v>3529.1671790782884</v>
      </c>
      <c r="CV190" s="448">
        <f>BS!CV28+BS!CV39</f>
        <v>3731.0407620963465</v>
      </c>
      <c r="CW190" s="448">
        <f>BS!CW28+BS!CW39</f>
        <v>4042.9295666132653</v>
      </c>
      <c r="CX190" s="448">
        <f>BS!CX28+BS!CX39</f>
        <v>4042.9295666132653</v>
      </c>
      <c r="DA190" s="201"/>
      <c r="DB190" s="200"/>
      <c r="DC190" s="200"/>
    </row>
    <row r="191" spans="1:113" hidden="1" outlineLevel="1">
      <c r="A191" s="90" t="s">
        <v>521</v>
      </c>
      <c r="B191" s="412"/>
      <c r="C191" s="329"/>
      <c r="D191" s="329"/>
      <c r="E191" s="329"/>
      <c r="F191" s="329"/>
      <c r="G191" s="329"/>
      <c r="H191" s="329"/>
      <c r="I191" s="329"/>
      <c r="J191" s="329"/>
      <c r="K191" s="329"/>
      <c r="L191" s="329"/>
      <c r="M191" s="329"/>
      <c r="N191" s="329"/>
      <c r="O191" s="329"/>
      <c r="P191" s="329"/>
      <c r="Q191" s="329"/>
      <c r="R191" s="329"/>
      <c r="S191" s="329"/>
      <c r="T191" s="329"/>
      <c r="U191" s="329"/>
      <c r="V191" s="329"/>
      <c r="W191" s="329"/>
      <c r="X191" s="329"/>
      <c r="Y191" s="329"/>
      <c r="Z191" s="329"/>
      <c r="AA191" s="329"/>
      <c r="AB191" s="329"/>
      <c r="AC191" s="329"/>
      <c r="AD191" s="329"/>
      <c r="AE191" s="329"/>
      <c r="AF191" s="329"/>
      <c r="AG191" s="329"/>
      <c r="AH191" s="329"/>
      <c r="AI191" s="329"/>
      <c r="AJ191" s="329"/>
      <c r="AK191" s="329"/>
      <c r="AL191" s="329"/>
      <c r="AM191" s="329"/>
      <c r="AN191" s="329"/>
      <c r="AO191" s="329"/>
      <c r="AP191" s="329"/>
      <c r="AQ191" s="329"/>
      <c r="AR191" s="329"/>
      <c r="AS191" s="329"/>
      <c r="AT191" s="329"/>
      <c r="AU191" s="329"/>
      <c r="AV191" s="329"/>
      <c r="AW191" s="329"/>
      <c r="AX191" s="329"/>
      <c r="AY191" s="329"/>
      <c r="AZ191" s="329"/>
      <c r="BA191" s="329"/>
      <c r="BB191" s="329"/>
      <c r="BC191" s="329"/>
      <c r="BD191" s="329"/>
      <c r="BE191" s="329"/>
      <c r="BF191" s="329"/>
      <c r="BG191" s="329"/>
      <c r="BH191" s="329"/>
      <c r="BI191" s="329"/>
      <c r="BJ191" s="329"/>
      <c r="BK191" s="329"/>
      <c r="BL191" s="329"/>
      <c r="BM191" s="329"/>
      <c r="BN191" s="329"/>
      <c r="BO191" s="329"/>
      <c r="BP191" s="329"/>
      <c r="BQ191" s="329"/>
      <c r="BR191" s="329"/>
      <c r="BS191" s="329"/>
      <c r="BT191" s="329"/>
      <c r="BU191" s="329"/>
      <c r="BV191" s="329"/>
      <c r="BW191" s="329"/>
      <c r="BX191" s="329"/>
      <c r="BY191" s="329"/>
      <c r="BZ191" s="329"/>
      <c r="CA191" s="329"/>
      <c r="CB191" s="329"/>
      <c r="CC191" s="329"/>
      <c r="CD191" s="329"/>
      <c r="CE191" s="329"/>
      <c r="CF191" s="329"/>
      <c r="CG191" s="329"/>
      <c r="CH191" s="329"/>
      <c r="CI191" s="329"/>
      <c r="CJ191" s="329"/>
      <c r="CK191" s="448"/>
      <c r="CL191" s="448"/>
      <c r="CM191" s="448"/>
      <c r="CN191" s="448"/>
      <c r="CO191" s="448"/>
      <c r="CP191" s="448"/>
      <c r="CQ191" s="448"/>
      <c r="CR191" s="448"/>
      <c r="CS191" s="448"/>
      <c r="CT191" s="448"/>
      <c r="CU191" s="448"/>
      <c r="CV191" s="448"/>
      <c r="CW191" s="448"/>
      <c r="CX191" s="448"/>
      <c r="DA191" s="201"/>
      <c r="DB191" s="200"/>
      <c r="DC191" s="200"/>
    </row>
    <row r="192" spans="1:113" hidden="1" outlineLevel="1">
      <c r="A192" s="135" t="s">
        <v>522</v>
      </c>
      <c r="B192" s="115" t="s">
        <v>271</v>
      </c>
      <c r="C192" s="329"/>
      <c r="D192" s="329"/>
      <c r="E192" s="329"/>
      <c r="F192" s="329"/>
      <c r="G192" s="329"/>
      <c r="H192" s="329">
        <f>BS!H8+BS!H9</f>
        <v>620.79</v>
      </c>
      <c r="I192" s="329">
        <f>BS!I8+BS!I9</f>
        <v>699.91200000000003</v>
      </c>
      <c r="J192" s="329">
        <f>BS!J8+BS!J9</f>
        <v>636.23099999999999</v>
      </c>
      <c r="K192" s="329">
        <f>BS!K8+BS!K9</f>
        <v>617.73699999999997</v>
      </c>
      <c r="L192" s="329"/>
      <c r="M192" s="329">
        <f>BS!M8+BS!M9</f>
        <v>652.65700000000004</v>
      </c>
      <c r="N192" s="329">
        <f>BS!N8+BS!N9</f>
        <v>782.62200000000007</v>
      </c>
      <c r="O192" s="329">
        <f>BS!O8+BS!O9</f>
        <v>852.73</v>
      </c>
      <c r="P192" s="329">
        <f>BS!P8+BS!P9</f>
        <v>1096.5329999999999</v>
      </c>
      <c r="Q192" s="329"/>
      <c r="R192" s="329">
        <f>BS!R8+BS!R9</f>
        <v>1249.335</v>
      </c>
      <c r="S192" s="329">
        <f>BS!S8+BS!S9</f>
        <v>1281.2190000000001</v>
      </c>
      <c r="T192" s="329">
        <f>BS!T8+BS!T9</f>
        <v>1139.7719999999999</v>
      </c>
      <c r="U192" s="329">
        <f>BS!U8+BS!U9</f>
        <v>1313.221</v>
      </c>
      <c r="V192" s="329"/>
      <c r="W192" s="329">
        <f>BS!W8+BS!W9</f>
        <v>1467.1030000000001</v>
      </c>
      <c r="X192" s="329">
        <f>BS!X8+BS!X9</f>
        <v>1690.5659999999998</v>
      </c>
      <c r="Y192" s="329">
        <f>BS!Y8+BS!Y9</f>
        <v>1892.7849999999999</v>
      </c>
      <c r="Z192" s="329">
        <f>BS!Z8+BS!Z9</f>
        <v>1700.8340000000001</v>
      </c>
      <c r="AA192" s="329"/>
      <c r="AB192" s="329">
        <f>BS!AB8+BS!AB9</f>
        <v>2104.605</v>
      </c>
      <c r="AC192" s="329">
        <f>BS!AC8+BS!AC9</f>
        <v>1826.086</v>
      </c>
      <c r="AD192" s="329">
        <f>BS!AD8+BS!AD9</f>
        <v>1986.4520000000002</v>
      </c>
      <c r="AE192" s="329">
        <f>BS!AE8+BS!AE9</f>
        <v>2280.8789999999999</v>
      </c>
      <c r="AF192" s="329"/>
      <c r="AG192" s="329">
        <f>BS!AG8+BS!AG9</f>
        <v>2282.3999999999996</v>
      </c>
      <c r="AH192" s="329">
        <f>BS!AH8+BS!AH9</f>
        <v>2323.8249999999998</v>
      </c>
      <c r="AI192" s="329">
        <f>BS!AI8+BS!AI9</f>
        <v>1955.7139999999999</v>
      </c>
      <c r="AJ192" s="329">
        <f>BS!AJ8+BS!AJ9</f>
        <v>1993.854</v>
      </c>
      <c r="AK192" s="329"/>
      <c r="AL192" s="329">
        <f>BS!AL8+BS!AL9</f>
        <v>1715.2439999999999</v>
      </c>
      <c r="AM192" s="329">
        <f>BS!AM8+BS!AM9</f>
        <v>1864.7359999999999</v>
      </c>
      <c r="AN192" s="329">
        <f>BS!AN8+BS!AN9</f>
        <v>2000.904</v>
      </c>
      <c r="AO192" s="329">
        <f>BS!AO8+BS!AO9</f>
        <v>2019.202</v>
      </c>
      <c r="AP192" s="329"/>
      <c r="AQ192" s="329">
        <f>BS!AQ8+BS!AQ9</f>
        <v>2383.694</v>
      </c>
      <c r="AR192" s="329">
        <f>BS!AR8+BS!AR9</f>
        <v>2664.1849999999999</v>
      </c>
      <c r="AS192" s="329">
        <f>BS!AS8+BS!AS9</f>
        <v>2556.4610000000002</v>
      </c>
      <c r="AT192" s="329">
        <f>BS!AT8+BS!AT9</f>
        <v>1904.473</v>
      </c>
      <c r="AU192" s="329"/>
      <c r="AV192" s="329">
        <f>BS!AV8+BS!AV9</f>
        <v>2672.384</v>
      </c>
      <c r="AW192" s="329">
        <f>BS!AW8+BS!AW9</f>
        <v>2644.7219999999998</v>
      </c>
      <c r="AX192" s="329">
        <f>BS!AX8+BS!AX9</f>
        <v>2578.2739999999999</v>
      </c>
      <c r="AY192" s="329">
        <f>BS!AY8+BS!AY9</f>
        <v>2468.0149999999999</v>
      </c>
      <c r="AZ192" s="329"/>
      <c r="BA192" s="329">
        <f>BS!BA8+BS!BA9</f>
        <v>2636.835</v>
      </c>
      <c r="BB192" s="329">
        <f>BS!BB8+BS!BB9</f>
        <v>2625.52</v>
      </c>
      <c r="BC192" s="329">
        <f>BS!BC8+BS!BC9</f>
        <v>2719.2759999999998</v>
      </c>
      <c r="BD192" s="329">
        <f>BS!BD8+BS!BD9</f>
        <v>2911.692</v>
      </c>
      <c r="BE192" s="329"/>
      <c r="BF192" s="329">
        <f>BS!BF8+BS!BF9</f>
        <v>2766.1179999999999</v>
      </c>
      <c r="BG192" s="329">
        <f>BS!BG8+BS!BG9</f>
        <v>2998.1170000000002</v>
      </c>
      <c r="BH192" s="329">
        <f>BS!BH8+BS!BH9</f>
        <v>3247.3630000000003</v>
      </c>
      <c r="BI192" s="329">
        <f>BS!BI8+BS!BI9</f>
        <v>3538.3530000000001</v>
      </c>
      <c r="BJ192" s="329"/>
      <c r="BK192" s="329">
        <f>BS!BK8+BS!BK9</f>
        <v>3660.6889999999999</v>
      </c>
      <c r="BL192" s="329">
        <f>BS!BL8+BS!BL9</f>
        <v>3865.7079999999996</v>
      </c>
      <c r="BM192" s="329">
        <f>BS!BM8+BS!BM9</f>
        <v>3163.9369999999999</v>
      </c>
      <c r="BN192" s="329">
        <f>BS!BN8+BS!BN9</f>
        <v>3173.752</v>
      </c>
      <c r="BO192" s="329"/>
      <c r="BP192" s="329">
        <f>BS!BP8+BS!BP9</f>
        <v>3132.0920000000001</v>
      </c>
      <c r="BQ192" s="329">
        <f>BS!BQ8+BS!BQ9</f>
        <v>3330.2109999999998</v>
      </c>
      <c r="BR192" s="329">
        <f>BS!BR8+BS!BR9</f>
        <v>3520.1970000000001</v>
      </c>
      <c r="BS192" s="329">
        <f>BS!BS8+BS!BS9</f>
        <v>3739.491</v>
      </c>
      <c r="BT192" s="329"/>
      <c r="BU192" s="329">
        <f>BS!BU8+BS!BU9</f>
        <v>3176.82</v>
      </c>
      <c r="BV192" s="329">
        <f>BS!BV8+BS!BV9</f>
        <v>3413.248</v>
      </c>
      <c r="BW192" s="329">
        <f>BS!BW8+BS!BW9</f>
        <v>3668.7329999999997</v>
      </c>
      <c r="BX192" s="329">
        <f>BS!BX8+BS!BX9</f>
        <v>3988.0839999999998</v>
      </c>
      <c r="BY192" s="329"/>
      <c r="BZ192" s="329">
        <f>BS!BZ8+BS!BZ9</f>
        <v>4097.8879999999999</v>
      </c>
      <c r="CA192" s="329">
        <f>BS!CA8+BS!CA9</f>
        <v>4318.4080000000004</v>
      </c>
      <c r="CB192" s="329">
        <f>BS!CB8+BS!CB9</f>
        <v>4446.3980000000001</v>
      </c>
      <c r="CC192" s="329">
        <f>BS!CC8+BS!CC9</f>
        <v>4761.3</v>
      </c>
      <c r="CD192" s="329"/>
      <c r="CE192" s="329">
        <f>BS!CE8+BS!CE9</f>
        <v>4647.6170000000002</v>
      </c>
      <c r="CF192" s="329">
        <f>BS!CF8+BS!CF9</f>
        <v>4931.5129999999999</v>
      </c>
      <c r="CG192" s="329">
        <f>BS!CG8+BS!CG9</f>
        <v>5368.4859999999999</v>
      </c>
      <c r="CH192" s="329">
        <f>BS!CH8+BS!CH9</f>
        <v>5819.7740000000003</v>
      </c>
      <c r="CI192" s="329"/>
      <c r="CJ192" s="329">
        <f>BS!CJ8+BS!CJ9</f>
        <v>6147.97</v>
      </c>
      <c r="CK192" s="448">
        <f>BS!CK8+BS!CK9</f>
        <v>6917.1035424190777</v>
      </c>
      <c r="CL192" s="448">
        <f>BS!CL8+BS!CL9</f>
        <v>7457.5617887858725</v>
      </c>
      <c r="CM192" s="448">
        <f>BS!CM8+BS!CM9</f>
        <v>8268.8467727863663</v>
      </c>
      <c r="CN192" s="448"/>
      <c r="CO192" s="448">
        <f>BS!CO8+BS!CO9</f>
        <v>8870.245367729287</v>
      </c>
      <c r="CP192" s="448">
        <f>BS!CP8+BS!CP9</f>
        <v>9442.3150898033564</v>
      </c>
      <c r="CQ192" s="448">
        <f>BS!CQ8+BS!CQ9</f>
        <v>10054.304123852249</v>
      </c>
      <c r="CR192" s="448">
        <f>BS!CR8+BS!CR9</f>
        <v>10976.887527563807</v>
      </c>
      <c r="CS192" s="448"/>
      <c r="CT192" s="448">
        <f>BS!CT8+BS!CT9</f>
        <v>11739.935818513452</v>
      </c>
      <c r="CU192" s="448">
        <f>BS!CU8+BS!CU9</f>
        <v>12423.495334929814</v>
      </c>
      <c r="CV192" s="448">
        <f>BS!CV8+BS!CV9</f>
        <v>13144.888898519228</v>
      </c>
      <c r="CW192" s="448">
        <f>BS!CW8+BS!CW9</f>
        <v>14213.66572711033</v>
      </c>
      <c r="CX192" s="448"/>
      <c r="DA192" s="254"/>
      <c r="DB192" s="243"/>
      <c r="DC192" s="243"/>
    </row>
    <row r="193" spans="1:107" hidden="1" outlineLevel="1">
      <c r="A193" s="329" t="s">
        <v>523</v>
      </c>
      <c r="B193" s="449" t="s">
        <v>272</v>
      </c>
      <c r="C193" s="329"/>
      <c r="D193" s="329"/>
      <c r="E193" s="329"/>
      <c r="F193" s="329"/>
      <c r="G193" s="329"/>
      <c r="H193" s="329">
        <f>SUM(BS!H29,BS!H35:H36)</f>
        <v>0</v>
      </c>
      <c r="I193" s="329">
        <f>SUM(BS!I29,BS!I35:I36)</f>
        <v>0</v>
      </c>
      <c r="J193" s="329">
        <f>SUM(BS!J29,BS!J35:J36)</f>
        <v>0</v>
      </c>
      <c r="K193" s="329">
        <f>SUM(BS!K29,BS!K35:K36)</f>
        <v>0</v>
      </c>
      <c r="L193" s="329"/>
      <c r="M193" s="329">
        <f>SUM(BS!M29,BS!M35:M36)</f>
        <v>0</v>
      </c>
      <c r="N193" s="329">
        <f>SUM(BS!N29,BS!N35:N36)</f>
        <v>0</v>
      </c>
      <c r="O193" s="329">
        <f>SUM(BS!O29,BS!O35:O36)</f>
        <v>0</v>
      </c>
      <c r="P193" s="329">
        <f>SUM(BS!P29,BS!P35:P36)</f>
        <v>0</v>
      </c>
      <c r="Q193" s="329"/>
      <c r="R193" s="329">
        <f>SUM(BS!R29,BS!R35:R36)</f>
        <v>0</v>
      </c>
      <c r="S193" s="329">
        <f>SUM(BS!S29,BS!S35:S36)</f>
        <v>0</v>
      </c>
      <c r="T193" s="329">
        <f>SUM(BS!T29,BS!T35:T36)</f>
        <v>0</v>
      </c>
      <c r="U193" s="329">
        <f>SUM(BS!U29,BS!U35:U36)</f>
        <v>0</v>
      </c>
      <c r="V193" s="329"/>
      <c r="W193" s="329">
        <f>SUM(BS!W29,BS!W35:W36)</f>
        <v>0</v>
      </c>
      <c r="X193" s="329">
        <f>SUM(BS!X29,BS!X35:X36)</f>
        <v>0</v>
      </c>
      <c r="Y193" s="329">
        <f>SUM(BS!Y29,BS!Y35:Y36)</f>
        <v>0</v>
      </c>
      <c r="Z193" s="329">
        <f>SUM(BS!Z29,BS!Z35:Z36)</f>
        <v>0</v>
      </c>
      <c r="AA193" s="329"/>
      <c r="AB193" s="329">
        <f>SUM(BS!AB29,BS!AB35:AB36)</f>
        <v>0</v>
      </c>
      <c r="AC193" s="329">
        <f>SUM(BS!AC29,BS!AC35:AC36)</f>
        <v>0</v>
      </c>
      <c r="AD193" s="329">
        <f>SUM(BS!AD29,BS!AD35:AD36)</f>
        <v>0</v>
      </c>
      <c r="AE193" s="329">
        <f>SUM(BS!AE29,BS!AE35:AE36)</f>
        <v>0</v>
      </c>
      <c r="AF193" s="329"/>
      <c r="AG193" s="329">
        <f>SUM(BS!AG29,BS!AG35:AG36)</f>
        <v>0</v>
      </c>
      <c r="AH193" s="329">
        <f>SUM(BS!AH29,BS!AH35:AH36)</f>
        <v>0</v>
      </c>
      <c r="AI193" s="329">
        <f>SUM(BS!AI29,BS!AI35:AI36)</f>
        <v>0</v>
      </c>
      <c r="AJ193" s="329">
        <f>SUM(BS!AJ29,BS!AJ35:AJ36)</f>
        <v>0</v>
      </c>
      <c r="AK193" s="329"/>
      <c r="AL193" s="329">
        <f>SUM(BS!AL29,BS!AL35:AL36)</f>
        <v>0</v>
      </c>
      <c r="AM193" s="329">
        <f>SUM(BS!AM29,BS!AM35:AM36)</f>
        <v>0</v>
      </c>
      <c r="AN193" s="329">
        <f>SUM(BS!AN29,BS!AN35:AN36)</f>
        <v>0</v>
      </c>
      <c r="AO193" s="329">
        <f>SUM(BS!AO29,BS!AO35:AO36)</f>
        <v>0</v>
      </c>
      <c r="AP193" s="329"/>
      <c r="AQ193" s="329">
        <f>SUM(BS!AQ29,BS!AQ35:AQ36)</f>
        <v>0</v>
      </c>
      <c r="AR193" s="329">
        <f>SUM(BS!AR29,BS!AR35:AR36)</f>
        <v>0</v>
      </c>
      <c r="AS193" s="329">
        <f>SUM(BS!AS29,BS!AS35:AS36)</f>
        <v>0</v>
      </c>
      <c r="AT193" s="329">
        <f>SUM(BS!AT29,BS!AT35:AT36)</f>
        <v>0</v>
      </c>
      <c r="AU193" s="329"/>
      <c r="AV193" s="329">
        <f>SUM(BS!AV29,BS!AV35:AV36)</f>
        <v>0</v>
      </c>
      <c r="AW193" s="329">
        <f>SUM(BS!AW29,BS!AW35:AW36)</f>
        <v>0</v>
      </c>
      <c r="AX193" s="329">
        <f>SUM(BS!AX29,BS!AX35:AX36)</f>
        <v>8.6980000000000004</v>
      </c>
      <c r="AY193" s="329">
        <f>SUM(BS!AY29,BS!AY35:AY36)</f>
        <v>8.7989999999999995</v>
      </c>
      <c r="AZ193" s="329"/>
      <c r="BA193" s="329">
        <f>SUM(BS!BA29,BS!BA35:BA36)</f>
        <v>8.9</v>
      </c>
      <c r="BB193" s="329">
        <f>SUM(BS!BB29,BS!BB35:BB36)</f>
        <v>9.0030000000000001</v>
      </c>
      <c r="BC193" s="329">
        <f>SUM(BS!BC29,BS!BC35:BC36)</f>
        <v>9.1069999999999993</v>
      </c>
      <c r="BD193" s="329">
        <f>SUM(BS!BD29,BS!BD35:BD36)</f>
        <v>9.2119999999999997</v>
      </c>
      <c r="BE193" s="329"/>
      <c r="BF193" s="329">
        <f>SUM(BS!BF29,BS!BF35:BF36)</f>
        <v>9.3179999999999996</v>
      </c>
      <c r="BG193" s="329">
        <f>SUM(BS!BG29,BS!BG35:BG36)</f>
        <v>9.4260000000000002</v>
      </c>
      <c r="BH193" s="329">
        <f>SUM(BS!BH29,BS!BH35:BH36)</f>
        <v>11.093</v>
      </c>
      <c r="BI193" s="329">
        <f>SUM(BS!BI29,BS!BI35:BI36)</f>
        <v>11.217000000000001</v>
      </c>
      <c r="BJ193" s="329"/>
      <c r="BK193" s="329">
        <f>SUM(BS!BK29,BS!BK35:BK36)</f>
        <v>22.405999999999999</v>
      </c>
      <c r="BL193" s="329">
        <f>SUM(BS!BL29,BS!BL35:BL36)</f>
        <v>20.082999999999998</v>
      </c>
      <c r="BM193" s="329">
        <f>SUM(BS!BM29,BS!BM35:BM36)</f>
        <v>17.462</v>
      </c>
      <c r="BN193" s="329">
        <f>SUM(BS!BN29,BS!BN35:BN36)</f>
        <v>14.676</v>
      </c>
      <c r="BO193" s="329"/>
      <c r="BP193" s="329">
        <f>SUM(BS!BP29,BS!BP35:BP36)</f>
        <v>613.30999999999995</v>
      </c>
      <c r="BQ193" s="329">
        <f>SUM(BS!BQ29,BS!BQ35:BQ36)</f>
        <v>609.74199999999996</v>
      </c>
      <c r="BR193" s="329">
        <f>SUM(BS!BR29,BS!BR35:BR36)</f>
        <v>606.42600000000004</v>
      </c>
      <c r="BS193" s="329">
        <f>SUM(BS!BS29,BS!BS35:BS36)</f>
        <v>603.22900000000004</v>
      </c>
      <c r="BT193" s="329"/>
      <c r="BU193" s="329">
        <f>SUM(BS!BU29,BS!BU35:BU36)</f>
        <v>6.4000000000000001E-2</v>
      </c>
      <c r="BV193" s="329">
        <f>SUM(BS!BV29,BS!BV35:BV36)</f>
        <v>0</v>
      </c>
      <c r="BW193" s="329">
        <f>SUM(BS!BW29,BS!BW35:BW36)</f>
        <v>0</v>
      </c>
      <c r="BX193" s="329">
        <f>SUM(BS!BX29,BS!BX35:BX36)</f>
        <v>0</v>
      </c>
      <c r="BY193" s="329"/>
      <c r="BZ193" s="329">
        <f>SUM(BS!BZ29,BS!BZ35:BZ36)</f>
        <v>0</v>
      </c>
      <c r="CA193" s="329">
        <f>SUM(BS!CA29,BS!CA35:CA36)</f>
        <v>0</v>
      </c>
      <c r="CB193" s="329">
        <f>SUM(BS!CB29,BS!CB35:CB36)</f>
        <v>0</v>
      </c>
      <c r="CC193" s="329">
        <f>SUM(BS!CC29,BS!CC35:CC36)</f>
        <v>0</v>
      </c>
      <c r="CD193" s="329"/>
      <c r="CE193" s="329">
        <f>SUM(BS!CE29,BS!CE35:CE36)</f>
        <v>0</v>
      </c>
      <c r="CF193" s="329">
        <f>SUM(BS!CF29,BS!CF35:CF36)</f>
        <v>0</v>
      </c>
      <c r="CG193" s="329">
        <f>SUM(BS!CG29,BS!CG35:CG36)</f>
        <v>0</v>
      </c>
      <c r="CH193" s="329">
        <f>SUM(BS!CH29,BS!CH35:CH36)</f>
        <v>0</v>
      </c>
      <c r="CI193" s="329"/>
      <c r="CJ193" s="329">
        <f>SUM(BS!CJ29,BS!CJ35:CJ36)</f>
        <v>0</v>
      </c>
      <c r="CK193" s="448">
        <f>SUM(BS!CK29,BS!CK35:CK36)</f>
        <v>0</v>
      </c>
      <c r="CL193" s="448">
        <f>SUM(BS!CL29,BS!CL35:CL36)</f>
        <v>0</v>
      </c>
      <c r="CM193" s="448">
        <f>SUM(BS!CM29,BS!CM35:CM36)</f>
        <v>0</v>
      </c>
      <c r="CN193" s="448"/>
      <c r="CO193" s="448">
        <f>SUM(BS!CO29,BS!CO35:CO36)</f>
        <v>0</v>
      </c>
      <c r="CP193" s="448">
        <f>SUM(BS!CP29,BS!CP35:CP36)</f>
        <v>0</v>
      </c>
      <c r="CQ193" s="448">
        <f>SUM(BS!CQ29,BS!CQ35:CQ36)</f>
        <v>0</v>
      </c>
      <c r="CR193" s="448">
        <f>SUM(BS!CR29,BS!CR35:CR36)</f>
        <v>0</v>
      </c>
      <c r="CS193" s="448"/>
      <c r="CT193" s="448">
        <f>SUM(BS!CT29,BS!CT35:CT36)</f>
        <v>0</v>
      </c>
      <c r="CU193" s="448">
        <f>SUM(BS!CU29,BS!CU35:CU36)</f>
        <v>0</v>
      </c>
      <c r="CV193" s="448">
        <f>SUM(BS!CV29,BS!CV35:CV36)</f>
        <v>0</v>
      </c>
      <c r="CW193" s="448">
        <f>SUM(BS!CW29,BS!CW35:CW36)</f>
        <v>0</v>
      </c>
      <c r="CX193" s="448"/>
      <c r="DA193" s="254"/>
      <c r="DB193" s="243"/>
      <c r="DC193" s="243"/>
    </row>
    <row r="194" spans="1:107" hidden="1" outlineLevel="1">
      <c r="A194" s="329" t="s">
        <v>388</v>
      </c>
      <c r="B194" s="449"/>
      <c r="C194" s="329"/>
      <c r="D194" s="329"/>
      <c r="E194" s="329"/>
      <c r="F194" s="329"/>
      <c r="G194" s="329"/>
      <c r="H194" s="329"/>
      <c r="I194" s="329"/>
      <c r="J194" s="329"/>
      <c r="K194" s="329"/>
      <c r="L194" s="329"/>
      <c r="M194" s="329"/>
      <c r="N194" s="329"/>
      <c r="O194" s="329"/>
      <c r="P194" s="329"/>
      <c r="Q194" s="329"/>
      <c r="R194" s="329"/>
      <c r="S194" s="329"/>
      <c r="T194" s="329"/>
      <c r="U194" s="329"/>
      <c r="V194" s="329"/>
      <c r="W194" s="329"/>
      <c r="X194" s="329"/>
      <c r="Y194" s="329"/>
      <c r="Z194" s="329"/>
      <c r="AA194" s="329"/>
      <c r="AB194" s="329"/>
      <c r="AC194" s="329"/>
      <c r="AD194" s="329"/>
      <c r="AE194" s="329"/>
      <c r="AF194" s="329"/>
      <c r="AG194" s="329"/>
      <c r="AH194" s="329"/>
      <c r="AI194" s="329"/>
      <c r="AJ194" s="329"/>
      <c r="AK194" s="329"/>
      <c r="AL194" s="329"/>
      <c r="AM194" s="329"/>
      <c r="AN194" s="329"/>
      <c r="AO194" s="329"/>
      <c r="AP194" s="329"/>
      <c r="AQ194" s="329"/>
      <c r="AR194" s="329"/>
      <c r="AS194" s="329"/>
      <c r="AT194" s="329"/>
      <c r="AU194" s="329"/>
      <c r="AV194" s="329"/>
      <c r="AW194" s="329"/>
      <c r="AX194" s="329"/>
      <c r="AY194" s="329"/>
      <c r="AZ194" s="329"/>
      <c r="BA194" s="329"/>
      <c r="BB194" s="329"/>
      <c r="BC194" s="329"/>
      <c r="BD194" s="329"/>
      <c r="BE194" s="329"/>
      <c r="BF194" s="329"/>
      <c r="BG194" s="329"/>
      <c r="BH194" s="329"/>
      <c r="BI194" s="329"/>
      <c r="BJ194" s="329"/>
      <c r="BK194" s="329"/>
      <c r="BL194" s="329"/>
      <c r="BM194" s="329"/>
      <c r="BN194" s="329"/>
      <c r="BO194" s="329"/>
      <c r="BP194" s="329"/>
      <c r="BQ194" s="329"/>
      <c r="BR194" s="329"/>
      <c r="BS194" s="329"/>
      <c r="BT194" s="329"/>
      <c r="BU194" s="329"/>
      <c r="BV194" s="329"/>
      <c r="BW194" s="329"/>
      <c r="BX194" s="329"/>
      <c r="BY194" s="329"/>
      <c r="BZ194" s="329"/>
      <c r="CA194" s="329"/>
      <c r="CB194" s="329"/>
      <c r="CC194" s="329"/>
      <c r="CD194" s="329"/>
      <c r="CE194" s="329"/>
      <c r="CF194" s="329"/>
      <c r="CG194" s="329"/>
      <c r="CH194" s="329"/>
      <c r="CI194" s="329"/>
      <c r="CJ194" s="329"/>
      <c r="CK194" s="448"/>
      <c r="CL194" s="448"/>
      <c r="CM194" s="448"/>
      <c r="CN194" s="448"/>
      <c r="CO194" s="448"/>
      <c r="CP194" s="448"/>
      <c r="CQ194" s="448"/>
      <c r="CR194" s="448"/>
      <c r="CS194" s="448"/>
      <c r="CT194" s="448"/>
      <c r="CU194" s="448"/>
      <c r="CV194" s="448"/>
      <c r="CW194" s="448"/>
      <c r="CX194" s="448"/>
      <c r="DA194" s="254"/>
      <c r="DB194" s="243"/>
      <c r="DC194" s="243"/>
    </row>
    <row r="195" spans="1:107" hidden="1" outlineLevel="1">
      <c r="A195" s="329" t="s">
        <v>15</v>
      </c>
      <c r="B195" s="449" t="s">
        <v>541</v>
      </c>
      <c r="C195" s="329">
        <f>-CF!C89</f>
        <v>0</v>
      </c>
      <c r="D195" s="329">
        <f>-CF!D89</f>
        <v>0</v>
      </c>
      <c r="E195" s="329">
        <f>-CF!E89</f>
        <v>0</v>
      </c>
      <c r="F195" s="329">
        <f>-CF!F89</f>
        <v>43.173999999999999</v>
      </c>
      <c r="G195" s="329">
        <f>-CF!G89</f>
        <v>43.173999999999999</v>
      </c>
      <c r="H195" s="329">
        <f>-CF!H89</f>
        <v>5.7290000000000001</v>
      </c>
      <c r="I195" s="329">
        <f>-CF!I89</f>
        <v>7.2610000000000001</v>
      </c>
      <c r="J195" s="329">
        <f>-CF!J89</f>
        <v>7.2780000000000005</v>
      </c>
      <c r="K195" s="329">
        <f>-CF!K89</f>
        <v>11.309999999999999</v>
      </c>
      <c r="L195" s="329">
        <f>-CF!L89</f>
        <v>31.577999999999999</v>
      </c>
      <c r="M195" s="329">
        <f>-CF!M89</f>
        <v>7.49</v>
      </c>
      <c r="N195" s="329">
        <f>-CF!N89</f>
        <v>11.691999999999998</v>
      </c>
      <c r="O195" s="329">
        <f>-CF!O89</f>
        <v>7.6820000000000022</v>
      </c>
      <c r="P195" s="329">
        <f>-CF!P89</f>
        <v>12.59</v>
      </c>
      <c r="Q195" s="329">
        <f>-CF!Q89</f>
        <v>39.454000000000001</v>
      </c>
      <c r="R195" s="329">
        <f>-CF!R89</f>
        <v>14.444000000000001</v>
      </c>
      <c r="S195" s="329">
        <f>-CF!S89</f>
        <v>12.490999999999998</v>
      </c>
      <c r="T195" s="329">
        <f>-CF!T89</f>
        <v>14.416999999999998</v>
      </c>
      <c r="U195" s="329">
        <f>-CF!U89</f>
        <v>21.874000000000002</v>
      </c>
      <c r="V195" s="329">
        <f>-CF!V89</f>
        <v>63.225999999999999</v>
      </c>
      <c r="W195" s="329">
        <f>-CF!W89</f>
        <v>11.512</v>
      </c>
      <c r="X195" s="329">
        <f>-CF!X89</f>
        <v>9.1239999999999988</v>
      </c>
      <c r="Y195" s="329">
        <f>-CF!Y89</f>
        <v>17.470000000000002</v>
      </c>
      <c r="Z195" s="329">
        <f>-CF!Z89</f>
        <v>10.768999999999998</v>
      </c>
      <c r="AA195" s="329">
        <f>-CF!AA89</f>
        <v>48.875</v>
      </c>
      <c r="AB195" s="329">
        <f>-CF!AB89</f>
        <v>11.634</v>
      </c>
      <c r="AC195" s="329">
        <f>-CF!AC89</f>
        <v>19.683</v>
      </c>
      <c r="AD195" s="329">
        <f>-CF!AD89</f>
        <v>18.851999999999997</v>
      </c>
      <c r="AE195" s="329">
        <f>-CF!AE89</f>
        <v>23.548999999999992</v>
      </c>
      <c r="AF195" s="329">
        <f>-CF!AF89</f>
        <v>73.717999999999989</v>
      </c>
      <c r="AG195" s="329">
        <f>-CF!AG89</f>
        <v>48.3</v>
      </c>
      <c r="AH195" s="329">
        <f>-CF!AH89</f>
        <v>23.484000000000009</v>
      </c>
      <c r="AI195" s="329">
        <f>-CF!AI89</f>
        <v>32.159999999999997</v>
      </c>
      <c r="AJ195" s="329">
        <f>-CF!AJ89</f>
        <v>28.130999999999986</v>
      </c>
      <c r="AK195" s="329">
        <f>-CF!AK89</f>
        <v>132.07499999999999</v>
      </c>
      <c r="AL195" s="329">
        <f>-CF!AL89</f>
        <v>26.268000000000001</v>
      </c>
      <c r="AM195" s="329">
        <f>-CF!AM89</f>
        <v>22.402999999999999</v>
      </c>
      <c r="AN195" s="329">
        <f>-CF!AN89</f>
        <v>39.809999999999995</v>
      </c>
      <c r="AO195" s="329">
        <f>-CF!AO89</f>
        <v>23.311000000000007</v>
      </c>
      <c r="AP195" s="329">
        <f>-CF!AP89</f>
        <v>111.792</v>
      </c>
      <c r="AQ195" s="329">
        <f>-CF!AQ89</f>
        <v>15.916</v>
      </c>
      <c r="AR195" s="329">
        <f>-CF!AR89</f>
        <v>10.312000000000001</v>
      </c>
      <c r="AS195" s="329">
        <f>-CF!AS89</f>
        <v>58.43099999999999</v>
      </c>
      <c r="AT195" s="329">
        <f>-CF!AT89</f>
        <v>34.933</v>
      </c>
      <c r="AU195" s="329">
        <f>-CF!AU89</f>
        <v>119.59199999999998</v>
      </c>
      <c r="AV195" s="329">
        <f>-CF!AV89</f>
        <v>25.547000000000001</v>
      </c>
      <c r="AW195" s="329">
        <f>-CF!AW89</f>
        <v>49.628</v>
      </c>
      <c r="AX195" s="329">
        <f>-CF!AX89</f>
        <v>6.8889999999999958</v>
      </c>
      <c r="AY195" s="329">
        <f>-CF!AY89</f>
        <v>55.426999999999992</v>
      </c>
      <c r="AZ195" s="329">
        <f>-CF!AZ89</f>
        <v>137.49099999999999</v>
      </c>
      <c r="BA195" s="329">
        <f>-CF!BA89</f>
        <v>32.420999999999999</v>
      </c>
      <c r="BB195" s="329">
        <f>-CF!BB89</f>
        <v>37.500999999999998</v>
      </c>
      <c r="BC195" s="329">
        <f>-CF!BC89</f>
        <v>65.474999999999994</v>
      </c>
      <c r="BD195" s="329">
        <f>-CF!BD89</f>
        <v>74.896999999999991</v>
      </c>
      <c r="BE195" s="329">
        <f>-CF!BE89</f>
        <v>210.29399999999998</v>
      </c>
      <c r="BF195" s="329">
        <f>-CF!BF89</f>
        <v>51.088000000000001</v>
      </c>
      <c r="BG195" s="329">
        <f>-CF!BG89</f>
        <v>60.767000000000003</v>
      </c>
      <c r="BH195" s="329">
        <f>-CF!BH89</f>
        <v>77.432000000000002</v>
      </c>
      <c r="BI195" s="329">
        <f>-CF!BI89</f>
        <v>81.789000000000016</v>
      </c>
      <c r="BJ195" s="329">
        <f>-CF!BJ89</f>
        <v>271.07600000000002</v>
      </c>
      <c r="BK195" s="329">
        <f>-CF!BK89</f>
        <v>60.19</v>
      </c>
      <c r="BL195" s="329">
        <f>-CF!BL89</f>
        <v>46.248999999999995</v>
      </c>
      <c r="BM195" s="329">
        <f>-CF!BM89</f>
        <v>46.798000000000002</v>
      </c>
      <c r="BN195" s="329">
        <f>-CF!BN89</f>
        <v>35.121000000000009</v>
      </c>
      <c r="BO195" s="329">
        <f>-CF!BO89</f>
        <v>188.358</v>
      </c>
      <c r="BP195" s="329">
        <f>-CF!BP89</f>
        <v>29.393000000000001</v>
      </c>
      <c r="BQ195" s="329">
        <f>-CF!BQ89</f>
        <v>27.198</v>
      </c>
      <c r="BR195" s="329">
        <f>-CF!BR89</f>
        <v>54.966000000000001</v>
      </c>
      <c r="BS195" s="329">
        <f>-CF!BS89</f>
        <v>36.774999999999991</v>
      </c>
      <c r="BT195" s="329">
        <f>-CF!BT89</f>
        <v>148.33199999999999</v>
      </c>
      <c r="BU195" s="329">
        <f>-CF!BU89</f>
        <v>35.545999999999999</v>
      </c>
      <c r="BV195" s="329">
        <f>-CF!BV89</f>
        <v>35.729999999999997</v>
      </c>
      <c r="BW195" s="329">
        <f>-CF!BW89</f>
        <v>48.983999999999995</v>
      </c>
      <c r="BX195" s="329">
        <f>-CF!BX89</f>
        <v>64.676000000000016</v>
      </c>
      <c r="BY195" s="329">
        <f>-CF!BY89</f>
        <v>184.93600000000001</v>
      </c>
      <c r="BZ195" s="329">
        <f>-CF!BZ89</f>
        <v>46.2</v>
      </c>
      <c r="CA195" s="329">
        <f>-CF!CA89</f>
        <v>53.759</v>
      </c>
      <c r="CB195" s="329">
        <f>-CF!CB89</f>
        <v>55.212999999999994</v>
      </c>
      <c r="CC195" s="329">
        <f>-CF!CC89</f>
        <v>48.63300000000001</v>
      </c>
      <c r="CD195" s="329">
        <f>-CF!CD89</f>
        <v>203.80500000000001</v>
      </c>
      <c r="CE195" s="329">
        <f>-CF!CE89</f>
        <v>30.902999999999999</v>
      </c>
      <c r="CF195" s="329">
        <f>-CF!CF89</f>
        <v>55.297000000000004</v>
      </c>
      <c r="CG195" s="329">
        <f>-CF!CG89</f>
        <v>54.237999999999985</v>
      </c>
      <c r="CH195" s="329">
        <f>-CF!CH89</f>
        <v>37.684000000000026</v>
      </c>
      <c r="CI195" s="329">
        <f>-CF!CI89</f>
        <v>178.12200000000001</v>
      </c>
      <c r="CJ195" s="329">
        <f>-CF!CJ89</f>
        <v>95.141999999999996</v>
      </c>
      <c r="CK195" s="448">
        <f>-CF!CK89</f>
        <v>56.711323987638821</v>
      </c>
      <c r="CL195" s="448">
        <f>-CF!CL89</f>
        <v>59.65413647173483</v>
      </c>
      <c r="CM195" s="448">
        <f>-CF!CM89</f>
        <v>62.266602819523484</v>
      </c>
      <c r="CN195" s="448">
        <f>-CF!CN89</f>
        <v>273.77406327889713</v>
      </c>
      <c r="CO195" s="448">
        <f>-CF!CO89</f>
        <v>64.993145852362787</v>
      </c>
      <c r="CP195" s="448">
        <f>-CF!CP89</f>
        <v>67.764838626835441</v>
      </c>
      <c r="CQ195" s="448">
        <f>-CF!CQ89</f>
        <v>70.681429389047821</v>
      </c>
      <c r="CR195" s="448">
        <f>-CF!CR89</f>
        <v>73.7397103388451</v>
      </c>
      <c r="CS195" s="448">
        <f>-CF!CS89</f>
        <v>277.17912420709115</v>
      </c>
      <c r="CT195" s="448">
        <f>-CF!CT89</f>
        <v>76.791730269787124</v>
      </c>
      <c r="CU195" s="448">
        <f>-CF!CU89</f>
        <v>79.82229991639521</v>
      </c>
      <c r="CV195" s="448">
        <f>-CF!CV89</f>
        <v>82.810863686344987</v>
      </c>
      <c r="CW195" s="448">
        <f>-CF!CW89</f>
        <v>85.785701284531456</v>
      </c>
      <c r="CX195" s="448">
        <f>-CF!CX89</f>
        <v>325.21059515705878</v>
      </c>
      <c r="DA195" s="254"/>
      <c r="DB195" s="243"/>
      <c r="DC195" s="243"/>
    </row>
    <row r="196" spans="1:107" hidden="1" outlineLevel="1">
      <c r="A196" s="329" t="s">
        <v>159</v>
      </c>
      <c r="B196" s="449" t="s">
        <v>160</v>
      </c>
      <c r="C196" s="329">
        <f>CF!C87</f>
        <v>62.950999999999972</v>
      </c>
      <c r="D196" s="329">
        <f>CF!D87</f>
        <v>49.883000000000045</v>
      </c>
      <c r="E196" s="329">
        <f>CF!E87</f>
        <v>26.099000000000004</v>
      </c>
      <c r="F196" s="329">
        <f>CF!F87</f>
        <v>240.24899999999991</v>
      </c>
      <c r="G196" s="329">
        <f>CF!G87</f>
        <v>379.18199999999996</v>
      </c>
      <c r="H196" s="329">
        <f>CF!H87</f>
        <v>38.063000000000009</v>
      </c>
      <c r="I196" s="329">
        <f>CF!I87</f>
        <v>108.77000000000005</v>
      </c>
      <c r="J196" s="329">
        <f>CF!J87</f>
        <v>46.579000000000036</v>
      </c>
      <c r="K196" s="329">
        <f>CF!K87</f>
        <v>135.91899999999995</v>
      </c>
      <c r="L196" s="329">
        <f>CF!L87</f>
        <v>329.33100000000007</v>
      </c>
      <c r="M196" s="329">
        <f>CF!M87</f>
        <v>79.346999999999952</v>
      </c>
      <c r="N196" s="329">
        <f>CF!N87</f>
        <v>128.09099999999995</v>
      </c>
      <c r="O196" s="329">
        <f>CF!O87</f>
        <v>97.08299999999997</v>
      </c>
      <c r="P196" s="329">
        <f>CF!P87</f>
        <v>128.61499999999998</v>
      </c>
      <c r="Q196" s="329">
        <f>CF!Q87</f>
        <v>433.1359999999998</v>
      </c>
      <c r="R196" s="329">
        <f>CF!R87</f>
        <v>185.46099999999993</v>
      </c>
      <c r="S196" s="329">
        <f>CF!S87</f>
        <v>146.99999999999994</v>
      </c>
      <c r="T196" s="329">
        <f>CF!T87</f>
        <v>160.44599999999997</v>
      </c>
      <c r="U196" s="329">
        <f>CF!U87</f>
        <v>190.83699999999999</v>
      </c>
      <c r="V196" s="329">
        <f>CF!V87</f>
        <v>683.7439999999998</v>
      </c>
      <c r="W196" s="329">
        <f>CF!W87</f>
        <v>164.09700000000001</v>
      </c>
      <c r="X196" s="329">
        <f>CF!X87</f>
        <v>170.98199999999986</v>
      </c>
      <c r="Y196" s="329">
        <f>CF!Y87</f>
        <v>173.02099999999993</v>
      </c>
      <c r="Z196" s="329">
        <f>CF!Z87</f>
        <v>222.25300000000004</v>
      </c>
      <c r="AA196" s="329">
        <f>CF!AA87</f>
        <v>730.35299999999984</v>
      </c>
      <c r="AB196" s="329">
        <f>CF!AB87</f>
        <v>177.80100000000007</v>
      </c>
      <c r="AC196" s="329">
        <f>CF!AC87</f>
        <v>241.26600000000002</v>
      </c>
      <c r="AD196" s="329">
        <f>CF!AD87</f>
        <v>180.19099999999997</v>
      </c>
      <c r="AE196" s="329">
        <f>CF!AE87</f>
        <v>236.68399999999997</v>
      </c>
      <c r="AF196" s="329">
        <f>CF!AF87</f>
        <v>835.94199999999967</v>
      </c>
      <c r="AG196" s="329">
        <f>CF!AG87</f>
        <v>270.51800000000014</v>
      </c>
      <c r="AH196" s="329">
        <f>CF!AH87</f>
        <v>345.399</v>
      </c>
      <c r="AI196" s="329">
        <f>CF!AI87</f>
        <v>425.1699999999999</v>
      </c>
      <c r="AJ196" s="329">
        <f>CF!AJ87</f>
        <v>398.02699999999976</v>
      </c>
      <c r="AK196" s="329">
        <f>CF!AK87</f>
        <v>1439.1139999999998</v>
      </c>
      <c r="AL196" s="329">
        <f>CF!AL87</f>
        <v>399.3</v>
      </c>
      <c r="AM196" s="329">
        <f>CF!AM87</f>
        <v>331.791</v>
      </c>
      <c r="AN196" s="329">
        <f>CF!AN87</f>
        <v>211.7709999999999</v>
      </c>
      <c r="AO196" s="329">
        <f>CF!AO87</f>
        <v>337.81999999999994</v>
      </c>
      <c r="AP196" s="329">
        <f>CF!AP87</f>
        <v>1280.6819999999998</v>
      </c>
      <c r="AQ196" s="329">
        <f>CF!AQ87</f>
        <v>365.74299999999994</v>
      </c>
      <c r="AR196" s="329">
        <f>CF!AR87</f>
        <v>261.52900000000005</v>
      </c>
      <c r="AS196" s="329">
        <f>CF!AS87</f>
        <v>236.68100000000013</v>
      </c>
      <c r="AT196" s="329">
        <f>CF!AT87</f>
        <v>253.81900000000002</v>
      </c>
      <c r="AU196" s="329">
        <f>CF!AU87</f>
        <v>1117.7720000000002</v>
      </c>
      <c r="AV196" s="329">
        <f>CF!AV87</f>
        <v>302.38899999999995</v>
      </c>
      <c r="AW196" s="329">
        <f>CF!AW87</f>
        <v>295.69</v>
      </c>
      <c r="AX196" s="329">
        <f>CF!AX87</f>
        <v>308.04299999999995</v>
      </c>
      <c r="AY196" s="329">
        <f>CF!AY87</f>
        <v>316.21099999999979</v>
      </c>
      <c r="AZ196" s="329">
        <f>CF!AZ87</f>
        <v>1112.9849999999997</v>
      </c>
      <c r="BA196" s="329">
        <f>CF!BA87</f>
        <v>345.82299999999998</v>
      </c>
      <c r="BB196" s="329">
        <f>CF!BB87</f>
        <v>427.96</v>
      </c>
      <c r="BC196" s="329">
        <f>CF!BC87</f>
        <v>326.48800000000006</v>
      </c>
      <c r="BD196" s="329">
        <f>CF!BD87</f>
        <v>544.15199999999993</v>
      </c>
      <c r="BE196" s="329">
        <f>CF!BE87</f>
        <v>1543.3140000000001</v>
      </c>
      <c r="BF196" s="329">
        <f>CF!BF87</f>
        <v>314.36299999999994</v>
      </c>
      <c r="BG196" s="329">
        <f>CF!BG87</f>
        <v>448.2179999999999</v>
      </c>
      <c r="BH196" s="329">
        <f>CF!BH87</f>
        <v>263.34000000000003</v>
      </c>
      <c r="BI196" s="329">
        <f>CF!BI87</f>
        <v>473.65900000000005</v>
      </c>
      <c r="BJ196" s="329">
        <f>CF!BJ87</f>
        <v>1499.5799999999997</v>
      </c>
      <c r="BK196" s="329">
        <f>CF!BK87</f>
        <v>322.03100000000001</v>
      </c>
      <c r="BL196" s="329">
        <f>CF!BL87</f>
        <v>299.14800000000002</v>
      </c>
      <c r="BM196" s="329">
        <f>CF!BM87</f>
        <v>215.52499999999992</v>
      </c>
      <c r="BN196" s="329">
        <f>CF!BN87</f>
        <v>314.98200000000003</v>
      </c>
      <c r="BO196" s="329">
        <f>CF!BO87</f>
        <v>1151.6860000000001</v>
      </c>
      <c r="BP196" s="329">
        <f>CF!BP87</f>
        <v>251.67299999999997</v>
      </c>
      <c r="BQ196" s="329">
        <f>CF!BQ87</f>
        <v>367.536</v>
      </c>
      <c r="BR196" s="329">
        <f>CF!BR87</f>
        <v>268.52000000000004</v>
      </c>
      <c r="BS196" s="329">
        <f>CF!BS87</f>
        <v>399.75299999999999</v>
      </c>
      <c r="BT196" s="329">
        <f>CF!BT87</f>
        <v>1287.4820000000002</v>
      </c>
      <c r="BU196" s="329">
        <f>CF!BU87</f>
        <v>202.05900000000008</v>
      </c>
      <c r="BV196" s="329">
        <f>CF!BV87</f>
        <v>471.48399999999992</v>
      </c>
      <c r="BW196" s="329">
        <f>CF!BW87</f>
        <v>360.48800000000006</v>
      </c>
      <c r="BX196" s="329">
        <f>CF!BX87</f>
        <v>454.5150000000001</v>
      </c>
      <c r="BY196" s="329">
        <f>CF!BY87</f>
        <v>1469.502</v>
      </c>
      <c r="BZ196" s="329">
        <f>CF!BZ87</f>
        <v>497.5270000000001</v>
      </c>
      <c r="CA196" s="329">
        <f>CF!CA87</f>
        <v>488.71499999999992</v>
      </c>
      <c r="CB196" s="329">
        <f>CF!CB87</f>
        <v>517.88499999999999</v>
      </c>
      <c r="CC196" s="329">
        <f>CF!CC87</f>
        <v>695.601</v>
      </c>
      <c r="CD196" s="329">
        <f>CF!CD87</f>
        <v>2199.7280000000001</v>
      </c>
      <c r="CE196" s="329">
        <f>CF!CE87</f>
        <v>730.37000000000012</v>
      </c>
      <c r="CF196" s="329">
        <f>CF!CF87</f>
        <v>644.827</v>
      </c>
      <c r="CG196" s="329">
        <f>CF!CG87</f>
        <v>704.43599999999981</v>
      </c>
      <c r="CH196" s="329">
        <f>CF!CH87</f>
        <v>833.22</v>
      </c>
      <c r="CI196" s="329">
        <f>CF!CI87</f>
        <v>2912.8530000000001</v>
      </c>
      <c r="CJ196" s="329">
        <f>CF!CJ87</f>
        <v>989.60100000000034</v>
      </c>
      <c r="CK196" s="448">
        <f>CF!CK87</f>
        <v>856.45765350847955</v>
      </c>
      <c r="CL196" s="448">
        <f>CF!CL87</f>
        <v>910.59484030696285</v>
      </c>
      <c r="CM196" s="448">
        <f>CF!CM87</f>
        <v>1196.5486689053444</v>
      </c>
      <c r="CN196" s="448">
        <f>CF!CN87</f>
        <v>3953.2021627207878</v>
      </c>
      <c r="CO196" s="448">
        <f>CF!CO87</f>
        <v>1002.3379860508379</v>
      </c>
      <c r="CP196" s="448">
        <f>CF!CP87</f>
        <v>989.17959855846186</v>
      </c>
      <c r="CQ196" s="448">
        <f>CF!CQ87</f>
        <v>1045.8795383815846</v>
      </c>
      <c r="CR196" s="448">
        <f>CF!CR87</f>
        <v>1373.877628000409</v>
      </c>
      <c r="CS196" s="448">
        <f>CF!CS87</f>
        <v>4411.2747509912933</v>
      </c>
      <c r="CT196" s="448">
        <f>CF!CT87</f>
        <v>1232.2380947587969</v>
      </c>
      <c r="CU196" s="448">
        <f>CF!CU87</f>
        <v>1171.1388694312548</v>
      </c>
      <c r="CV196" s="448">
        <f>CF!CV87</f>
        <v>1227.8537801887985</v>
      </c>
      <c r="CW196" s="448">
        <f>CF!CW87</f>
        <v>1594.6560249191334</v>
      </c>
      <c r="CX196" s="448">
        <f>CF!CX87</f>
        <v>5225.8867692979829</v>
      </c>
      <c r="DA196" s="254"/>
      <c r="DB196" s="243"/>
      <c r="DC196" s="243"/>
    </row>
    <row r="197" spans="1:107" hidden="1" outlineLevel="1">
      <c r="A197" s="329" t="s">
        <v>16</v>
      </c>
      <c r="B197" s="449" t="s">
        <v>540</v>
      </c>
      <c r="C197" s="329"/>
      <c r="D197" s="329"/>
      <c r="E197" s="329"/>
      <c r="F197" s="329"/>
      <c r="G197" s="329"/>
      <c r="H197" s="329">
        <f>CF!H64</f>
        <v>13.803000000000001</v>
      </c>
      <c r="I197" s="329">
        <f>CF!I64</f>
        <v>15.721999999999998</v>
      </c>
      <c r="J197" s="329">
        <f>CF!J64</f>
        <v>16.841000000000001</v>
      </c>
      <c r="K197" s="329">
        <f>CF!K64</f>
        <v>17.116</v>
      </c>
      <c r="L197" s="329">
        <f>CF!L64</f>
        <v>63.481999999999999</v>
      </c>
      <c r="M197" s="329">
        <f>CF!M64</f>
        <v>11.992000000000001</v>
      </c>
      <c r="N197" s="329">
        <f>CF!N64</f>
        <v>12.064999999999998</v>
      </c>
      <c r="O197" s="329">
        <f>CF!O64</f>
        <v>12.181999999999999</v>
      </c>
      <c r="P197" s="329">
        <f>CF!P64</f>
        <v>12.775000000000006</v>
      </c>
      <c r="Q197" s="329">
        <f>CF!Q64</f>
        <v>49.014000000000003</v>
      </c>
      <c r="R197" s="329">
        <f>CF!R64</f>
        <v>13.438000000000001</v>
      </c>
      <c r="S197" s="329">
        <f>CF!S64</f>
        <v>14.740999999999998</v>
      </c>
      <c r="T197" s="329">
        <f>CF!T64</f>
        <v>14.827999999999999</v>
      </c>
      <c r="U197" s="329">
        <f>CF!U64</f>
        <v>17.801000000000002</v>
      </c>
      <c r="V197" s="329">
        <f>CF!V64</f>
        <v>60.808</v>
      </c>
      <c r="W197" s="329">
        <f>CF!W64</f>
        <v>14.954000000000001</v>
      </c>
      <c r="X197" s="329">
        <f>CF!X64</f>
        <v>15.128</v>
      </c>
      <c r="Y197" s="329">
        <f>CF!Y64</f>
        <v>17.798000000000002</v>
      </c>
      <c r="Z197" s="329">
        <f>CF!Z64</f>
        <v>16.454999999999991</v>
      </c>
      <c r="AA197" s="329">
        <f>CF!AA64</f>
        <v>64.334999999999994</v>
      </c>
      <c r="AB197" s="329">
        <f>CF!AB64</f>
        <v>16.828000000000003</v>
      </c>
      <c r="AC197" s="329">
        <f>CF!AC64</f>
        <v>21.036999999999992</v>
      </c>
      <c r="AD197" s="329">
        <f>CF!AD64</f>
        <v>18.220999999999989</v>
      </c>
      <c r="AE197" s="329">
        <f>CF!AE64</f>
        <v>72.543000000000006</v>
      </c>
      <c r="AF197" s="329">
        <f>CF!AF64</f>
        <v>128.62899999999999</v>
      </c>
      <c r="AG197" s="329">
        <f>CF!AG64</f>
        <v>15.927000000000007</v>
      </c>
      <c r="AH197" s="329">
        <f>CF!AH64</f>
        <v>24.995999999999995</v>
      </c>
      <c r="AI197" s="329">
        <f>CF!AI64</f>
        <v>35.194000000000017</v>
      </c>
      <c r="AJ197" s="329">
        <f>CF!AJ64</f>
        <v>31.620000000000005</v>
      </c>
      <c r="AK197" s="329">
        <f>CF!AK64</f>
        <v>107.73700000000002</v>
      </c>
      <c r="AL197" s="329">
        <f>CF!AL64</f>
        <v>30.131</v>
      </c>
      <c r="AM197" s="329">
        <f>CF!AM64</f>
        <v>27.486000000000018</v>
      </c>
      <c r="AN197" s="329">
        <f>CF!AN64</f>
        <v>45.655000000000001</v>
      </c>
      <c r="AO197" s="329">
        <f>CF!AO64</f>
        <v>52.707999999999998</v>
      </c>
      <c r="AP197" s="329">
        <f>CF!AP64</f>
        <v>155.98000000000002</v>
      </c>
      <c r="AQ197" s="329">
        <f>CF!AQ64</f>
        <v>51.715999999999994</v>
      </c>
      <c r="AR197" s="329">
        <f>CF!AR64</f>
        <v>64.724999999999994</v>
      </c>
      <c r="AS197" s="329">
        <f>CF!AS64</f>
        <v>60.49499999999999</v>
      </c>
      <c r="AT197" s="329">
        <f>CF!AT64</f>
        <v>85.037000000000006</v>
      </c>
      <c r="AU197" s="329">
        <f>CF!AU64</f>
        <v>261.97299999999996</v>
      </c>
      <c r="AV197" s="329">
        <f>CF!AV64</f>
        <v>68.581000000000003</v>
      </c>
      <c r="AW197" s="329">
        <f>CF!AW64</f>
        <v>74.90600000000002</v>
      </c>
      <c r="AX197" s="329">
        <f>CF!AX64</f>
        <v>73.153999999999996</v>
      </c>
      <c r="AY197" s="329">
        <f>CF!AY64</f>
        <v>76.09699999999998</v>
      </c>
      <c r="AZ197" s="329">
        <f>CF!AZ64</f>
        <v>292.738</v>
      </c>
      <c r="BA197" s="329">
        <f>CF!BA64</f>
        <v>66.286000000000001</v>
      </c>
      <c r="BB197" s="329">
        <f>CF!BB64</f>
        <v>66.62</v>
      </c>
      <c r="BC197" s="329">
        <f>CF!BC64</f>
        <v>64.008999999999986</v>
      </c>
      <c r="BD197" s="329">
        <f>CF!BD64</f>
        <v>73.289999999999992</v>
      </c>
      <c r="BE197" s="329">
        <f>CF!BE64</f>
        <v>270.20499999999998</v>
      </c>
      <c r="BF197" s="329">
        <f>CF!BF64</f>
        <v>69.861000000000004</v>
      </c>
      <c r="BG197" s="329">
        <f>CF!BG64</f>
        <v>77.173999999999992</v>
      </c>
      <c r="BH197" s="329">
        <f>CF!BH64</f>
        <v>74.110000000000014</v>
      </c>
      <c r="BI197" s="329">
        <f>CF!BI64</f>
        <v>78.621000000000009</v>
      </c>
      <c r="BJ197" s="329">
        <f>CF!BJ64</f>
        <v>299.76600000000002</v>
      </c>
      <c r="BK197" s="329">
        <f>CF!BK64</f>
        <v>76.751999999999995</v>
      </c>
      <c r="BL197" s="329">
        <f>CF!BL64</f>
        <v>80.95</v>
      </c>
      <c r="BM197" s="329">
        <f>CF!BM64</f>
        <v>82.175000000000011</v>
      </c>
      <c r="BN197" s="329">
        <f>CF!BN64</f>
        <v>81.349999999999966</v>
      </c>
      <c r="BO197" s="329">
        <f>CF!BO64</f>
        <v>321.22699999999998</v>
      </c>
      <c r="BP197" s="329">
        <f>CF!BP64</f>
        <v>77.635999999999996</v>
      </c>
      <c r="BQ197" s="329">
        <f>CF!BQ64</f>
        <v>77.652999999999992</v>
      </c>
      <c r="BR197" s="329">
        <f>CF!BR64</f>
        <v>80.154000000000025</v>
      </c>
      <c r="BS197" s="329">
        <f>CF!BS64</f>
        <v>78.146999999999963</v>
      </c>
      <c r="BT197" s="329">
        <f>CF!BT64</f>
        <v>313.58999999999997</v>
      </c>
      <c r="BU197" s="329">
        <f>CF!BU64</f>
        <v>79.635000000000005</v>
      </c>
      <c r="BV197" s="329">
        <f>CF!BV64</f>
        <v>85.929000000000016</v>
      </c>
      <c r="BW197" s="329">
        <f>CF!BW64</f>
        <v>87.549999999999983</v>
      </c>
      <c r="BX197" s="329">
        <f>CF!BX64</f>
        <v>86.359000000000009</v>
      </c>
      <c r="BY197" s="329">
        <f>CF!BY64</f>
        <v>339.47300000000001</v>
      </c>
      <c r="BZ197" s="329">
        <f>CF!BZ64</f>
        <v>81.2</v>
      </c>
      <c r="CA197" s="329">
        <f>CF!CA64</f>
        <v>84.460999999999999</v>
      </c>
      <c r="CB197" s="329">
        <f>CF!CB64</f>
        <v>84.01400000000001</v>
      </c>
      <c r="CC197" s="329">
        <f>CF!CC64</f>
        <v>81.860000000000014</v>
      </c>
      <c r="CD197" s="329">
        <f>CF!CD64</f>
        <v>331.53500000000003</v>
      </c>
      <c r="CE197" s="329">
        <f>CF!CE64</f>
        <v>80.808999999999997</v>
      </c>
      <c r="CF197" s="329">
        <f>CF!CF64</f>
        <v>81.634999999999991</v>
      </c>
      <c r="CG197" s="329">
        <f>CF!CG64</f>
        <v>82.319000000000017</v>
      </c>
      <c r="CH197" s="329">
        <f>CF!CH64</f>
        <v>81.234000000000009</v>
      </c>
      <c r="CI197" s="329">
        <f>CF!CI64</f>
        <v>325.99700000000001</v>
      </c>
      <c r="CJ197" s="329">
        <f>CF!CJ64</f>
        <v>76.522000000000006</v>
      </c>
      <c r="CK197" s="448">
        <f>CF!CK64</f>
        <v>76.90000000000002</v>
      </c>
      <c r="CL197" s="448">
        <f>CF!CL64</f>
        <v>77.900000000000006</v>
      </c>
      <c r="CM197" s="448">
        <f>CF!CM64</f>
        <v>78.900000000000006</v>
      </c>
      <c r="CN197" s="448">
        <f>CF!CN64</f>
        <v>310.22200000000004</v>
      </c>
      <c r="CO197" s="448">
        <f>CF!CO64</f>
        <v>79.900000000000006</v>
      </c>
      <c r="CP197" s="448">
        <f>CF!CP64</f>
        <v>80.900000000000006</v>
      </c>
      <c r="CQ197" s="448">
        <f>CF!CQ64</f>
        <v>81.900000000000006</v>
      </c>
      <c r="CR197" s="448">
        <f>CF!CR64</f>
        <v>82.9</v>
      </c>
      <c r="CS197" s="448">
        <f>CF!CS64</f>
        <v>325.60000000000002</v>
      </c>
      <c r="CT197" s="448">
        <f>CF!CT64</f>
        <v>83.9</v>
      </c>
      <c r="CU197" s="448">
        <f>CF!CU64</f>
        <v>84.9</v>
      </c>
      <c r="CV197" s="448">
        <f>CF!CV64</f>
        <v>85.9</v>
      </c>
      <c r="CW197" s="448">
        <f>CF!CW64</f>
        <v>86.9</v>
      </c>
      <c r="CX197" s="448">
        <f>CF!CX64</f>
        <v>341.6</v>
      </c>
      <c r="DA197" s="254"/>
      <c r="DB197" s="243"/>
      <c r="DC197" s="243"/>
    </row>
    <row r="198" spans="1:107" hidden="1" outlineLevel="1">
      <c r="A198" s="90" t="s">
        <v>197</v>
      </c>
      <c r="B198" s="412"/>
      <c r="C198" s="329"/>
      <c r="D198" s="329"/>
      <c r="E198" s="329"/>
      <c r="F198" s="329"/>
      <c r="G198" s="329"/>
      <c r="H198" s="329"/>
      <c r="I198" s="329"/>
      <c r="J198" s="329"/>
      <c r="K198" s="329"/>
      <c r="L198" s="329"/>
      <c r="M198" s="329">
        <f>BS!M95</f>
        <v>41.684341265430547</v>
      </c>
      <c r="N198" s="329">
        <f>BS!N95</f>
        <v>36.832796599051683</v>
      </c>
      <c r="O198" s="329">
        <f>BS!O95</f>
        <v>31.083766553230429</v>
      </c>
      <c r="P198" s="329">
        <f>BS!P95</f>
        <v>37.232013380332759</v>
      </c>
      <c r="Q198" s="329">
        <f>BS!Q95</f>
        <v>41.24622996426335</v>
      </c>
      <c r="R198" s="329">
        <f>BS!R95</f>
        <v>26.506372244442815</v>
      </c>
      <c r="S198" s="329">
        <f>BS!S95</f>
        <v>23.509583379055563</v>
      </c>
      <c r="T198" s="329">
        <f>BS!T95</f>
        <v>24.99247299442921</v>
      </c>
      <c r="U198" s="329">
        <f>BS!U95</f>
        <v>30.156975404072625</v>
      </c>
      <c r="V198" s="329">
        <f>BS!V95</f>
        <v>31.087552900219066</v>
      </c>
      <c r="W198" s="329">
        <f>BS!W95</f>
        <v>26.697188727843312</v>
      </c>
      <c r="X198" s="329">
        <f>BS!X95</f>
        <v>31.673120422394661</v>
      </c>
      <c r="Y198" s="329">
        <f>BS!Y95</f>
        <v>29.459211685306517</v>
      </c>
      <c r="Z198" s="329">
        <f>BS!Z95</f>
        <v>30.974734555842705</v>
      </c>
      <c r="AA198" s="329">
        <f>BS!AA95</f>
        <v>32.158749766696282</v>
      </c>
      <c r="AB198" s="329">
        <f>BS!AB95</f>
        <v>39.192181125834885</v>
      </c>
      <c r="AC198" s="329">
        <f>BS!AC95</f>
        <v>39.667419931513749</v>
      </c>
      <c r="AD198" s="329">
        <f>BS!AD95</f>
        <v>43.123315526137063</v>
      </c>
      <c r="AE198" s="329">
        <f>BS!AE95</f>
        <v>47.72876278081138</v>
      </c>
      <c r="AF198" s="329">
        <f>BS!AF95</f>
        <v>50.571768337669404</v>
      </c>
      <c r="AG198" s="329">
        <f>BS!AG95</f>
        <v>42.820996693906899</v>
      </c>
      <c r="AH198" s="329">
        <f>BS!AH95</f>
        <v>38.930536349699629</v>
      </c>
      <c r="AI198" s="329">
        <f>BS!AI95</f>
        <v>27.958615323018105</v>
      </c>
      <c r="AJ198" s="329">
        <f>BS!AJ95</f>
        <v>31.85950482380041</v>
      </c>
      <c r="AK198" s="329">
        <f>BS!AK95</f>
        <v>36.772419543358346</v>
      </c>
      <c r="AL198" s="329">
        <f>BS!AL95</f>
        <v>30.052976320828353</v>
      </c>
      <c r="AM198" s="329">
        <f>BS!AM95</f>
        <v>33.042507718015614</v>
      </c>
      <c r="AN198" s="329">
        <f>BS!AN95</f>
        <v>33.730094549831676</v>
      </c>
      <c r="AO198" s="329">
        <f>BS!AO95</f>
        <v>46.58041726164398</v>
      </c>
      <c r="AP198" s="329">
        <f>BS!AP95</f>
        <v>47.638463092012067</v>
      </c>
      <c r="AQ198" s="329">
        <f>BS!AQ95</f>
        <v>34.816541410750396</v>
      </c>
      <c r="AR198" s="329">
        <f>BS!AR95</f>
        <v>34.004520536475788</v>
      </c>
      <c r="AS198" s="329">
        <f>BS!AS95</f>
        <v>36.866854024404056</v>
      </c>
      <c r="AT198" s="329">
        <f>BS!AT95</f>
        <v>49.509508004273179</v>
      </c>
      <c r="AU198" s="329">
        <f>BS!AU95</f>
        <v>50.909137353425322</v>
      </c>
      <c r="AV198" s="329">
        <f>BS!AV95</f>
        <v>37.254164725748218</v>
      </c>
      <c r="AW198" s="329">
        <f>BS!AW95</f>
        <v>42.493151102557171</v>
      </c>
      <c r="AX198" s="329">
        <f>BS!AX95</f>
        <v>44.647419164935741</v>
      </c>
      <c r="AY198" s="329">
        <f>BS!AY95</f>
        <v>50.18367055377967</v>
      </c>
      <c r="AZ198" s="329">
        <f>BS!AZ95</f>
        <v>53.244663157894735</v>
      </c>
      <c r="BA198" s="329">
        <f>BS!BA95</f>
        <v>47.356404701344538</v>
      </c>
      <c r="BB198" s="329">
        <f>BS!BB95</f>
        <v>50.706682310719827</v>
      </c>
      <c r="BC198" s="329">
        <f>BS!BC95</f>
        <v>50.372429461948741</v>
      </c>
      <c r="BD198" s="329">
        <f>BS!BD95</f>
        <v>50.241707756120903</v>
      </c>
      <c r="BE198" s="329">
        <f>BS!BE95</f>
        <v>54.917451683459603</v>
      </c>
      <c r="BF198" s="329">
        <f>BS!BF95</f>
        <v>44.717144476760879</v>
      </c>
      <c r="BG198" s="329">
        <f>BS!BG95</f>
        <v>42.960533336772052</v>
      </c>
      <c r="BH198" s="329">
        <f>BS!BH95</f>
        <v>47.852753845157238</v>
      </c>
      <c r="BI198" s="329">
        <f>BS!BI95</f>
        <v>48.830539270765058</v>
      </c>
      <c r="BJ198" s="329">
        <f>BS!BJ95</f>
        <v>51.159529865610033</v>
      </c>
      <c r="BK198" s="329">
        <f>BS!BK95</f>
        <v>43.983062598164651</v>
      </c>
      <c r="BL198" s="329">
        <f>BS!BL95</f>
        <v>42.444497990696149</v>
      </c>
      <c r="BM198" s="329">
        <f>BS!BM95</f>
        <v>47.90363891152716</v>
      </c>
      <c r="BN198" s="329">
        <f>BS!BN95</f>
        <v>52.54260107766256</v>
      </c>
      <c r="BO198" s="329">
        <f>BS!BO95</f>
        <v>53.988000710192253</v>
      </c>
      <c r="BP198" s="329">
        <f>BS!BP95</f>
        <v>46.578174369075711</v>
      </c>
      <c r="BQ198" s="329">
        <f>BS!BQ95</f>
        <v>45.40742650307805</v>
      </c>
      <c r="BR198" s="329">
        <f>BS!BR95</f>
        <v>47.950837669048113</v>
      </c>
      <c r="BS198" s="329">
        <f>BS!BS95</f>
        <v>50.31243944069287</v>
      </c>
      <c r="BT198" s="329">
        <f>BS!BT95</f>
        <v>52.086716750280019</v>
      </c>
      <c r="BU198" s="329">
        <f>BS!BU95</f>
        <v>43.801655230300554</v>
      </c>
      <c r="BV198" s="329">
        <f>BS!BV95</f>
        <v>39.464342412993766</v>
      </c>
      <c r="BW198" s="329">
        <f>BS!BW95</f>
        <v>44.476289818750367</v>
      </c>
      <c r="BX198" s="329">
        <f>BS!BX95</f>
        <v>46.938426015229602</v>
      </c>
      <c r="BY198" s="329">
        <f>BS!BY95</f>
        <v>51.148290557565197</v>
      </c>
      <c r="BZ198" s="329">
        <f>BS!BZ95</f>
        <v>39.52595629402856</v>
      </c>
      <c r="CA198" s="329">
        <f>BS!CA95</f>
        <v>43.497010457500444</v>
      </c>
      <c r="CB198" s="329">
        <f>BS!CB95</f>
        <v>45.574044701827297</v>
      </c>
      <c r="CC198" s="329">
        <f>BS!CC95</f>
        <v>47.260235827853315</v>
      </c>
      <c r="CD198" s="329">
        <f>BS!CD95</f>
        <v>51.936233758025971</v>
      </c>
      <c r="CE198" s="329">
        <f>BS!CE95</f>
        <v>46.168545579747466</v>
      </c>
      <c r="CF198" s="329">
        <f>BS!CF95</f>
        <v>46.415731383203827</v>
      </c>
      <c r="CG198" s="329">
        <f>BS!CG95</f>
        <v>49.870110462697319</v>
      </c>
      <c r="CH198" s="329">
        <f>BS!CH95</f>
        <v>55.387150870006153</v>
      </c>
      <c r="CI198" s="329">
        <f>BS!CI95</f>
        <v>60.88584750678114</v>
      </c>
      <c r="CJ198" s="329">
        <f>BS!CJ95</f>
        <v>46.644028202739179</v>
      </c>
      <c r="CK198" s="448">
        <f>BS!CK95</f>
        <v>44.415731383203827</v>
      </c>
      <c r="CL198" s="448">
        <f>BS!CL95</f>
        <v>47.870110462697319</v>
      </c>
      <c r="CM198" s="448">
        <f>BS!CM95</f>
        <v>50.387150870006153</v>
      </c>
      <c r="CN198" s="448">
        <f>BS!CN95</f>
        <v>53.92174507684279</v>
      </c>
      <c r="CO198" s="448">
        <f>BS!CO95</f>
        <v>46.644028202739179</v>
      </c>
      <c r="CP198" s="448">
        <f>BS!CP95</f>
        <v>44.415731383203827</v>
      </c>
      <c r="CQ198" s="448">
        <f>BS!CQ95</f>
        <v>47.870110462697319</v>
      </c>
      <c r="CR198" s="448">
        <f>BS!CR95</f>
        <v>50.387150870006153</v>
      </c>
      <c r="CS198" s="448">
        <f>BS!CS95</f>
        <v>53.8911275926611</v>
      </c>
      <c r="CT198" s="448">
        <f>BS!CT95</f>
        <v>46.644028202739179</v>
      </c>
      <c r="CU198" s="448">
        <f>BS!CU95</f>
        <v>44.415731383203827</v>
      </c>
      <c r="CV198" s="448">
        <f>BS!CV95</f>
        <v>47.870110462697319</v>
      </c>
      <c r="CW198" s="448">
        <f>BS!CW95</f>
        <v>50.387150870006153</v>
      </c>
      <c r="CX198" s="448">
        <f>BS!CX95</f>
        <v>53.312969801828785</v>
      </c>
      <c r="DA198" s="201"/>
      <c r="DB198" s="200"/>
      <c r="DC198" s="200"/>
    </row>
    <row r="199" spans="1:107" hidden="1" outlineLevel="1">
      <c r="A199" s="90" t="s">
        <v>608</v>
      </c>
      <c r="B199" s="412"/>
      <c r="C199" s="329"/>
      <c r="D199" s="329"/>
      <c r="E199" s="329"/>
      <c r="F199" s="329"/>
      <c r="G199" s="329"/>
      <c r="H199" s="329"/>
      <c r="I199" s="329"/>
      <c r="J199" s="329"/>
      <c r="K199" s="329"/>
      <c r="L199" s="329"/>
      <c r="M199" s="329"/>
      <c r="N199" s="329"/>
      <c r="O199" s="329"/>
      <c r="P199" s="329"/>
      <c r="Q199" s="329"/>
      <c r="R199" s="329"/>
      <c r="S199" s="329"/>
      <c r="T199" s="329"/>
      <c r="U199" s="329"/>
      <c r="V199" s="329"/>
      <c r="W199" s="329"/>
      <c r="X199" s="329"/>
      <c r="Y199" s="329"/>
      <c r="Z199" s="329"/>
      <c r="AA199" s="329">
        <f>SUM(BS!AA10:AA14,BS!AA22)-SUM(BS!AA26:AA30,BS!AA39)</f>
        <v>-116.154</v>
      </c>
      <c r="AB199" s="329"/>
      <c r="AC199" s="329"/>
      <c r="AD199" s="329"/>
      <c r="AE199" s="329"/>
      <c r="AF199" s="329">
        <f>SUM(BS!AF10:AF14,BS!AF22)-SUM(BS!AF26:AF30,BS!AF39)</f>
        <v>-31.726999999999975</v>
      </c>
      <c r="AG199" s="329"/>
      <c r="AH199" s="329"/>
      <c r="AI199" s="329"/>
      <c r="AJ199" s="329"/>
      <c r="AK199" s="329">
        <f>SUM(BS!AK10:AK14,BS!AK22)-SUM(BS!AK26:AK30,BS!AK39)</f>
        <v>-206.25299999999993</v>
      </c>
      <c r="AL199" s="329"/>
      <c r="AM199" s="329"/>
      <c r="AN199" s="329"/>
      <c r="AO199" s="329"/>
      <c r="AP199" s="329">
        <f>SUM(BS!AP10:AP14,BS!AP22)-SUM(BS!AP26:AP30,BS!AP39)</f>
        <v>138.47500000000002</v>
      </c>
      <c r="AQ199" s="329"/>
      <c r="AR199" s="329"/>
      <c r="AS199" s="329"/>
      <c r="AT199" s="329"/>
      <c r="AU199" s="329">
        <f>SUM(BS!AU10:AU14,BS!AU22)-SUM(BS!AU26:AU30,BS!AU39)</f>
        <v>-120.85299999999995</v>
      </c>
      <c r="AV199" s="329"/>
      <c r="AW199" s="329"/>
      <c r="AX199" s="329"/>
      <c r="AY199" s="329"/>
      <c r="AZ199" s="329">
        <f>SUM(BS!AZ10:AZ14,BS!AZ22)-SUM(BS!AZ26:AZ30,BS!AZ39)</f>
        <v>-199.1110000000001</v>
      </c>
      <c r="BA199" s="329"/>
      <c r="BB199" s="329"/>
      <c r="BC199" s="329"/>
      <c r="BD199" s="329"/>
      <c r="BE199" s="329">
        <f>SUM(BS!BE10:BE14,BS!BE22)-SUM(BS!BE26:BE30,BS!BE39)</f>
        <v>-356.40099999999984</v>
      </c>
      <c r="BF199" s="329"/>
      <c r="BG199" s="329"/>
      <c r="BH199" s="329"/>
      <c r="BI199" s="329"/>
      <c r="BJ199" s="329">
        <f>SUM(BS!BJ10:BJ14,BS!BJ22)-SUM(BS!BJ26:BJ30,BS!BJ39)</f>
        <v>-443.52000000000032</v>
      </c>
      <c r="BK199" s="329"/>
      <c r="BL199" s="329"/>
      <c r="BM199" s="329"/>
      <c r="BN199" s="329"/>
      <c r="BO199" s="329">
        <f>SUM(BS!BO10:BO14,BS!BO22)-SUM(BS!BO26:BO30,BS!BO39)</f>
        <v>-616.61799999999994</v>
      </c>
      <c r="BP199" s="329"/>
      <c r="BQ199" s="329"/>
      <c r="BR199" s="329"/>
      <c r="BS199" s="329"/>
      <c r="BT199" s="329">
        <f>SUM(BS!BT10:BT14,BS!BT22)-SUM(BS!BT26:BT30,BS!BT39)</f>
        <v>-1562.6839999999997</v>
      </c>
      <c r="BU199" s="329"/>
      <c r="BV199" s="329"/>
      <c r="BW199" s="329"/>
      <c r="BX199" s="329"/>
      <c r="BY199" s="329">
        <f>SUM(BS!BY10:BY14,BS!BY22)-SUM(BS!BY26:BY30,BS!BY39)</f>
        <v>-1271.0100000000002</v>
      </c>
      <c r="BZ199" s="329"/>
      <c r="CA199" s="329"/>
      <c r="CB199" s="329"/>
      <c r="CC199" s="329"/>
      <c r="CD199" s="329">
        <f>SUM(BS!CD10:CD14,BS!CD22)-SUM(BS!CD26:CD30,BS!CD39)</f>
        <v>-1652.5340000000001</v>
      </c>
      <c r="CE199" s="329"/>
      <c r="CF199" s="329"/>
      <c r="CG199" s="448"/>
      <c r="CH199" s="329"/>
      <c r="CI199" s="329">
        <f>SUM(BS!CI10:CI14,BS!CI22)-SUM(BS!CI26:CI30,BS!CI39)</f>
        <v>-2044.4619999999995</v>
      </c>
      <c r="CJ199" s="329"/>
      <c r="CK199" s="448"/>
      <c r="CL199" s="448"/>
      <c r="CM199" s="448"/>
      <c r="CN199" s="448">
        <f>SUM(BS!CN10:CN14,BS!CN22)-SUM(BS!CN26:CN30,BS!CN39)</f>
        <v>-2439.3002317153073</v>
      </c>
      <c r="CO199" s="448"/>
      <c r="CP199" s="448"/>
      <c r="CQ199" s="448"/>
      <c r="CR199" s="448"/>
      <c r="CS199" s="448">
        <f>SUM(BS!CS10:CS14,BS!CS22)-SUM(BS!CS26:CS30,BS!CS39)</f>
        <v>-2844.2119457373901</v>
      </c>
      <c r="CT199" s="448"/>
      <c r="CU199" s="448"/>
      <c r="CV199" s="448"/>
      <c r="CW199" s="448"/>
      <c r="CX199" s="448">
        <f>SUM(BS!CX10:CX14,BS!CX22)-SUM(BS!CX26:CX30,BS!CX39)</f>
        <v>-3293.3268405467311</v>
      </c>
      <c r="DA199" s="201"/>
      <c r="DB199" s="200"/>
      <c r="DC199" s="200"/>
    </row>
    <row r="200" spans="1:107" hidden="1" outlineLevel="1">
      <c r="A200" s="90" t="s">
        <v>614</v>
      </c>
      <c r="B200" s="412" t="s">
        <v>551</v>
      </c>
      <c r="C200" s="329"/>
      <c r="D200" s="329"/>
      <c r="E200" s="329"/>
      <c r="F200" s="329"/>
      <c r="G200" s="329"/>
      <c r="H200" s="329">
        <f>SUM(CF!H20:H25)</f>
        <v>-22.618000000000002</v>
      </c>
      <c r="I200" s="329">
        <f>SUM(CF!I20:I25)</f>
        <v>-16.556000000000001</v>
      </c>
      <c r="J200" s="329">
        <f>SUM(CF!J20:J25)</f>
        <v>-57.725000000000009</v>
      </c>
      <c r="K200" s="329">
        <f>SUM(CF!K20:K25)</f>
        <v>-11.134</v>
      </c>
      <c r="L200" s="329">
        <f>SUM(CF!L20:L25)</f>
        <v>-11.134</v>
      </c>
      <c r="M200" s="329">
        <f>SUM(CF!M20:M25)</f>
        <v>-7.6589999999999971</v>
      </c>
      <c r="N200" s="329">
        <f>SUM(CF!N20:N25)</f>
        <v>15.436</v>
      </c>
      <c r="O200" s="329">
        <f>SUM(CF!O20:O25)</f>
        <v>11.325999999999999</v>
      </c>
      <c r="P200" s="329">
        <f>SUM(CF!P20:P25)</f>
        <v>6.5130000000000017</v>
      </c>
      <c r="Q200" s="329">
        <f>SUM(CF!Q20:Q25)</f>
        <v>6.5130000000000017</v>
      </c>
      <c r="R200" s="329">
        <f>SUM(CF!R20:R25)</f>
        <v>29.773999999999997</v>
      </c>
      <c r="S200" s="329">
        <f>SUM(CF!S20:S25)</f>
        <v>56.948999999999998</v>
      </c>
      <c r="T200" s="329">
        <f>SUM(CF!T20:T25)</f>
        <v>51.594999999999999</v>
      </c>
      <c r="U200" s="329">
        <f>SUM(CF!U20:U25)</f>
        <v>77.850000000000009</v>
      </c>
      <c r="V200" s="329">
        <f>SUM(CF!V20:V25)</f>
        <v>77.850000000000009</v>
      </c>
      <c r="W200" s="329"/>
      <c r="X200" s="329"/>
      <c r="Y200" s="329"/>
      <c r="Z200" s="329"/>
      <c r="AA200" s="329">
        <f>(SUM(BS!AA10:AA14,BS!AA22)-SUM(BS!AA26:AA30,BS!AA39))-(SUM(BS!V10:V14,BS!V22)-SUM(BS!V26:V30,BS!V39))</f>
        <v>42.118000000000052</v>
      </c>
      <c r="AB200" s="329"/>
      <c r="AC200" s="329"/>
      <c r="AD200" s="329"/>
      <c r="AE200" s="329"/>
      <c r="AF200" s="329">
        <f>(SUM(BS!AF10:AF14,BS!AF22)-SUM(BS!AF26:AF30,BS!AF39))-(SUM(BS!AA10:AA14,BS!AA22)-SUM(BS!AA26:AA30,BS!AA39))</f>
        <v>84.427000000000021</v>
      </c>
      <c r="AG200" s="329"/>
      <c r="AH200" s="329"/>
      <c r="AI200" s="329"/>
      <c r="AJ200" s="329"/>
      <c r="AK200" s="329">
        <f>(SUM(BS!AK10:AK14,BS!AK22)-SUM(BS!AK26:AK30,BS!AK39))-(SUM(BS!AF10:AF14,BS!AF22)-SUM(BS!AF26:AF30,BS!AF39))</f>
        <v>-174.52599999999995</v>
      </c>
      <c r="AL200" s="329"/>
      <c r="AM200" s="329"/>
      <c r="AN200" s="329"/>
      <c r="AO200" s="329"/>
      <c r="AP200" s="329">
        <f>(SUM(BS!AP10:AP14,BS!AP22)-SUM(BS!AP26:AP30,BS!AP39))-(SUM(BS!AK10:AK14,BS!AK22)-SUM(BS!AK26:AK30,BS!AK39))</f>
        <v>344.72799999999995</v>
      </c>
      <c r="AQ200" s="329"/>
      <c r="AR200" s="329"/>
      <c r="AS200" s="329"/>
      <c r="AT200" s="329"/>
      <c r="AU200" s="329">
        <f>(SUM(BS!AU10:AU14,BS!AU22)-SUM(BS!AU26:AU30,BS!AU39))-(SUM(BS!AP10:AP14,BS!AP22)-SUM(BS!AP26:AP30,BS!AP39))</f>
        <v>-259.32799999999997</v>
      </c>
      <c r="AV200" s="329"/>
      <c r="AW200" s="329"/>
      <c r="AX200" s="329"/>
      <c r="AY200" s="329"/>
      <c r="AZ200" s="329">
        <f>(SUM(BS!AZ10:AZ14,BS!AZ22)-SUM(BS!AZ26:AZ30,BS!AZ39))-(SUM(BS!AU10:AU14,BS!AU22)-SUM(BS!AU26:AU30,BS!AU39))</f>
        <v>-78.258000000000152</v>
      </c>
      <c r="BA200" s="329"/>
      <c r="BB200" s="329"/>
      <c r="BC200" s="329"/>
      <c r="BD200" s="329"/>
      <c r="BE200" s="329">
        <f>(SUM(BS!BE10:BE14,BS!BE22)-SUM(BS!BE26:BE30,BS!BE39))-(SUM(BS!AZ10:AZ14,BS!AZ22)-SUM(BS!AZ26:AZ30,BS!AZ39))</f>
        <v>-157.28999999999974</v>
      </c>
      <c r="BF200" s="329"/>
      <c r="BG200" s="329"/>
      <c r="BH200" s="329"/>
      <c r="BI200" s="329"/>
      <c r="BJ200" s="329">
        <f>(SUM(BS!BJ10:BJ14,BS!BJ22)-SUM(BS!BJ26:BJ30,BS!BJ39))-(SUM(BS!BE10:BE14,BS!BE22)-SUM(BS!BE26:BE30,BS!BE39))</f>
        <v>-87.119000000000483</v>
      </c>
      <c r="BK200" s="329"/>
      <c r="BL200" s="329"/>
      <c r="BM200" s="329"/>
      <c r="BN200" s="329"/>
      <c r="BO200" s="329">
        <f>(SUM(BS!BO10:BO14,BS!BO22)-SUM(BS!BO26:BO30,BS!BO39))-(SUM(BS!BJ10:BJ14,BS!BJ22)-SUM(BS!BJ26:BJ30,BS!BJ39))</f>
        <v>-173.09799999999962</v>
      </c>
      <c r="BP200" s="329"/>
      <c r="BQ200" s="329"/>
      <c r="BR200" s="329"/>
      <c r="BS200" s="329"/>
      <c r="BT200" s="329">
        <f>(SUM(BS!BT10:BT14,BS!BT22)-SUM(BS!BT26:BT30,BS!BT39))-(SUM(BS!BO10:BO14,BS!BO22)-SUM(BS!BO26:BO30,BS!BO39))</f>
        <v>-946.0659999999998</v>
      </c>
      <c r="BU200" s="329"/>
      <c r="BV200" s="329"/>
      <c r="BW200" s="329"/>
      <c r="BX200" s="329"/>
      <c r="BY200" s="329">
        <f>(SUM(BS!BY10:BY14,BS!BY22)-SUM(BS!BY26:BY30,BS!BY39))-(SUM(BS!BT10:BT14,BS!BT22)-SUM(BS!BT26:BT30,BS!BT39))</f>
        <v>291.67399999999952</v>
      </c>
      <c r="BZ200" s="329"/>
      <c r="CA200" s="329"/>
      <c r="CB200" s="329"/>
      <c r="CC200" s="329"/>
      <c r="CD200" s="329">
        <f>(SUM(BS!CD10:CD14,BS!CD22)-SUM(BS!CD26:CD30,BS!CD39))-(SUM(BS!BY10:BY14,BS!BY22)-SUM(BS!BY26:BY30,BS!BY39))</f>
        <v>-381.52399999999989</v>
      </c>
      <c r="CE200" s="329"/>
      <c r="CF200" s="329"/>
      <c r="CG200" s="448"/>
      <c r="CH200" s="329"/>
      <c r="CI200" s="329">
        <f>(SUM(BS!CI10:CI14,BS!CI22)-SUM(BS!CI26:CI30,BS!CI39))-(SUM(BS!CD10:CD14,BS!CD22)-SUM(BS!CD26:CD30,BS!CD39))</f>
        <v>-391.92799999999943</v>
      </c>
      <c r="CJ200" s="329"/>
      <c r="CK200" s="448"/>
      <c r="CL200" s="448"/>
      <c r="CM200" s="448"/>
      <c r="CN200" s="448">
        <f>(SUM(BS!CN10:CN14,BS!CN22)-SUM(BS!CN26:CN30,BS!CN39))-(SUM(BS!CI10:CI14,BS!CI22)-SUM(BS!CI26:CI30,BS!CI39))</f>
        <v>-394.83823171530776</v>
      </c>
      <c r="CO200" s="448"/>
      <c r="CP200" s="448"/>
      <c r="CQ200" s="448"/>
      <c r="CR200" s="448"/>
      <c r="CS200" s="448">
        <f>(SUM(BS!CS10:CS14,BS!CS22)-SUM(BS!CS26:CS30,BS!CS39))-(SUM(BS!CN10:CN14,BS!CN22)-SUM(BS!CN26:CN30,BS!CN39))</f>
        <v>-404.91171402208283</v>
      </c>
      <c r="CT200" s="448"/>
      <c r="CU200" s="448"/>
      <c r="CV200" s="448"/>
      <c r="CW200" s="448"/>
      <c r="CX200" s="448">
        <f>(SUM(BS!CX10:CX14,BS!CX22)-SUM(BS!CX26:CX30,BS!CX39))-(SUM(BS!CS10:CS14,BS!CS22)-SUM(BS!CS26:CS30,BS!CS39))</f>
        <v>-449.11489480934097</v>
      </c>
      <c r="DA200" s="201"/>
      <c r="DB200" s="200"/>
      <c r="DC200" s="200"/>
    </row>
    <row r="201" spans="1:107" hidden="1" outlineLevel="1">
      <c r="A201" s="90" t="s">
        <v>552</v>
      </c>
      <c r="B201" s="412" t="s">
        <v>273</v>
      </c>
      <c r="C201" s="329">
        <f t="shared" ref="C201:AH201" si="380">C196-C195</f>
        <v>62.950999999999972</v>
      </c>
      <c r="D201" s="329">
        <f t="shared" si="380"/>
        <v>49.883000000000045</v>
      </c>
      <c r="E201" s="329">
        <f t="shared" si="380"/>
        <v>26.099000000000004</v>
      </c>
      <c r="F201" s="329">
        <f t="shared" si="380"/>
        <v>197.0749999999999</v>
      </c>
      <c r="G201" s="329">
        <f t="shared" si="380"/>
        <v>336.00799999999998</v>
      </c>
      <c r="H201" s="329">
        <f t="shared" si="380"/>
        <v>32.33400000000001</v>
      </c>
      <c r="I201" s="329">
        <f t="shared" si="380"/>
        <v>101.50900000000006</v>
      </c>
      <c r="J201" s="329">
        <f t="shared" si="380"/>
        <v>39.301000000000037</v>
      </c>
      <c r="K201" s="329">
        <f t="shared" si="380"/>
        <v>124.60899999999995</v>
      </c>
      <c r="L201" s="329">
        <f t="shared" si="380"/>
        <v>297.7530000000001</v>
      </c>
      <c r="M201" s="329">
        <f t="shared" si="380"/>
        <v>71.856999999999957</v>
      </c>
      <c r="N201" s="329">
        <f t="shared" si="380"/>
        <v>116.39899999999996</v>
      </c>
      <c r="O201" s="329">
        <f t="shared" si="380"/>
        <v>89.400999999999968</v>
      </c>
      <c r="P201" s="329">
        <f t="shared" si="380"/>
        <v>116.02499999999998</v>
      </c>
      <c r="Q201" s="329">
        <f t="shared" si="380"/>
        <v>393.68199999999979</v>
      </c>
      <c r="R201" s="329">
        <f t="shared" si="380"/>
        <v>171.01699999999994</v>
      </c>
      <c r="S201" s="329">
        <f t="shared" si="380"/>
        <v>134.50899999999996</v>
      </c>
      <c r="T201" s="329">
        <f t="shared" si="380"/>
        <v>146.02899999999997</v>
      </c>
      <c r="U201" s="329">
        <f t="shared" si="380"/>
        <v>168.96299999999999</v>
      </c>
      <c r="V201" s="329">
        <f t="shared" si="380"/>
        <v>620.5179999999998</v>
      </c>
      <c r="W201" s="329">
        <f t="shared" si="380"/>
        <v>152.58500000000001</v>
      </c>
      <c r="X201" s="329">
        <f t="shared" si="380"/>
        <v>161.85799999999986</v>
      </c>
      <c r="Y201" s="329">
        <f t="shared" si="380"/>
        <v>155.55099999999993</v>
      </c>
      <c r="Z201" s="329">
        <f t="shared" si="380"/>
        <v>211.48400000000004</v>
      </c>
      <c r="AA201" s="329">
        <f t="shared" si="380"/>
        <v>681.47799999999984</v>
      </c>
      <c r="AB201" s="329">
        <f t="shared" si="380"/>
        <v>166.16700000000009</v>
      </c>
      <c r="AC201" s="329">
        <f t="shared" si="380"/>
        <v>221.58300000000003</v>
      </c>
      <c r="AD201" s="329">
        <f t="shared" si="380"/>
        <v>161.33899999999997</v>
      </c>
      <c r="AE201" s="329">
        <f t="shared" si="380"/>
        <v>213.13499999999999</v>
      </c>
      <c r="AF201" s="329">
        <f t="shared" si="380"/>
        <v>762.22399999999971</v>
      </c>
      <c r="AG201" s="329">
        <f t="shared" si="380"/>
        <v>222.21800000000013</v>
      </c>
      <c r="AH201" s="329">
        <f t="shared" si="380"/>
        <v>321.91499999999996</v>
      </c>
      <c r="AI201" s="329">
        <f t="shared" ref="AI201:AZ201" si="381">AI196-AI195</f>
        <v>393.00999999999988</v>
      </c>
      <c r="AJ201" s="329">
        <f t="shared" si="381"/>
        <v>369.89599999999979</v>
      </c>
      <c r="AK201" s="329">
        <f t="shared" si="381"/>
        <v>1307.0389999999998</v>
      </c>
      <c r="AL201" s="329">
        <f t="shared" si="381"/>
        <v>373.03200000000004</v>
      </c>
      <c r="AM201" s="329">
        <f t="shared" si="381"/>
        <v>309.38799999999998</v>
      </c>
      <c r="AN201" s="329">
        <f t="shared" si="381"/>
        <v>171.9609999999999</v>
      </c>
      <c r="AO201" s="329">
        <f t="shared" si="381"/>
        <v>314.5089999999999</v>
      </c>
      <c r="AP201" s="329">
        <f t="shared" si="381"/>
        <v>1168.8899999999999</v>
      </c>
      <c r="AQ201" s="329">
        <f t="shared" si="381"/>
        <v>349.82699999999994</v>
      </c>
      <c r="AR201" s="329">
        <f t="shared" si="381"/>
        <v>251.21700000000004</v>
      </c>
      <c r="AS201" s="329">
        <f t="shared" si="381"/>
        <v>178.25000000000014</v>
      </c>
      <c r="AT201" s="329">
        <f t="shared" si="381"/>
        <v>218.88600000000002</v>
      </c>
      <c r="AU201" s="329">
        <f t="shared" si="381"/>
        <v>998.18000000000018</v>
      </c>
      <c r="AV201" s="329">
        <f>AV196-AV195</f>
        <v>276.84199999999993</v>
      </c>
      <c r="AW201" s="329">
        <f t="shared" si="381"/>
        <v>246.06200000000001</v>
      </c>
      <c r="AX201" s="329">
        <f t="shared" si="381"/>
        <v>301.15399999999994</v>
      </c>
      <c r="AY201" s="329">
        <f t="shared" si="381"/>
        <v>260.78399999999976</v>
      </c>
      <c r="AZ201" s="329">
        <f t="shared" si="381"/>
        <v>975.49399999999969</v>
      </c>
      <c r="BA201" s="329">
        <f t="shared" ref="BA201:BJ201" si="382">BA196-BA195</f>
        <v>313.40199999999999</v>
      </c>
      <c r="BB201" s="329">
        <f t="shared" si="382"/>
        <v>390.459</v>
      </c>
      <c r="BC201" s="329">
        <f t="shared" si="382"/>
        <v>261.01300000000003</v>
      </c>
      <c r="BD201" s="329">
        <f t="shared" si="382"/>
        <v>469.25499999999994</v>
      </c>
      <c r="BE201" s="329">
        <f t="shared" si="382"/>
        <v>1333.02</v>
      </c>
      <c r="BF201" s="329">
        <f t="shared" si="382"/>
        <v>263.27499999999992</v>
      </c>
      <c r="BG201" s="329">
        <f t="shared" si="382"/>
        <v>387.45099999999991</v>
      </c>
      <c r="BH201" s="329">
        <f t="shared" si="382"/>
        <v>185.90800000000002</v>
      </c>
      <c r="BI201" s="329">
        <f t="shared" si="382"/>
        <v>391.87</v>
      </c>
      <c r="BJ201" s="329">
        <f t="shared" si="382"/>
        <v>1228.5039999999997</v>
      </c>
      <c r="BK201" s="329">
        <f t="shared" ref="BK201:BS201" si="383">BK196-BK195</f>
        <v>261.84100000000001</v>
      </c>
      <c r="BL201" s="329">
        <f t="shared" si="383"/>
        <v>252.89900000000003</v>
      </c>
      <c r="BM201" s="329">
        <f t="shared" si="383"/>
        <v>168.72699999999992</v>
      </c>
      <c r="BN201" s="329">
        <f t="shared" si="383"/>
        <v>279.86099999999999</v>
      </c>
      <c r="BO201" s="329">
        <f t="shared" si="383"/>
        <v>963.3280000000002</v>
      </c>
      <c r="BP201" s="329">
        <f>BP196-BP195</f>
        <v>222.27999999999997</v>
      </c>
      <c r="BQ201" s="329">
        <f t="shared" si="383"/>
        <v>340.33800000000002</v>
      </c>
      <c r="BR201" s="329">
        <f t="shared" si="383"/>
        <v>213.55400000000003</v>
      </c>
      <c r="BS201" s="329">
        <f t="shared" si="383"/>
        <v>362.97800000000001</v>
      </c>
      <c r="BT201" s="329">
        <f>BT196-BT195</f>
        <v>1139.1500000000001</v>
      </c>
      <c r="BU201" s="329">
        <f>BU196-BU195</f>
        <v>166.51300000000009</v>
      </c>
      <c r="BV201" s="329">
        <f t="shared" ref="BV201:CD201" si="384">BV196-BV195</f>
        <v>435.75399999999991</v>
      </c>
      <c r="BW201" s="329">
        <f t="shared" si="384"/>
        <v>311.50400000000008</v>
      </c>
      <c r="BX201" s="329">
        <f t="shared" si="384"/>
        <v>389.83900000000006</v>
      </c>
      <c r="BY201" s="329">
        <f t="shared" si="384"/>
        <v>1284.566</v>
      </c>
      <c r="BZ201" s="329">
        <f>BZ196-BZ195</f>
        <v>451.32700000000011</v>
      </c>
      <c r="CA201" s="329">
        <f>CA196-CA195</f>
        <v>434.9559999999999</v>
      </c>
      <c r="CB201" s="329">
        <f t="shared" si="384"/>
        <v>462.67200000000003</v>
      </c>
      <c r="CC201" s="329">
        <f t="shared" si="384"/>
        <v>646.96799999999996</v>
      </c>
      <c r="CD201" s="329">
        <f t="shared" si="384"/>
        <v>1995.923</v>
      </c>
      <c r="CE201" s="329">
        <f>CE196-CE195</f>
        <v>699.4670000000001</v>
      </c>
      <c r="CF201" s="329">
        <f t="shared" ref="CF201:CN201" si="385">CF196-CF195</f>
        <v>589.53</v>
      </c>
      <c r="CG201" s="329">
        <f t="shared" si="385"/>
        <v>650.19799999999987</v>
      </c>
      <c r="CH201" s="329">
        <f t="shared" ref="CH201:CI201" si="386">CH196-CH195</f>
        <v>795.53600000000006</v>
      </c>
      <c r="CI201" s="329">
        <f t="shared" si="386"/>
        <v>2734.7310000000002</v>
      </c>
      <c r="CJ201" s="329">
        <f>CJ196-CJ195</f>
        <v>894.45900000000029</v>
      </c>
      <c r="CK201" s="448">
        <f t="shared" si="385"/>
        <v>799.74632952084073</v>
      </c>
      <c r="CL201" s="448">
        <f t="shared" si="385"/>
        <v>850.94070383522808</v>
      </c>
      <c r="CM201" s="448">
        <f t="shared" si="385"/>
        <v>1134.2820660858208</v>
      </c>
      <c r="CN201" s="448">
        <f t="shared" si="385"/>
        <v>3679.4280994418905</v>
      </c>
      <c r="CO201" s="448">
        <f t="shared" ref="CO201:CX201" si="387">CO196-CO195</f>
        <v>937.34484019847514</v>
      </c>
      <c r="CP201" s="448">
        <f t="shared" si="387"/>
        <v>921.41475993162646</v>
      </c>
      <c r="CQ201" s="448">
        <f t="shared" si="387"/>
        <v>975.19810899253673</v>
      </c>
      <c r="CR201" s="448">
        <f t="shared" si="387"/>
        <v>1300.137917661564</v>
      </c>
      <c r="CS201" s="448">
        <f t="shared" si="387"/>
        <v>4134.0956267842021</v>
      </c>
      <c r="CT201" s="448">
        <f t="shared" si="387"/>
        <v>1155.4463644890097</v>
      </c>
      <c r="CU201" s="448">
        <f t="shared" si="387"/>
        <v>1091.3165695148596</v>
      </c>
      <c r="CV201" s="448">
        <f t="shared" si="387"/>
        <v>1145.0429165024534</v>
      </c>
      <c r="CW201" s="448">
        <f t="shared" si="387"/>
        <v>1508.8703236346018</v>
      </c>
      <c r="CX201" s="448">
        <f t="shared" si="387"/>
        <v>4900.6761741409246</v>
      </c>
      <c r="DA201" s="329"/>
      <c r="DB201" s="329"/>
      <c r="DC201" s="329"/>
    </row>
    <row r="202" spans="1:107" hidden="1" outlineLevel="1">
      <c r="A202" s="90" t="s">
        <v>553</v>
      </c>
      <c r="B202" s="412" t="s">
        <v>318</v>
      </c>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0"/>
      <c r="AK202" s="90"/>
      <c r="AL202" s="90"/>
      <c r="AM202" s="90"/>
      <c r="AN202" s="90"/>
      <c r="AO202" s="90"/>
      <c r="AP202" s="90"/>
      <c r="AQ202" s="90"/>
      <c r="AR202" s="450"/>
      <c r="AS202" s="90"/>
      <c r="AT202" s="90"/>
      <c r="AU202" s="90"/>
      <c r="AV202" s="90"/>
      <c r="AW202" s="450"/>
      <c r="AX202" s="450"/>
      <c r="AY202" s="90"/>
      <c r="AZ202" s="90"/>
      <c r="BA202" s="90"/>
      <c r="BB202" s="450"/>
      <c r="BC202" s="450"/>
      <c r="BD202" s="90"/>
      <c r="BE202" s="90"/>
      <c r="BF202" s="90"/>
      <c r="BG202" s="450"/>
      <c r="BH202" s="450"/>
      <c r="BI202" s="450"/>
      <c r="BJ202" s="90"/>
      <c r="BK202" s="90"/>
      <c r="BL202" s="450"/>
      <c r="BM202" s="450"/>
      <c r="BN202" s="90"/>
      <c r="BO202" s="90"/>
      <c r="BP202" s="90"/>
      <c r="BQ202" s="450"/>
      <c r="BR202" s="450"/>
      <c r="BS202" s="90"/>
      <c r="BT202" s="90"/>
      <c r="BU202" s="90"/>
      <c r="BV202" s="450"/>
      <c r="BW202" s="450"/>
      <c r="BX202" s="90"/>
      <c r="BY202" s="90"/>
      <c r="BZ202" s="450"/>
      <c r="CA202" s="90"/>
      <c r="CB202" s="90"/>
      <c r="CC202" s="90"/>
      <c r="CD202" s="90"/>
      <c r="CE202" s="450"/>
      <c r="CF202" s="450"/>
      <c r="CG202" s="450"/>
      <c r="CH202" s="90"/>
      <c r="CI202" s="450"/>
      <c r="CJ202" s="450"/>
      <c r="CK202" s="450"/>
      <c r="CL202" s="450"/>
      <c r="CM202" s="450"/>
      <c r="CN202" s="450"/>
      <c r="CO202" s="450"/>
      <c r="CP202" s="450"/>
      <c r="CQ202" s="450"/>
      <c r="CR202" s="450"/>
      <c r="CS202" s="450"/>
      <c r="CT202" s="450"/>
      <c r="CU202" s="450"/>
      <c r="CV202" s="450"/>
      <c r="CW202" s="450"/>
      <c r="CX202" s="450"/>
      <c r="DA202" s="201"/>
      <c r="DB202" s="200"/>
      <c r="DC202" s="200"/>
    </row>
    <row r="203" spans="1:107" collapsed="1">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0"/>
      <c r="AK203" s="90"/>
      <c r="AL203" s="90"/>
      <c r="AM203" s="90"/>
      <c r="AN203" s="90"/>
      <c r="AO203" s="90"/>
      <c r="AP203" s="90"/>
      <c r="AQ203" s="90"/>
      <c r="AR203" s="450"/>
      <c r="AS203" s="90"/>
      <c r="AT203" s="90"/>
      <c r="AU203" s="90"/>
      <c r="AV203" s="90"/>
      <c r="AW203" s="450"/>
      <c r="AX203" s="450"/>
      <c r="AY203" s="90"/>
      <c r="AZ203" s="90"/>
      <c r="BA203" s="90"/>
      <c r="BB203" s="450"/>
      <c r="BC203" s="450"/>
      <c r="BD203" s="90"/>
      <c r="BE203" s="90"/>
      <c r="BF203" s="90"/>
      <c r="BG203" s="450"/>
      <c r="BH203" s="450"/>
      <c r="BI203" s="450"/>
      <c r="BJ203" s="90"/>
      <c r="BK203" s="90"/>
      <c r="BL203" s="450"/>
      <c r="BM203" s="450"/>
      <c r="BN203" s="90"/>
      <c r="BO203" s="90"/>
      <c r="BP203" s="90"/>
      <c r="BQ203" s="450"/>
      <c r="BR203" s="450"/>
      <c r="BS203" s="90"/>
      <c r="BT203" s="90"/>
      <c r="BU203" s="90"/>
      <c r="BV203" s="450"/>
      <c r="BW203" s="450"/>
      <c r="BX203" s="90"/>
      <c r="BY203" s="90"/>
      <c r="BZ203" s="450"/>
      <c r="CA203" s="90"/>
      <c r="CB203" s="90"/>
      <c r="CC203" s="90"/>
      <c r="CD203" s="90"/>
      <c r="CE203" s="450"/>
      <c r="CF203" s="450"/>
      <c r="CG203" s="450"/>
      <c r="CH203" s="90"/>
      <c r="CI203" s="450"/>
      <c r="CJ203" s="450"/>
      <c r="CK203" s="450"/>
      <c r="CL203" s="450"/>
      <c r="CM203" s="450"/>
      <c r="CN203" s="450"/>
      <c r="CO203" s="450"/>
      <c r="CP203" s="450"/>
      <c r="CQ203" s="450"/>
      <c r="CR203" s="450"/>
      <c r="CS203" s="450"/>
      <c r="CT203" s="450"/>
      <c r="CU203" s="450"/>
      <c r="CV203" s="450"/>
      <c r="CW203" s="450"/>
      <c r="CX203" s="450"/>
      <c r="DA203" s="90"/>
      <c r="DB203" s="90"/>
      <c r="DC203" s="90"/>
    </row>
    <row r="204" spans="1:107">
      <c r="A204" s="426" t="s">
        <v>512</v>
      </c>
      <c r="B204" s="427"/>
      <c r="C204" s="426"/>
      <c r="D204" s="426"/>
      <c r="E204" s="426"/>
      <c r="F204" s="426"/>
      <c r="G204" s="426"/>
      <c r="H204" s="426"/>
      <c r="I204" s="426"/>
      <c r="J204" s="426"/>
      <c r="K204" s="426"/>
      <c r="L204" s="426"/>
      <c r="M204" s="426"/>
      <c r="N204" s="426"/>
      <c r="O204" s="426"/>
      <c r="P204" s="426"/>
      <c r="Q204" s="426"/>
      <c r="R204" s="426"/>
      <c r="S204" s="426"/>
      <c r="T204" s="426"/>
      <c r="U204" s="426"/>
      <c r="V204" s="426"/>
      <c r="W204" s="426"/>
      <c r="X204" s="426"/>
      <c r="Y204" s="426"/>
      <c r="Z204" s="426"/>
      <c r="AA204" s="426"/>
      <c r="AB204" s="426"/>
      <c r="AC204" s="426"/>
      <c r="AD204" s="426"/>
      <c r="AE204" s="426"/>
      <c r="AF204" s="426"/>
      <c r="AG204" s="426"/>
      <c r="AH204" s="426"/>
      <c r="AI204" s="426"/>
      <c r="AJ204" s="426"/>
      <c r="AK204" s="426"/>
      <c r="AL204" s="426"/>
      <c r="AM204" s="426"/>
      <c r="AN204" s="426"/>
      <c r="AO204" s="426"/>
      <c r="AP204" s="426"/>
      <c r="AQ204" s="426"/>
      <c r="AR204" s="428"/>
      <c r="AS204" s="426"/>
      <c r="AT204" s="426"/>
      <c r="AU204" s="426"/>
      <c r="AV204" s="426"/>
      <c r="AW204" s="428"/>
      <c r="AX204" s="428"/>
      <c r="AY204" s="426"/>
      <c r="AZ204" s="426"/>
      <c r="BA204" s="426"/>
      <c r="BB204" s="428"/>
      <c r="BC204" s="428"/>
      <c r="BD204" s="426"/>
      <c r="BE204" s="426"/>
      <c r="BF204" s="426"/>
      <c r="BG204" s="428"/>
      <c r="BH204" s="428"/>
      <c r="BI204" s="428"/>
      <c r="BJ204" s="426"/>
      <c r="BK204" s="426"/>
      <c r="BL204" s="428"/>
      <c r="BM204" s="428"/>
      <c r="BN204" s="426"/>
      <c r="BO204" s="426"/>
      <c r="BP204" s="426"/>
      <c r="BQ204" s="428"/>
      <c r="BR204" s="428"/>
      <c r="BS204" s="426"/>
      <c r="BT204" s="426"/>
      <c r="BU204" s="426"/>
      <c r="BV204" s="428"/>
      <c r="BW204" s="428"/>
      <c r="BX204" s="426"/>
      <c r="BY204" s="426"/>
      <c r="BZ204" s="428"/>
      <c r="CA204" s="426"/>
      <c r="CB204" s="426"/>
      <c r="CC204" s="426"/>
      <c r="CD204" s="426"/>
      <c r="CE204" s="428"/>
      <c r="CF204" s="428"/>
      <c r="CG204" s="428"/>
      <c r="CH204" s="426"/>
      <c r="CI204" s="428"/>
      <c r="CJ204" s="428"/>
      <c r="CK204" s="428"/>
      <c r="CL204" s="428"/>
      <c r="CM204" s="428"/>
      <c r="CN204" s="428"/>
      <c r="CO204" s="428"/>
      <c r="CP204" s="428"/>
      <c r="CQ204" s="428"/>
      <c r="CR204" s="428"/>
      <c r="CS204" s="428"/>
      <c r="CT204" s="428"/>
      <c r="CU204" s="428"/>
      <c r="CV204" s="428"/>
      <c r="CW204" s="428"/>
      <c r="CX204" s="428"/>
      <c r="DA204" s="426"/>
      <c r="DB204" s="426"/>
      <c r="DC204" s="426"/>
    </row>
    <row r="205" spans="1:107">
      <c r="A205" s="206" t="s">
        <v>471</v>
      </c>
      <c r="B205" s="206"/>
      <c r="C205" s="206"/>
      <c r="D205" s="206"/>
      <c r="E205" s="206"/>
      <c r="F205" s="206"/>
      <c r="G205" s="206"/>
      <c r="H205" s="206"/>
      <c r="I205" s="206"/>
      <c r="J205" s="206"/>
      <c r="K205" s="206"/>
      <c r="L205" s="206"/>
      <c r="M205" s="206"/>
      <c r="N205" s="206"/>
      <c r="O205" s="206"/>
      <c r="P205" s="206"/>
      <c r="Q205" s="206"/>
      <c r="R205" s="206"/>
      <c r="S205" s="206"/>
      <c r="T205" s="206"/>
      <c r="U205" s="206"/>
      <c r="V205" s="206"/>
      <c r="W205" s="206"/>
      <c r="X205" s="206"/>
      <c r="Y205" s="206"/>
      <c r="Z205" s="206"/>
      <c r="AA205" s="206"/>
      <c r="AB205" s="206"/>
      <c r="AC205" s="206"/>
      <c r="AD205" s="206"/>
      <c r="AE205" s="206"/>
      <c r="AF205" s="206"/>
      <c r="AG205" s="206"/>
      <c r="AH205" s="206"/>
      <c r="AI205" s="206"/>
      <c r="AJ205" s="206"/>
      <c r="AK205" s="206"/>
      <c r="AL205" s="206"/>
      <c r="AM205" s="1004" t="s">
        <v>515</v>
      </c>
      <c r="AN205" s="1004" t="s">
        <v>515</v>
      </c>
      <c r="AO205" s="1004" t="s">
        <v>716</v>
      </c>
      <c r="AP205" s="1004"/>
      <c r="AQ205" s="1004" t="s">
        <v>432</v>
      </c>
      <c r="AR205" s="212" t="s">
        <v>578</v>
      </c>
      <c r="AS205" s="1114" t="s">
        <v>504</v>
      </c>
      <c r="AT205" s="206" t="s">
        <v>667</v>
      </c>
      <c r="AU205" s="206"/>
      <c r="AV205" s="206" t="s">
        <v>148</v>
      </c>
      <c r="AW205" s="206" t="s">
        <v>428</v>
      </c>
      <c r="AX205" s="206" t="s">
        <v>725</v>
      </c>
      <c r="AY205" s="206" t="s">
        <v>725</v>
      </c>
      <c r="AZ205" s="206"/>
      <c r="BA205" s="206" t="s">
        <v>71</v>
      </c>
      <c r="BB205" s="206" t="s">
        <v>531</v>
      </c>
      <c r="BC205" s="206" t="s">
        <v>676</v>
      </c>
      <c r="BD205" s="206" t="s">
        <v>634</v>
      </c>
      <c r="BE205" s="206"/>
      <c r="BF205" s="206" t="s">
        <v>23</v>
      </c>
      <c r="BG205" s="206" t="s">
        <v>543</v>
      </c>
      <c r="BH205" s="206" t="s">
        <v>676</v>
      </c>
      <c r="BI205" s="206"/>
      <c r="BJ205" s="206"/>
      <c r="BK205" s="206" t="s">
        <v>422</v>
      </c>
      <c r="BL205" s="206" t="s">
        <v>436</v>
      </c>
      <c r="BM205" s="206" t="s">
        <v>436</v>
      </c>
      <c r="BN205" s="206" t="s">
        <v>678</v>
      </c>
      <c r="BO205" s="206"/>
      <c r="BP205" s="206" t="s">
        <v>455</v>
      </c>
      <c r="BQ205" s="206" t="s">
        <v>461</v>
      </c>
      <c r="BR205" s="206" t="s">
        <v>173</v>
      </c>
      <c r="BS205" s="206" t="s">
        <v>177</v>
      </c>
      <c r="BT205" s="206"/>
      <c r="BU205" s="206" t="s">
        <v>181</v>
      </c>
      <c r="BV205" s="206" t="s">
        <v>789</v>
      </c>
      <c r="BW205" s="206" t="s">
        <v>813</v>
      </c>
      <c r="BX205" s="206" t="s">
        <v>817</v>
      </c>
      <c r="BY205" s="206">
        <v>4845</v>
      </c>
      <c r="BZ205" s="206" t="s">
        <v>821</v>
      </c>
      <c r="CA205" s="206" t="s">
        <v>823</v>
      </c>
      <c r="CB205" s="206" t="s">
        <v>832</v>
      </c>
      <c r="CC205" s="206" t="s">
        <v>842</v>
      </c>
      <c r="CD205" s="206" t="s">
        <v>844</v>
      </c>
      <c r="CE205" s="206">
        <v>1625</v>
      </c>
      <c r="CF205" s="206">
        <v>1730</v>
      </c>
      <c r="CG205" s="206">
        <v>1815</v>
      </c>
      <c r="CH205" s="206">
        <v>1950</v>
      </c>
      <c r="CI205" s="206"/>
      <c r="CJ205" s="206">
        <v>2040</v>
      </c>
      <c r="CK205" s="206">
        <v>2150</v>
      </c>
      <c r="CL205" s="206"/>
      <c r="CM205" s="206"/>
      <c r="CN205" s="206"/>
      <c r="CO205" s="212"/>
      <c r="CP205" s="212"/>
      <c r="CQ205" s="212"/>
      <c r="CR205" s="212"/>
      <c r="CS205" s="212"/>
      <c r="CT205" s="212"/>
      <c r="CU205" s="212"/>
      <c r="CV205" s="212"/>
      <c r="CW205" s="212"/>
      <c r="CX205" s="212"/>
      <c r="DA205" s="206"/>
      <c r="DB205" s="206"/>
      <c r="DC205" s="206"/>
    </row>
    <row r="206" spans="1:107">
      <c r="A206" s="1419" t="s">
        <v>838</v>
      </c>
      <c r="B206" s="206"/>
      <c r="C206" s="206"/>
      <c r="D206" s="206"/>
      <c r="E206" s="206"/>
      <c r="F206" s="206"/>
      <c r="G206" s="206"/>
      <c r="H206" s="206"/>
      <c r="I206" s="206"/>
      <c r="J206" s="206"/>
      <c r="K206" s="206"/>
      <c r="L206" s="206"/>
      <c r="M206" s="206"/>
      <c r="N206" s="206"/>
      <c r="O206" s="206"/>
      <c r="P206" s="206"/>
      <c r="Q206" s="206"/>
      <c r="R206" s="206"/>
      <c r="S206" s="206"/>
      <c r="T206" s="206"/>
      <c r="U206" s="206"/>
      <c r="V206" s="206"/>
      <c r="W206" s="206"/>
      <c r="X206" s="206"/>
      <c r="Y206" s="206"/>
      <c r="Z206" s="206"/>
      <c r="AA206" s="206"/>
      <c r="AB206" s="206"/>
      <c r="AC206" s="206"/>
      <c r="AD206" s="206"/>
      <c r="AE206" s="206"/>
      <c r="AF206" s="206"/>
      <c r="AG206" s="206"/>
      <c r="AH206" s="206"/>
      <c r="AI206" s="206"/>
      <c r="AJ206" s="206"/>
      <c r="AK206" s="206"/>
      <c r="AL206" s="206"/>
      <c r="AM206" s="1004"/>
      <c r="AN206" s="1004"/>
      <c r="AO206" s="1004"/>
      <c r="AP206" s="1004"/>
      <c r="AQ206" s="1004"/>
      <c r="AR206" s="212"/>
      <c r="AS206" s="1114"/>
      <c r="AT206" s="206"/>
      <c r="AU206" s="206"/>
      <c r="AV206" s="206"/>
      <c r="AW206" s="206"/>
      <c r="AX206" s="206"/>
      <c r="AY206" s="206"/>
      <c r="AZ206" s="206"/>
      <c r="BA206" s="206"/>
      <c r="BB206" s="206"/>
      <c r="BC206" s="206"/>
      <c r="BD206" s="206"/>
      <c r="BE206" s="206"/>
      <c r="BF206" s="206"/>
      <c r="BG206" s="206"/>
      <c r="BH206" s="206"/>
      <c r="BI206" s="206"/>
      <c r="BJ206" s="206"/>
      <c r="BK206" s="206">
        <v>950</v>
      </c>
      <c r="BL206" s="206">
        <v>975</v>
      </c>
      <c r="BM206" s="206">
        <v>975</v>
      </c>
      <c r="BN206" s="206">
        <v>1000</v>
      </c>
      <c r="BO206" s="206"/>
      <c r="BP206" s="206">
        <v>950</v>
      </c>
      <c r="BQ206" s="206">
        <v>1000</v>
      </c>
      <c r="BR206" s="206">
        <v>975</v>
      </c>
      <c r="BS206" s="206">
        <v>1025</v>
      </c>
      <c r="BT206" s="206"/>
      <c r="BU206" s="206">
        <v>1050</v>
      </c>
      <c r="BV206" s="206">
        <v>1125</v>
      </c>
      <c r="BW206" s="206">
        <v>1175</v>
      </c>
      <c r="BX206" s="206">
        <v>1275</v>
      </c>
      <c r="BY206" s="206"/>
      <c r="BZ206" s="206">
        <v>1300</v>
      </c>
      <c r="CA206" s="206">
        <v>1365</v>
      </c>
      <c r="CB206" s="206">
        <v>1420</v>
      </c>
      <c r="CC206" s="206">
        <v>1600</v>
      </c>
      <c r="CD206" s="206"/>
      <c r="CE206" s="206">
        <v>1625</v>
      </c>
      <c r="CF206" s="206">
        <v>1730</v>
      </c>
      <c r="CG206" s="206">
        <v>1815</v>
      </c>
      <c r="CH206" s="206">
        <v>1950</v>
      </c>
      <c r="CI206" s="206"/>
      <c r="CJ206" s="206">
        <v>2040</v>
      </c>
      <c r="CK206" s="206">
        <v>2150</v>
      </c>
      <c r="CL206" s="206"/>
      <c r="CM206" s="206"/>
      <c r="CN206" s="206"/>
      <c r="CO206" s="212"/>
      <c r="CP206" s="212"/>
      <c r="CQ206" s="212"/>
      <c r="CR206" s="212"/>
      <c r="CS206" s="212"/>
      <c r="CT206" s="212"/>
      <c r="CU206" s="212"/>
      <c r="CV206" s="212"/>
      <c r="CW206" s="212"/>
      <c r="CX206" s="212"/>
      <c r="DA206" s="206"/>
      <c r="DB206" s="206"/>
      <c r="DC206" s="206"/>
    </row>
    <row r="207" spans="1:107">
      <c r="A207" s="1419" t="s">
        <v>839</v>
      </c>
      <c r="B207" s="206"/>
      <c r="C207" s="206"/>
      <c r="D207" s="206"/>
      <c r="E207" s="206"/>
      <c r="F207" s="206"/>
      <c r="G207" s="206"/>
      <c r="H207" s="206"/>
      <c r="I207" s="206"/>
      <c r="J207" s="206"/>
      <c r="K207" s="206"/>
      <c r="L207" s="206"/>
      <c r="M207" s="206"/>
      <c r="N207" s="206"/>
      <c r="O207" s="206"/>
      <c r="P207" s="206"/>
      <c r="Q207" s="206"/>
      <c r="R207" s="206"/>
      <c r="S207" s="206"/>
      <c r="T207" s="206"/>
      <c r="U207" s="206"/>
      <c r="V207" s="206"/>
      <c r="W207" s="206"/>
      <c r="X207" s="206"/>
      <c r="Y207" s="206"/>
      <c r="Z207" s="206"/>
      <c r="AA207" s="206"/>
      <c r="AB207" s="206"/>
      <c r="AC207" s="206"/>
      <c r="AD207" s="206"/>
      <c r="AE207" s="206"/>
      <c r="AF207" s="206"/>
      <c r="AG207" s="206"/>
      <c r="AH207" s="206"/>
      <c r="AI207" s="206"/>
      <c r="AJ207" s="206"/>
      <c r="AK207" s="206"/>
      <c r="AL207" s="206"/>
      <c r="AM207" s="1004"/>
      <c r="AN207" s="1004"/>
      <c r="AO207" s="1004"/>
      <c r="AP207" s="1004"/>
      <c r="AQ207" s="1004"/>
      <c r="AR207" s="212"/>
      <c r="AS207" s="1114"/>
      <c r="AT207" s="206"/>
      <c r="AU207" s="206"/>
      <c r="AV207" s="206"/>
      <c r="AW207" s="206"/>
      <c r="AX207" s="206"/>
      <c r="AY207" s="206"/>
      <c r="AZ207" s="206"/>
      <c r="BA207" s="206"/>
      <c r="BB207" s="206"/>
      <c r="BC207" s="206"/>
      <c r="BD207" s="206"/>
      <c r="BE207" s="206"/>
      <c r="BF207" s="206"/>
      <c r="BG207" s="206"/>
      <c r="BH207" s="206"/>
      <c r="BI207" s="206"/>
      <c r="BJ207" s="206"/>
      <c r="BK207" s="206">
        <v>1000</v>
      </c>
      <c r="BL207" s="206">
        <v>1025</v>
      </c>
      <c r="BM207" s="206">
        <v>1025</v>
      </c>
      <c r="BN207" s="206">
        <v>1050</v>
      </c>
      <c r="BO207" s="206"/>
      <c r="BP207" s="206">
        <v>1000</v>
      </c>
      <c r="BQ207" s="206">
        <v>1050</v>
      </c>
      <c r="BR207" s="206">
        <v>1025</v>
      </c>
      <c r="BS207" s="206">
        <v>1075</v>
      </c>
      <c r="BT207" s="206"/>
      <c r="BU207" s="206">
        <v>1100</v>
      </c>
      <c r="BV207" s="206">
        <v>1175</v>
      </c>
      <c r="BW207" s="206">
        <v>1225</v>
      </c>
      <c r="BX207" s="206">
        <v>1325</v>
      </c>
      <c r="BY207" s="206"/>
      <c r="BZ207" s="206">
        <v>1350</v>
      </c>
      <c r="CA207" s="206">
        <v>1415</v>
      </c>
      <c r="CB207" s="206">
        <v>1470</v>
      </c>
      <c r="CC207" s="206">
        <v>1550</v>
      </c>
      <c r="CD207" s="206"/>
      <c r="CE207" s="206">
        <v>1625</v>
      </c>
      <c r="CF207" s="206">
        <v>1730</v>
      </c>
      <c r="CG207" s="206">
        <v>1815</v>
      </c>
      <c r="CH207" s="206">
        <v>1950</v>
      </c>
      <c r="CI207" s="206"/>
      <c r="CJ207" s="206">
        <v>2040</v>
      </c>
      <c r="CK207" s="206">
        <v>2150</v>
      </c>
      <c r="CL207" s="206"/>
      <c r="CM207" s="206"/>
      <c r="CN207" s="206"/>
      <c r="CO207" s="212"/>
      <c r="CP207" s="212"/>
      <c r="CQ207" s="212"/>
      <c r="CR207" s="212"/>
      <c r="CS207" s="212"/>
      <c r="CT207" s="212"/>
      <c r="CU207" s="212"/>
      <c r="CV207" s="212"/>
      <c r="CW207" s="212"/>
      <c r="CX207" s="212"/>
      <c r="DA207" s="206"/>
      <c r="DB207" s="206"/>
      <c r="DC207" s="206"/>
    </row>
    <row r="208" spans="1:107">
      <c r="A208" s="1419" t="s">
        <v>840</v>
      </c>
      <c r="B208" s="206"/>
      <c r="C208" s="206"/>
      <c r="D208" s="206"/>
      <c r="E208" s="206"/>
      <c r="F208" s="206"/>
      <c r="G208" s="206"/>
      <c r="H208" s="206"/>
      <c r="I208" s="206"/>
      <c r="J208" s="206"/>
      <c r="K208" s="206"/>
      <c r="L208" s="206"/>
      <c r="M208" s="206"/>
      <c r="N208" s="206"/>
      <c r="O208" s="206"/>
      <c r="P208" s="206"/>
      <c r="Q208" s="206"/>
      <c r="R208" s="206"/>
      <c r="S208" s="206"/>
      <c r="T208" s="206"/>
      <c r="U208" s="206"/>
      <c r="V208" s="206"/>
      <c r="W208" s="206"/>
      <c r="X208" s="206"/>
      <c r="Y208" s="206"/>
      <c r="Z208" s="206"/>
      <c r="AA208" s="206"/>
      <c r="AB208" s="206"/>
      <c r="AC208" s="206"/>
      <c r="AD208" s="206"/>
      <c r="AE208" s="206"/>
      <c r="AF208" s="206"/>
      <c r="AG208" s="206"/>
      <c r="AH208" s="206"/>
      <c r="AI208" s="206"/>
      <c r="AJ208" s="206"/>
      <c r="AK208" s="206"/>
      <c r="AL208" s="206"/>
      <c r="AM208" s="1004"/>
      <c r="AN208" s="1004"/>
      <c r="AO208" s="1004"/>
      <c r="AP208" s="1004"/>
      <c r="AQ208" s="1004"/>
      <c r="AR208" s="212"/>
      <c r="AS208" s="1114"/>
      <c r="AT208" s="206"/>
      <c r="AU208" s="206"/>
      <c r="AV208" s="206"/>
      <c r="AW208" s="206"/>
      <c r="AX208" s="206"/>
      <c r="AY208" s="206"/>
      <c r="AZ208" s="206"/>
      <c r="BA208" s="206"/>
      <c r="BB208" s="206"/>
      <c r="BC208" s="206"/>
      <c r="BD208" s="206"/>
      <c r="BE208" s="206"/>
      <c r="BF208" s="206"/>
      <c r="BG208" s="206"/>
      <c r="BH208" s="206"/>
      <c r="BI208" s="206"/>
      <c r="BJ208" s="206"/>
      <c r="BK208" s="206">
        <f>AVERAGE(BK206:BK207)</f>
        <v>975</v>
      </c>
      <c r="BL208" s="206">
        <f>AVERAGE(BL206:BL207)</f>
        <v>1000</v>
      </c>
      <c r="BM208" s="206">
        <f>AVERAGE(BM206:BM207)</f>
        <v>1000</v>
      </c>
      <c r="BN208" s="206">
        <f>AVERAGE(BN206:BN207)</f>
        <v>1025</v>
      </c>
      <c r="BO208" s="206"/>
      <c r="BP208" s="206">
        <f>AVERAGE(BP206:BP207)</f>
        <v>975</v>
      </c>
      <c r="BQ208" s="206">
        <f>AVERAGE(BQ206:BQ207)</f>
        <v>1025</v>
      </c>
      <c r="BR208" s="206">
        <f>AVERAGE(BR206:BR207)</f>
        <v>1000</v>
      </c>
      <c r="BS208" s="206">
        <f>AVERAGE(BS206:BS207)</f>
        <v>1050</v>
      </c>
      <c r="BT208" s="206"/>
      <c r="BU208" s="206">
        <f>AVERAGE(BU206:BU207)</f>
        <v>1075</v>
      </c>
      <c r="BV208" s="206">
        <f>AVERAGE(BV206:BV207)</f>
        <v>1150</v>
      </c>
      <c r="BW208" s="206">
        <f>AVERAGE(BW206:BW207)</f>
        <v>1200</v>
      </c>
      <c r="BX208" s="206">
        <f>AVERAGE(BX206:BX207)</f>
        <v>1300</v>
      </c>
      <c r="BY208" s="206"/>
      <c r="BZ208" s="206">
        <f>AVERAGE(BZ206:BZ207)</f>
        <v>1325</v>
      </c>
      <c r="CA208" s="206">
        <f>AVERAGE(CA206:CA207)</f>
        <v>1390</v>
      </c>
      <c r="CB208" s="206">
        <f>AVERAGE(CB206:CB207)</f>
        <v>1445</v>
      </c>
      <c r="CC208" s="206">
        <f>AVERAGE(CC206:CC207)</f>
        <v>1575</v>
      </c>
      <c r="CD208" s="206"/>
      <c r="CE208" s="206">
        <f>AVERAGE(CE206:CE207)</f>
        <v>1625</v>
      </c>
      <c r="CF208" s="206">
        <v>1730</v>
      </c>
      <c r="CG208" s="206">
        <v>1815</v>
      </c>
      <c r="CH208" s="206">
        <v>1950</v>
      </c>
      <c r="CI208" s="206"/>
      <c r="CJ208" s="206">
        <v>2040</v>
      </c>
      <c r="CK208" s="206">
        <v>2150</v>
      </c>
      <c r="CL208" s="206"/>
      <c r="CM208" s="206"/>
      <c r="CN208" s="206"/>
      <c r="CO208" s="212"/>
      <c r="CP208" s="212"/>
      <c r="CQ208" s="212"/>
      <c r="CR208" s="212"/>
      <c r="CS208" s="212"/>
      <c r="CT208" s="212"/>
      <c r="CU208" s="212"/>
      <c r="CV208" s="212"/>
      <c r="CW208" s="212"/>
      <c r="CX208" s="212"/>
      <c r="DA208" s="206"/>
      <c r="DB208" s="206"/>
      <c r="DC208" s="206"/>
    </row>
    <row r="209" spans="1:107">
      <c r="A209" s="206" t="s">
        <v>835</v>
      </c>
      <c r="B209" s="206"/>
      <c r="C209" s="206"/>
      <c r="D209" s="206"/>
      <c r="E209" s="206"/>
      <c r="F209" s="206"/>
      <c r="G209" s="206"/>
      <c r="H209" s="206"/>
      <c r="I209" s="206"/>
      <c r="J209" s="206"/>
      <c r="K209" s="206"/>
      <c r="L209" s="206"/>
      <c r="M209" s="206"/>
      <c r="N209" s="206"/>
      <c r="O209" s="206"/>
      <c r="P209" s="206"/>
      <c r="Q209" s="206"/>
      <c r="R209" s="206"/>
      <c r="S209" s="206"/>
      <c r="T209" s="206"/>
      <c r="U209" s="206"/>
      <c r="V209" s="206"/>
      <c r="W209" s="206"/>
      <c r="X209" s="206"/>
      <c r="Y209" s="206"/>
      <c r="Z209" s="206"/>
      <c r="AA209" s="206"/>
      <c r="AB209" s="206"/>
      <c r="AC209" s="206"/>
      <c r="AD209" s="206"/>
      <c r="AE209" s="206"/>
      <c r="AF209" s="206"/>
      <c r="AG209" s="206"/>
      <c r="AH209" s="206"/>
      <c r="AI209" s="206"/>
      <c r="AJ209" s="206"/>
      <c r="AK209" s="206"/>
      <c r="AL209" s="206"/>
      <c r="AM209" s="1004"/>
      <c r="AN209" s="1004"/>
      <c r="AO209" s="1004"/>
      <c r="AP209" s="1004"/>
      <c r="AQ209" s="1004"/>
      <c r="AR209" s="212"/>
      <c r="AS209" s="1114"/>
      <c r="AT209" s="206"/>
      <c r="AU209" s="206"/>
      <c r="AV209" s="206"/>
      <c r="AW209" s="206"/>
      <c r="AX209" s="206"/>
      <c r="AY209" s="206"/>
      <c r="AZ209" s="206"/>
      <c r="BA209" s="206"/>
      <c r="BB209" s="206"/>
      <c r="BC209" s="206"/>
      <c r="BD209" s="206"/>
      <c r="BE209" s="206"/>
      <c r="BF209" s="206"/>
      <c r="BG209" s="206"/>
      <c r="BH209" s="206"/>
      <c r="BI209" s="206"/>
      <c r="BJ209" s="206"/>
      <c r="BK209" s="147">
        <f>BK24-BK208</f>
        <v>32.872999999999934</v>
      </c>
      <c r="BL209" s="147">
        <f>BL24-BL208</f>
        <v>10.548999999999978</v>
      </c>
      <c r="BM209" s="147">
        <f>BM24-BM208</f>
        <v>-4.8809999999999718</v>
      </c>
      <c r="BN209" s="147">
        <f>BN24-BN208</f>
        <v>16.698999999999842</v>
      </c>
      <c r="BO209" s="206"/>
      <c r="BP209" s="147">
        <f>BP24-BP208</f>
        <v>25.120000000000005</v>
      </c>
      <c r="BQ209" s="147">
        <f>BQ24-BQ208</f>
        <v>43.208000000000084</v>
      </c>
      <c r="BR209" s="147">
        <f>BR24-BR208</f>
        <v>5.4090000000001055</v>
      </c>
      <c r="BS209" s="147">
        <f>BS24-BS208</f>
        <v>23.327999999999975</v>
      </c>
      <c r="BT209" s="206"/>
      <c r="BU209" s="147">
        <f>BU24-BU208</f>
        <v>34.18100000000004</v>
      </c>
      <c r="BV209" s="147">
        <f>BV24-BV208</f>
        <v>12.157999999999902</v>
      </c>
      <c r="BW209" s="147">
        <f>BW24-BW208</f>
        <v>17.768000000000029</v>
      </c>
      <c r="BX209" s="147">
        <f>BX24-BX208</f>
        <v>6.403999999999769</v>
      </c>
      <c r="BY209" s="206"/>
      <c r="BZ209" s="147">
        <f>BZ24-BZ208</f>
        <v>58.335000000000036</v>
      </c>
      <c r="CA209" s="147">
        <f>CA24-CA208</f>
        <v>8.70900000000006</v>
      </c>
      <c r="CB209" s="147">
        <f>CB24-CB208</f>
        <v>18.967000000000098</v>
      </c>
      <c r="CC209" s="147">
        <f>CC24-CC208</f>
        <v>33.418999999999869</v>
      </c>
      <c r="CD209" s="206"/>
      <c r="CE209" s="147">
        <f>CE24-CE208</f>
        <v>56.645999999999958</v>
      </c>
      <c r="CF209" s="147">
        <f>CF24-CF208</f>
        <v>42.190000000000055</v>
      </c>
      <c r="CG209" s="147">
        <f>CG24-CG208</f>
        <v>26.074000000000069</v>
      </c>
      <c r="CH209" s="147">
        <f>CH24-CH208</f>
        <v>56.595000000000027</v>
      </c>
      <c r="CI209" s="147"/>
      <c r="CJ209" s="147">
        <f>CJ24-CJ208</f>
        <v>38.947000000000116</v>
      </c>
      <c r="CK209" s="147"/>
      <c r="CL209" s="147"/>
      <c r="CM209" s="147"/>
      <c r="CN209" s="147"/>
      <c r="CO209" s="212"/>
      <c r="CP209" s="212"/>
      <c r="CQ209" s="212"/>
      <c r="CR209" s="212"/>
      <c r="CS209" s="212"/>
      <c r="CT209" s="212"/>
      <c r="CU209" s="212"/>
      <c r="CV209" s="212"/>
      <c r="CW209" s="212"/>
      <c r="CX209" s="212"/>
      <c r="DA209" s="206"/>
      <c r="DB209" s="206"/>
      <c r="DC209" s="206"/>
    </row>
    <row r="210" spans="1:107">
      <c r="A210" s="206" t="s">
        <v>836</v>
      </c>
      <c r="B210" s="206"/>
      <c r="C210" s="206"/>
      <c r="D210" s="206"/>
      <c r="E210" s="206"/>
      <c r="F210" s="206"/>
      <c r="G210" s="206"/>
      <c r="H210" s="206"/>
      <c r="I210" s="206"/>
      <c r="J210" s="206"/>
      <c r="K210" s="206"/>
      <c r="L210" s="206"/>
      <c r="M210" s="206"/>
      <c r="N210" s="206"/>
      <c r="O210" s="206"/>
      <c r="P210" s="206"/>
      <c r="Q210" s="206"/>
      <c r="R210" s="206"/>
      <c r="S210" s="206"/>
      <c r="T210" s="206"/>
      <c r="U210" s="206"/>
      <c r="V210" s="206"/>
      <c r="W210" s="206"/>
      <c r="X210" s="206"/>
      <c r="Y210" s="206"/>
      <c r="Z210" s="206"/>
      <c r="AA210" s="206"/>
      <c r="AB210" s="206"/>
      <c r="AC210" s="206"/>
      <c r="AD210" s="206"/>
      <c r="AE210" s="206"/>
      <c r="AF210" s="206"/>
      <c r="AG210" s="206"/>
      <c r="AH210" s="206"/>
      <c r="AI210" s="206"/>
      <c r="AJ210" s="206"/>
      <c r="AK210" s="206"/>
      <c r="AL210" s="206"/>
      <c r="AM210" s="1004"/>
      <c r="AN210" s="1004"/>
      <c r="AO210" s="1004"/>
      <c r="AP210" s="1004"/>
      <c r="AQ210" s="1004"/>
      <c r="AR210" s="212"/>
      <c r="AS210" s="1114"/>
      <c r="AT210" s="206"/>
      <c r="AU210" s="206"/>
      <c r="AV210" s="206"/>
      <c r="AW210" s="206"/>
      <c r="AX210" s="206"/>
      <c r="AY210" s="206"/>
      <c r="AZ210" s="206"/>
      <c r="BA210" s="206"/>
      <c r="BB210" s="206"/>
      <c r="BC210" s="206"/>
      <c r="BD210" s="206"/>
      <c r="BE210" s="206"/>
      <c r="BF210" s="206"/>
      <c r="BG210" s="206"/>
      <c r="BH210" s="206"/>
      <c r="BI210" s="206"/>
      <c r="BJ210" s="206"/>
      <c r="BK210" s="1667">
        <f>BK24/BK208-1</f>
        <v>3.3715897435897313E-2</v>
      </c>
      <c r="BL210" s="1667">
        <f>BL24/BL208-1</f>
        <v>1.054899999999992E-2</v>
      </c>
      <c r="BM210" s="1667">
        <f>BM24/BM208-1</f>
        <v>-4.8810000000000242E-3</v>
      </c>
      <c r="BN210" s="1667">
        <f>BN24/BN208-1</f>
        <v>1.6291707317072968E-2</v>
      </c>
      <c r="BO210" s="206"/>
      <c r="BP210" s="1667">
        <f>BP24/BP208-1</f>
        <v>2.5764102564102664E-2</v>
      </c>
      <c r="BQ210" s="1667">
        <f>BQ24/BQ208-1</f>
        <v>4.2154146341463417E-2</v>
      </c>
      <c r="BR210" s="1667">
        <f>BR24/BR208-1</f>
        <v>5.4089999999999971E-3</v>
      </c>
      <c r="BS210" s="1667">
        <f>BS24/BS208-1</f>
        <v>2.2217142857142935E-2</v>
      </c>
      <c r="BT210" s="206"/>
      <c r="BU210" s="1667">
        <f>BU24/BU208-1</f>
        <v>3.1796279069767452E-2</v>
      </c>
      <c r="BV210" s="1667">
        <f>BV24/BV208-1</f>
        <v>1.0572173913043326E-2</v>
      </c>
      <c r="BW210" s="1667">
        <f>BW24/BW208-1</f>
        <v>1.4806666666666635E-2</v>
      </c>
      <c r="BX210" s="1667">
        <f>BX24/BX208-1</f>
        <v>4.9261538461535803E-3</v>
      </c>
      <c r="BY210" s="206"/>
      <c r="BZ210" s="1667">
        <f>BZ24/BZ208-1</f>
        <v>4.4026415094339688E-2</v>
      </c>
      <c r="CA210" s="1667">
        <f>CA24/CA208-1</f>
        <v>6.2654676258993014E-3</v>
      </c>
      <c r="CB210" s="1667">
        <f>CB24/CB208-1</f>
        <v>1.3125951557093396E-2</v>
      </c>
      <c r="CC210" s="1667">
        <f>CC24/CC208-1</f>
        <v>2.1218412698412514E-2</v>
      </c>
      <c r="CD210" s="206"/>
      <c r="CE210" s="1667">
        <f>CE24/CE208-1</f>
        <v>3.4859076923076993E-2</v>
      </c>
      <c r="CF210" s="1667">
        <f>CF24/CF208-1</f>
        <v>2.4387283236994239E-2</v>
      </c>
      <c r="CG210" s="1667">
        <f>CG24/CG208-1</f>
        <v>1.4365840220385673E-2</v>
      </c>
      <c r="CH210" s="1667">
        <f>CH24/CH208-1</f>
        <v>2.902307692307704E-2</v>
      </c>
      <c r="CI210" s="1667"/>
      <c r="CJ210" s="1667">
        <f>CJ24/CJ208-1</f>
        <v>1.9091666666666729E-2</v>
      </c>
      <c r="CK210" s="1667"/>
      <c r="CL210" s="1667"/>
      <c r="CM210" s="1667"/>
      <c r="CN210" s="1667"/>
      <c r="CO210" s="212"/>
      <c r="CP210" s="212"/>
      <c r="CQ210" s="212"/>
      <c r="CR210" s="212"/>
      <c r="CS210" s="212"/>
      <c r="CT210" s="212"/>
      <c r="CU210" s="212"/>
      <c r="CV210" s="212"/>
      <c r="CW210" s="212"/>
      <c r="CX210" s="212"/>
      <c r="DA210" s="206"/>
      <c r="DB210" s="206"/>
      <c r="DC210" s="206"/>
    </row>
    <row r="211" spans="1:107">
      <c r="A211" s="206" t="s">
        <v>837</v>
      </c>
      <c r="B211" s="206"/>
      <c r="C211" s="206"/>
      <c r="D211" s="206"/>
      <c r="E211" s="206"/>
      <c r="F211" s="206"/>
      <c r="G211" s="206"/>
      <c r="H211" s="206"/>
      <c r="I211" s="206"/>
      <c r="J211" s="206"/>
      <c r="K211" s="206"/>
      <c r="L211" s="206"/>
      <c r="M211" s="206"/>
      <c r="N211" s="206"/>
      <c r="O211" s="206"/>
      <c r="P211" s="206"/>
      <c r="Q211" s="206"/>
      <c r="R211" s="206"/>
      <c r="S211" s="206"/>
      <c r="T211" s="206"/>
      <c r="U211" s="206"/>
      <c r="V211" s="206"/>
      <c r="W211" s="206"/>
      <c r="X211" s="206"/>
      <c r="Y211" s="206"/>
      <c r="Z211" s="206"/>
      <c r="AA211" s="206"/>
      <c r="AB211" s="206"/>
      <c r="AC211" s="206"/>
      <c r="AD211" s="206"/>
      <c r="AE211" s="206"/>
      <c r="AF211" s="206"/>
      <c r="AG211" s="206"/>
      <c r="AH211" s="206"/>
      <c r="AI211" s="206"/>
      <c r="AJ211" s="206"/>
      <c r="AK211" s="206"/>
      <c r="AL211" s="206"/>
      <c r="AM211" s="1004"/>
      <c r="AN211" s="1004"/>
      <c r="AO211" s="1004"/>
      <c r="AP211" s="1004"/>
      <c r="AQ211" s="1004"/>
      <c r="AR211" s="212"/>
      <c r="AS211" s="1114"/>
      <c r="AT211" s="206"/>
      <c r="AU211" s="206"/>
      <c r="AV211" s="206"/>
      <c r="AW211" s="206"/>
      <c r="AX211" s="206"/>
      <c r="AY211" s="206"/>
      <c r="AZ211" s="206"/>
      <c r="BA211" s="206"/>
      <c r="BB211" s="206"/>
      <c r="BC211" s="206"/>
      <c r="BD211" s="206"/>
      <c r="BE211" s="206"/>
      <c r="BF211" s="206"/>
      <c r="BG211" s="206"/>
      <c r="BH211" s="206"/>
      <c r="BI211" s="206"/>
      <c r="BJ211" s="206"/>
      <c r="BK211" s="1667">
        <f>BK24/BK207-1</f>
        <v>7.8730000000000189E-3</v>
      </c>
      <c r="BL211" s="1667">
        <f>BL24/BL207-1</f>
        <v>-1.4098536585365862E-2</v>
      </c>
      <c r="BM211" s="1667">
        <f>BM24/BM207-1</f>
        <v>-2.9152195121951219E-2</v>
      </c>
      <c r="BN211" s="1667">
        <f>BN24/BN207-1</f>
        <v>-7.9057142857144047E-3</v>
      </c>
      <c r="BO211" s="206"/>
      <c r="BP211" s="1667">
        <f>BP24/BP207-1</f>
        <v>1.1999999999989797E-4</v>
      </c>
      <c r="BQ211" s="1667">
        <f>BQ24/BQ207-1</f>
        <v>1.7340952380952457E-2</v>
      </c>
      <c r="BR211" s="1667">
        <f>BR24/BR207-1</f>
        <v>-1.9113170731707263E-2</v>
      </c>
      <c r="BS211" s="1667">
        <f>BS24/BS207-1</f>
        <v>-1.5553488372093138E-3</v>
      </c>
      <c r="BT211" s="206"/>
      <c r="BU211" s="1667">
        <f>BU24/BU207-1</f>
        <v>8.3463636363636518E-3</v>
      </c>
      <c r="BV211" s="1667">
        <f>BV24/BV207-1</f>
        <v>-1.0929361702127771E-2</v>
      </c>
      <c r="BW211" s="1667">
        <f>BW24/BW207-1</f>
        <v>-5.9036734693876936E-3</v>
      </c>
      <c r="BX211" s="1667">
        <f>BX24/BX207-1</f>
        <v>-1.4034716981132234E-2</v>
      </c>
      <c r="BY211" s="206"/>
      <c r="BZ211" s="1667">
        <f>BZ24/BZ207-1</f>
        <v>2.469259259259271E-2</v>
      </c>
      <c r="CA211" s="1667">
        <f>CA24/CA207-1</f>
        <v>-1.151307420494696E-2</v>
      </c>
      <c r="CB211" s="1667">
        <f>CB24/CB207-1</f>
        <v>-4.1040816326529672E-3</v>
      </c>
      <c r="CC211" s="1667">
        <f>CC24/CC207-1</f>
        <v>3.7689677419354695E-2</v>
      </c>
      <c r="CD211" s="206"/>
      <c r="CE211" s="1667">
        <f>CE24/CE207-1</f>
        <v>3.4859076923076993E-2</v>
      </c>
      <c r="CF211" s="1667">
        <f>CF24/CF207-1</f>
        <v>2.4387283236994239E-2</v>
      </c>
      <c r="CG211" s="1667">
        <f>CG24/CG207-1</f>
        <v>1.4365840220385673E-2</v>
      </c>
      <c r="CH211" s="1667">
        <f>CH24/CH207-1</f>
        <v>2.902307692307704E-2</v>
      </c>
      <c r="CI211" s="1667"/>
      <c r="CJ211" s="1667">
        <f>CJ24/CJ207-1</f>
        <v>1.9091666666666729E-2</v>
      </c>
      <c r="CK211" s="1667"/>
      <c r="CL211" s="1667"/>
      <c r="CM211" s="1667"/>
      <c r="CN211" s="1667"/>
      <c r="CO211" s="212"/>
      <c r="CP211" s="212"/>
      <c r="CQ211" s="212"/>
      <c r="CR211" s="212"/>
      <c r="CS211" s="212"/>
      <c r="CT211" s="212"/>
      <c r="CU211" s="212"/>
      <c r="CV211" s="212"/>
      <c r="CW211" s="212"/>
      <c r="CX211" s="212"/>
      <c r="DA211" s="206"/>
      <c r="DB211" s="206"/>
      <c r="DC211" s="206"/>
    </row>
    <row r="212" spans="1:107">
      <c r="A212" s="206" t="s">
        <v>815</v>
      </c>
      <c r="B212" s="206"/>
      <c r="C212" s="206"/>
      <c r="D212" s="206"/>
      <c r="E212" s="206"/>
      <c r="F212" s="206"/>
      <c r="G212" s="206"/>
      <c r="H212" s="206"/>
      <c r="I212" s="206"/>
      <c r="J212" s="206"/>
      <c r="K212" s="206"/>
      <c r="L212" s="206"/>
      <c r="M212" s="206"/>
      <c r="N212" s="206"/>
      <c r="O212" s="206"/>
      <c r="P212" s="206"/>
      <c r="Q212" s="206"/>
      <c r="R212" s="206"/>
      <c r="S212" s="206"/>
      <c r="T212" s="206"/>
      <c r="U212" s="206"/>
      <c r="V212" s="206"/>
      <c r="W212" s="206"/>
      <c r="X212" s="206"/>
      <c r="Y212" s="206"/>
      <c r="Z212" s="206"/>
      <c r="AA212" s="206"/>
      <c r="AB212" s="206"/>
      <c r="AC212" s="206"/>
      <c r="AD212" s="206"/>
      <c r="AE212" s="206"/>
      <c r="AF212" s="206"/>
      <c r="AG212" s="206"/>
      <c r="AH212" s="206"/>
      <c r="AI212" s="206"/>
      <c r="AJ212" s="206"/>
      <c r="AK212" s="206"/>
      <c r="AL212" s="206"/>
      <c r="AM212" s="1004"/>
      <c r="AN212" s="1004"/>
      <c r="AO212" s="1004"/>
      <c r="AP212" s="1004"/>
      <c r="AQ212" s="1004"/>
      <c r="AR212" s="212"/>
      <c r="AS212" s="1114"/>
      <c r="AT212" s="206"/>
      <c r="AU212" s="206"/>
      <c r="AV212" s="206"/>
      <c r="AW212" s="206"/>
      <c r="AX212" s="206"/>
      <c r="AY212" s="206"/>
      <c r="AZ212" s="206"/>
      <c r="BA212" s="206"/>
      <c r="BB212" s="206"/>
      <c r="BC212" s="206"/>
      <c r="BD212" s="206"/>
      <c r="BE212" s="206"/>
      <c r="BF212" s="206"/>
      <c r="BG212" s="206"/>
      <c r="BH212" s="206"/>
      <c r="BI212" s="206"/>
      <c r="BJ212" s="206"/>
      <c r="BK212" s="206"/>
      <c r="BL212" s="206"/>
      <c r="BM212" s="206"/>
      <c r="BN212" s="206"/>
      <c r="BO212" s="206"/>
      <c r="BP212" s="206"/>
      <c r="BQ212" s="206"/>
      <c r="BR212" s="206"/>
      <c r="BS212" s="206"/>
      <c r="BT212" s="206"/>
      <c r="BU212" s="206"/>
      <c r="BV212" s="206"/>
      <c r="BW212" s="206"/>
      <c r="BX212" s="206"/>
      <c r="BY212" s="206" t="s">
        <v>819</v>
      </c>
      <c r="BZ212" s="206"/>
      <c r="CA212" s="206"/>
      <c r="CB212" s="206"/>
      <c r="CC212" s="206"/>
      <c r="CD212" s="206"/>
      <c r="CE212" s="206"/>
      <c r="CF212" s="206"/>
      <c r="CG212" s="206"/>
      <c r="CH212" s="206"/>
      <c r="CI212" s="206"/>
      <c r="CJ212" s="206"/>
      <c r="CK212" s="206"/>
      <c r="CL212" s="206"/>
      <c r="CM212" s="206"/>
      <c r="CN212" s="206"/>
      <c r="CO212" s="212"/>
      <c r="CP212" s="212"/>
      <c r="CQ212" s="212"/>
      <c r="CR212" s="212"/>
      <c r="CS212" s="212"/>
      <c r="CT212" s="212"/>
      <c r="CU212" s="212"/>
      <c r="CV212" s="212"/>
      <c r="CW212" s="212"/>
      <c r="CX212" s="212"/>
      <c r="DA212" s="206"/>
      <c r="DB212" s="206"/>
      <c r="DC212" s="206"/>
    </row>
    <row r="213" spans="1:107">
      <c r="A213" s="206" t="s">
        <v>913</v>
      </c>
      <c r="B213" s="206"/>
      <c r="C213" s="206"/>
      <c r="D213" s="206"/>
      <c r="E213" s="206"/>
      <c r="F213" s="206"/>
      <c r="G213" s="206"/>
      <c r="H213" s="206"/>
      <c r="I213" s="206"/>
      <c r="J213" s="206"/>
      <c r="K213" s="206"/>
      <c r="L213" s="206"/>
      <c r="M213" s="206"/>
      <c r="N213" s="206"/>
      <c r="O213" s="206"/>
      <c r="P213" s="206"/>
      <c r="Q213" s="206"/>
      <c r="R213" s="206"/>
      <c r="S213" s="206"/>
      <c r="T213" s="206"/>
      <c r="U213" s="206"/>
      <c r="V213" s="206"/>
      <c r="W213" s="206"/>
      <c r="X213" s="206"/>
      <c r="Y213" s="206"/>
      <c r="Z213" s="206"/>
      <c r="AA213" s="206"/>
      <c r="AB213" s="206"/>
      <c r="AC213" s="206"/>
      <c r="AD213" s="206"/>
      <c r="AE213" s="206"/>
      <c r="AF213" s="206"/>
      <c r="AG213" s="206"/>
      <c r="AH213" s="206"/>
      <c r="AI213" s="206"/>
      <c r="AJ213" s="206"/>
      <c r="AK213" s="206"/>
      <c r="AL213" s="206"/>
      <c r="AM213" s="1004"/>
      <c r="AN213" s="1004"/>
      <c r="AO213" s="1004"/>
      <c r="AP213" s="1004"/>
      <c r="AQ213" s="1004"/>
      <c r="AR213" s="212"/>
      <c r="AS213" s="1114"/>
      <c r="AT213" s="206"/>
      <c r="AU213" s="206"/>
      <c r="AV213" s="206"/>
      <c r="AW213" s="206"/>
      <c r="AX213" s="206"/>
      <c r="AY213" s="206"/>
      <c r="AZ213" s="206"/>
      <c r="BA213" s="206"/>
      <c r="BB213" s="206"/>
      <c r="BC213" s="206"/>
      <c r="BD213" s="206"/>
      <c r="BE213" s="206"/>
      <c r="BF213" s="206"/>
      <c r="BG213" s="206"/>
      <c r="BH213" s="206"/>
      <c r="BI213" s="206"/>
      <c r="BJ213" s="206"/>
      <c r="BK213" s="206"/>
      <c r="BL213" s="206"/>
      <c r="BM213" s="206"/>
      <c r="BN213" s="206"/>
      <c r="BO213" s="206"/>
      <c r="BP213" s="206"/>
      <c r="BQ213" s="206"/>
      <c r="BR213" s="206"/>
      <c r="BS213" s="206"/>
      <c r="BT213" s="206"/>
      <c r="BU213" s="206"/>
      <c r="BV213" s="206"/>
      <c r="BW213" s="206"/>
      <c r="BX213" s="206"/>
      <c r="BY213" s="206">
        <v>2950</v>
      </c>
      <c r="BZ213" s="206"/>
      <c r="CA213" s="206"/>
      <c r="CB213" s="206"/>
      <c r="CC213" s="206"/>
      <c r="CD213" s="206">
        <v>4000</v>
      </c>
      <c r="CE213" s="206"/>
      <c r="CF213" s="206"/>
      <c r="CG213" s="206"/>
      <c r="CH213" s="206">
        <v>330</v>
      </c>
      <c r="CI213" s="206"/>
      <c r="CJ213" s="206">
        <v>275</v>
      </c>
      <c r="CK213" s="206">
        <v>330</v>
      </c>
      <c r="CL213" s="206"/>
      <c r="CM213" s="206"/>
      <c r="CN213" s="206"/>
      <c r="CO213" s="212"/>
      <c r="CP213" s="212"/>
      <c r="CQ213" s="212"/>
      <c r="CR213" s="212"/>
      <c r="CS213" s="212"/>
      <c r="CT213" s="212"/>
      <c r="CU213" s="212"/>
      <c r="CV213" s="212"/>
      <c r="CW213" s="212"/>
      <c r="CX213" s="212"/>
      <c r="DA213" s="206"/>
      <c r="DB213" s="206"/>
      <c r="DC213" s="206"/>
    </row>
    <row r="214" spans="1:107">
      <c r="A214" s="206" t="s">
        <v>914</v>
      </c>
      <c r="B214" s="206"/>
      <c r="C214" s="206"/>
      <c r="D214" s="206"/>
      <c r="E214" s="206"/>
      <c r="F214" s="206"/>
      <c r="G214" s="206"/>
      <c r="H214" s="206"/>
      <c r="I214" s="206"/>
      <c r="J214" s="206"/>
      <c r="K214" s="206"/>
      <c r="L214" s="206"/>
      <c r="M214" s="206"/>
      <c r="N214" s="206"/>
      <c r="O214" s="206"/>
      <c r="P214" s="206"/>
      <c r="Q214" s="206"/>
      <c r="R214" s="206"/>
      <c r="S214" s="206"/>
      <c r="T214" s="206"/>
      <c r="U214" s="206"/>
      <c r="V214" s="206"/>
      <c r="W214" s="206"/>
      <c r="X214" s="206"/>
      <c r="Y214" s="206"/>
      <c r="Z214" s="206"/>
      <c r="AA214" s="206"/>
      <c r="AB214" s="206"/>
      <c r="AC214" s="206"/>
      <c r="AD214" s="206"/>
      <c r="AE214" s="206"/>
      <c r="AF214" s="206"/>
      <c r="AG214" s="206"/>
      <c r="AH214" s="206"/>
      <c r="AI214" s="206"/>
      <c r="AJ214" s="206"/>
      <c r="AK214" s="206"/>
      <c r="AL214" s="206"/>
      <c r="AM214" s="1004"/>
      <c r="AN214" s="1004"/>
      <c r="AO214" s="1004"/>
      <c r="AP214" s="1004"/>
      <c r="AQ214" s="1004"/>
      <c r="AR214" s="212"/>
      <c r="AS214" s="1114"/>
      <c r="AT214" s="206"/>
      <c r="AU214" s="206"/>
      <c r="AV214" s="206"/>
      <c r="AW214" s="206"/>
      <c r="AX214" s="206"/>
      <c r="AY214" s="206"/>
      <c r="AZ214" s="206"/>
      <c r="BA214" s="206"/>
      <c r="BB214" s="206"/>
      <c r="BC214" s="206"/>
      <c r="BD214" s="206"/>
      <c r="BE214" s="206"/>
      <c r="BF214" s="206"/>
      <c r="BG214" s="206"/>
      <c r="BH214" s="206"/>
      <c r="BI214" s="206"/>
      <c r="BJ214" s="206"/>
      <c r="BK214" s="206"/>
      <c r="BL214" s="206"/>
      <c r="BM214" s="206"/>
      <c r="BN214" s="206"/>
      <c r="BO214" s="206"/>
      <c r="BP214" s="206"/>
      <c r="BQ214" s="206"/>
      <c r="BR214" s="206"/>
      <c r="BS214" s="206"/>
      <c r="BT214" s="206"/>
      <c r="BU214" s="206"/>
      <c r="BV214" s="206"/>
      <c r="BW214" s="206"/>
      <c r="BX214" s="206"/>
      <c r="BY214" s="206"/>
      <c r="BZ214" s="206"/>
      <c r="CA214" s="206"/>
      <c r="CB214" s="206"/>
      <c r="CC214" s="206"/>
      <c r="CD214" s="206"/>
      <c r="CE214" s="206"/>
      <c r="CF214" s="206"/>
      <c r="CG214" s="206"/>
      <c r="CH214" s="206">
        <v>1100</v>
      </c>
      <c r="CI214" s="206"/>
      <c r="CJ214" s="206">
        <v>1100</v>
      </c>
      <c r="CK214" s="206"/>
      <c r="CL214" s="206"/>
      <c r="CM214" s="206"/>
      <c r="CN214" s="206"/>
      <c r="CO214" s="212"/>
      <c r="CP214" s="212"/>
      <c r="CQ214" s="212"/>
      <c r="CR214" s="212"/>
      <c r="CS214" s="212"/>
      <c r="CT214" s="212"/>
      <c r="CU214" s="212"/>
      <c r="CV214" s="212"/>
      <c r="CW214" s="212"/>
      <c r="CX214" s="212"/>
      <c r="DA214" s="206"/>
      <c r="DB214" s="206"/>
      <c r="DC214" s="206"/>
    </row>
    <row r="215" spans="1:107">
      <c r="A215" s="206" t="s">
        <v>158</v>
      </c>
      <c r="B215" s="206"/>
      <c r="C215" s="206"/>
      <c r="D215" s="206"/>
      <c r="E215" s="206"/>
      <c r="F215" s="206"/>
      <c r="G215" s="206"/>
      <c r="H215" s="206"/>
      <c r="I215" s="206"/>
      <c r="J215" s="206"/>
      <c r="K215" s="206"/>
      <c r="L215" s="206"/>
      <c r="M215" s="206"/>
      <c r="N215" s="206"/>
      <c r="O215" s="206"/>
      <c r="P215" s="206"/>
      <c r="Q215" s="206"/>
      <c r="R215" s="206"/>
      <c r="S215" s="206"/>
      <c r="T215" s="206"/>
      <c r="U215" s="206"/>
      <c r="V215" s="206"/>
      <c r="W215" s="206"/>
      <c r="X215" s="206"/>
      <c r="Y215" s="206"/>
      <c r="Z215" s="206"/>
      <c r="AA215" s="206"/>
      <c r="AB215" s="206"/>
      <c r="AC215" s="206"/>
      <c r="AD215" s="206"/>
      <c r="AE215" s="206"/>
      <c r="AF215" s="206"/>
      <c r="AG215" s="206"/>
      <c r="AH215" s="206"/>
      <c r="AI215" s="206"/>
      <c r="AJ215" s="206"/>
      <c r="AK215" s="206"/>
      <c r="AL215" s="206"/>
      <c r="AM215" s="1004">
        <v>0.39</v>
      </c>
      <c r="AN215" s="1004">
        <v>0.38500000000000001</v>
      </c>
      <c r="AO215" s="1004">
        <v>0.39500000000000002</v>
      </c>
      <c r="AP215" s="1004"/>
      <c r="AQ215" s="1004" t="s">
        <v>433</v>
      </c>
      <c r="AR215" s="212" t="s">
        <v>579</v>
      </c>
      <c r="AS215" s="1114" t="s">
        <v>505</v>
      </c>
      <c r="AT215" s="206" t="s">
        <v>668</v>
      </c>
      <c r="AU215" s="206"/>
      <c r="AV215" s="206" t="s">
        <v>149</v>
      </c>
      <c r="AW215" s="206" t="s">
        <v>668</v>
      </c>
      <c r="AX215" s="206" t="s">
        <v>216</v>
      </c>
      <c r="AY215" s="206" t="s">
        <v>433</v>
      </c>
      <c r="AZ215" s="206"/>
      <c r="BA215" s="206" t="s">
        <v>72</v>
      </c>
      <c r="BB215" s="206" t="s">
        <v>72</v>
      </c>
      <c r="BC215" s="206" t="s">
        <v>27</v>
      </c>
      <c r="BD215" s="206"/>
      <c r="BE215" s="206"/>
      <c r="BF215" s="206"/>
      <c r="BG215" s="206"/>
      <c r="BH215" s="206"/>
      <c r="BI215" s="206"/>
      <c r="BJ215" s="206"/>
      <c r="BK215" s="206"/>
      <c r="BL215" s="206"/>
      <c r="BM215" s="206"/>
      <c r="BN215" s="206"/>
      <c r="BO215" s="206"/>
      <c r="BP215" s="206"/>
      <c r="BQ215" s="206"/>
      <c r="BR215" s="206"/>
      <c r="BS215" s="206"/>
      <c r="BT215" s="206"/>
      <c r="BU215" s="206"/>
      <c r="BV215" s="206"/>
      <c r="BW215" s="206"/>
      <c r="BX215" s="206"/>
      <c r="BY215" s="206"/>
      <c r="BZ215" s="206"/>
      <c r="CA215" s="206"/>
      <c r="CB215" s="206"/>
      <c r="CC215" s="206"/>
      <c r="CD215" s="206"/>
      <c r="CE215" s="206"/>
      <c r="CF215" s="206"/>
      <c r="CG215" s="206"/>
      <c r="CH215" s="206"/>
      <c r="CI215" s="206"/>
      <c r="CJ215" s="206"/>
      <c r="CK215" s="206"/>
      <c r="CL215" s="206"/>
      <c r="CM215" s="206"/>
      <c r="CN215" s="206"/>
      <c r="CO215" s="212"/>
      <c r="CP215" s="212"/>
      <c r="CQ215" s="212"/>
      <c r="CR215" s="212"/>
      <c r="CS215" s="212"/>
      <c r="CT215" s="212"/>
      <c r="CU215" s="212"/>
      <c r="CV215" s="212"/>
      <c r="CW215" s="212"/>
      <c r="CX215" s="212"/>
      <c r="DA215" s="206"/>
      <c r="DB215" s="206"/>
      <c r="DC215" s="206"/>
    </row>
    <row r="216" spans="1:107">
      <c r="A216" s="206" t="s">
        <v>513</v>
      </c>
      <c r="B216" s="206"/>
      <c r="C216" s="206"/>
      <c r="D216" s="206"/>
      <c r="E216" s="206"/>
      <c r="F216" s="206"/>
      <c r="G216" s="206"/>
      <c r="H216" s="206"/>
      <c r="I216" s="206"/>
      <c r="J216" s="206"/>
      <c r="K216" s="206"/>
      <c r="L216" s="206"/>
      <c r="M216" s="206"/>
      <c r="N216" s="206"/>
      <c r="O216" s="206"/>
      <c r="P216" s="206"/>
      <c r="Q216" s="206"/>
      <c r="R216" s="206"/>
      <c r="S216" s="206"/>
      <c r="T216" s="206"/>
      <c r="U216" s="206"/>
      <c r="V216" s="206"/>
      <c r="W216" s="206"/>
      <c r="X216" s="206"/>
      <c r="Y216" s="206"/>
      <c r="Z216" s="206"/>
      <c r="AA216" s="206"/>
      <c r="AB216" s="206"/>
      <c r="AC216" s="206"/>
      <c r="AD216" s="206"/>
      <c r="AE216" s="206"/>
      <c r="AF216" s="206"/>
      <c r="AG216" s="206"/>
      <c r="AH216" s="206"/>
      <c r="AI216" s="206"/>
      <c r="AJ216" s="206"/>
      <c r="AK216" s="206"/>
      <c r="AL216" s="206"/>
      <c r="AM216" s="1004" t="s">
        <v>516</v>
      </c>
      <c r="AN216" s="1004" t="s">
        <v>185</v>
      </c>
      <c r="AO216" s="1004" t="s">
        <v>185</v>
      </c>
      <c r="AP216" s="1004"/>
      <c r="AQ216" s="1004"/>
      <c r="AR216" s="212" t="s">
        <v>580</v>
      </c>
      <c r="AS216" s="1114" t="s">
        <v>506</v>
      </c>
      <c r="AT216" s="206" t="s">
        <v>669</v>
      </c>
      <c r="AU216" s="206"/>
      <c r="AV216" s="206"/>
      <c r="AW216" s="206" t="s">
        <v>429</v>
      </c>
      <c r="AX216" s="206" t="s">
        <v>217</v>
      </c>
      <c r="AY216" s="206" t="s">
        <v>726</v>
      </c>
      <c r="AZ216" s="206"/>
      <c r="BA216" s="206" t="s">
        <v>73</v>
      </c>
      <c r="BB216" s="206" t="s">
        <v>532</v>
      </c>
      <c r="BC216" s="206" t="s">
        <v>28</v>
      </c>
      <c r="BD216" s="206" t="s">
        <v>635</v>
      </c>
      <c r="BE216" s="206"/>
      <c r="BF216" s="206" t="s">
        <v>24</v>
      </c>
      <c r="BG216" s="206" t="s">
        <v>544</v>
      </c>
      <c r="BH216" s="206" t="s">
        <v>635</v>
      </c>
      <c r="BI216" s="206"/>
      <c r="BJ216" s="206"/>
      <c r="BK216" s="206" t="s">
        <v>424</v>
      </c>
      <c r="BL216" s="206" t="s">
        <v>421</v>
      </c>
      <c r="BM216" s="206" t="s">
        <v>306</v>
      </c>
      <c r="BN216" s="206" t="s">
        <v>306</v>
      </c>
      <c r="BO216" s="206"/>
      <c r="BP216" s="206" t="s">
        <v>306</v>
      </c>
      <c r="BQ216" s="206" t="s">
        <v>462</v>
      </c>
      <c r="BR216" s="206" t="s">
        <v>174</v>
      </c>
      <c r="BS216" s="206" t="s">
        <v>462</v>
      </c>
      <c r="BT216" s="206"/>
      <c r="BU216" s="206" t="s">
        <v>462</v>
      </c>
      <c r="BV216" s="206" t="s">
        <v>462</v>
      </c>
      <c r="BW216" s="206" t="s">
        <v>174</v>
      </c>
      <c r="BX216" s="206" t="s">
        <v>174</v>
      </c>
      <c r="BY216" s="206">
        <v>508</v>
      </c>
      <c r="BZ216" s="206" t="s">
        <v>174</v>
      </c>
      <c r="CA216" s="206" t="s">
        <v>174</v>
      </c>
      <c r="CB216" s="206" t="s">
        <v>833</v>
      </c>
      <c r="CC216" s="206" t="s">
        <v>424</v>
      </c>
      <c r="CD216" s="206"/>
      <c r="CE216" s="206">
        <v>501</v>
      </c>
      <c r="CF216" s="206"/>
      <c r="CG216" s="206">
        <v>501</v>
      </c>
      <c r="CH216" s="206">
        <v>500</v>
      </c>
      <c r="CI216" s="206"/>
      <c r="CJ216" s="206">
        <v>500</v>
      </c>
      <c r="CK216" s="206">
        <v>499</v>
      </c>
      <c r="CL216" s="206"/>
      <c r="CM216" s="206"/>
      <c r="CN216" s="206"/>
      <c r="CO216" s="212"/>
      <c r="CP216" s="212"/>
      <c r="CQ216" s="212"/>
      <c r="CR216" s="212"/>
      <c r="CS216" s="212"/>
      <c r="CT216" s="212"/>
      <c r="CU216" s="212"/>
      <c r="CV216" s="212"/>
      <c r="CW216" s="212"/>
      <c r="CX216" s="212"/>
      <c r="DA216" s="206"/>
      <c r="DB216" s="206"/>
      <c r="DC216" s="206"/>
    </row>
    <row r="217" spans="1:107">
      <c r="A217" s="206" t="s">
        <v>514</v>
      </c>
      <c r="B217" s="206"/>
      <c r="C217" s="206"/>
      <c r="D217" s="206"/>
      <c r="E217" s="206"/>
      <c r="F217" s="206"/>
      <c r="G217" s="206"/>
      <c r="H217" s="206"/>
      <c r="I217" s="206"/>
      <c r="J217" s="206"/>
      <c r="K217" s="206"/>
      <c r="L217" s="206"/>
      <c r="M217" s="206"/>
      <c r="N217" s="206"/>
      <c r="O217" s="206"/>
      <c r="P217" s="206"/>
      <c r="Q217" s="206"/>
      <c r="R217" s="206"/>
      <c r="S217" s="206"/>
      <c r="T217" s="206"/>
      <c r="U217" s="206"/>
      <c r="V217" s="206"/>
      <c r="W217" s="206"/>
      <c r="X217" s="206"/>
      <c r="Y217" s="206"/>
      <c r="Z217" s="206"/>
      <c r="AA217" s="206"/>
      <c r="AB217" s="206"/>
      <c r="AC217" s="206"/>
      <c r="AD217" s="206"/>
      <c r="AE217" s="206"/>
      <c r="AF217" s="206"/>
      <c r="AG217" s="206"/>
      <c r="AH217" s="206"/>
      <c r="AI217" s="206"/>
      <c r="AJ217" s="206"/>
      <c r="AK217" s="206"/>
      <c r="AL217" s="206"/>
      <c r="AM217" s="1004">
        <v>0.27</v>
      </c>
      <c r="AN217" s="1004">
        <v>0.26</v>
      </c>
      <c r="AO217" s="1004">
        <v>0.25</v>
      </c>
      <c r="AP217" s="1004"/>
      <c r="AQ217" s="1004">
        <v>0.24</v>
      </c>
      <c r="AR217" s="1068">
        <v>0.24</v>
      </c>
      <c r="AS217" s="1115">
        <v>0.23499999999999999</v>
      </c>
      <c r="AT217" s="1115">
        <v>0.23499999999999999</v>
      </c>
      <c r="AU217" s="206"/>
      <c r="AV217" s="1115">
        <v>0.24</v>
      </c>
      <c r="AW217" s="1329">
        <v>0.25</v>
      </c>
      <c r="AX217" s="1329">
        <v>0.25</v>
      </c>
      <c r="AY217" s="1115">
        <v>0.245</v>
      </c>
      <c r="AZ217" s="206"/>
      <c r="BA217" s="1115">
        <v>0.22</v>
      </c>
      <c r="BB217" s="1115">
        <v>0.22</v>
      </c>
      <c r="BC217" s="1115">
        <v>0.22</v>
      </c>
      <c r="BD217" s="238">
        <v>0.23</v>
      </c>
      <c r="BE217" s="206"/>
      <c r="BF217" s="238">
        <v>0.22500000000000001</v>
      </c>
      <c r="BG217" s="238">
        <v>0.22500000000000001</v>
      </c>
      <c r="BH217" s="238">
        <v>0.22500000000000001</v>
      </c>
      <c r="BI217" s="238"/>
      <c r="BJ217" s="206"/>
      <c r="BK217" s="238">
        <v>0.22500000000000001</v>
      </c>
      <c r="BL217" s="238">
        <v>0.21</v>
      </c>
      <c r="BM217" s="238">
        <v>0.21</v>
      </c>
      <c r="BN217" s="1329">
        <v>0.21</v>
      </c>
      <c r="BO217" s="206"/>
      <c r="BP217" s="238">
        <v>0.21</v>
      </c>
      <c r="BQ217" s="238">
        <v>0.21</v>
      </c>
      <c r="BR217" s="238">
        <v>0.21</v>
      </c>
      <c r="BS217" s="1329">
        <v>0.21</v>
      </c>
      <c r="BT217" s="206"/>
      <c r="BU217" s="238">
        <v>0.21</v>
      </c>
      <c r="BV217" s="238">
        <v>0.21</v>
      </c>
      <c r="BW217" s="238">
        <v>0.21</v>
      </c>
      <c r="BX217" s="1329">
        <v>0.21</v>
      </c>
      <c r="BY217" s="206">
        <v>0.21</v>
      </c>
      <c r="BZ217" s="1329">
        <v>0.21</v>
      </c>
      <c r="CA217" s="206">
        <v>21</v>
      </c>
      <c r="CB217" s="206">
        <v>21</v>
      </c>
      <c r="CC217" s="206">
        <v>21</v>
      </c>
      <c r="CD217" s="206"/>
      <c r="CE217" s="1329">
        <v>0.21</v>
      </c>
      <c r="CF217" s="1329">
        <v>0.21</v>
      </c>
      <c r="CG217" s="1329">
        <v>0.21</v>
      </c>
      <c r="CH217" s="206">
        <v>0.21</v>
      </c>
      <c r="CI217" s="1329"/>
      <c r="CJ217" s="1329">
        <v>0.21</v>
      </c>
      <c r="CK217" s="1329">
        <v>0.11</v>
      </c>
      <c r="CL217" s="1329"/>
      <c r="CM217" s="1329"/>
      <c r="CN217" s="1329"/>
      <c r="CO217" s="212"/>
      <c r="CP217" s="212"/>
      <c r="CQ217" s="212"/>
      <c r="CR217" s="212"/>
      <c r="CS217" s="212"/>
      <c r="CT217" s="212"/>
      <c r="CU217" s="212"/>
      <c r="CV217" s="212"/>
      <c r="CW217" s="212"/>
      <c r="CX217" s="212"/>
      <c r="DA217" s="206"/>
      <c r="DB217" s="206"/>
      <c r="DC217" s="206"/>
    </row>
    <row r="218" spans="1:107">
      <c r="A218" s="113" t="s">
        <v>195</v>
      </c>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005" t="s">
        <v>517</v>
      </c>
      <c r="AN218" s="1005" t="s">
        <v>517</v>
      </c>
      <c r="AO218" s="1005" t="s">
        <v>717</v>
      </c>
      <c r="AP218" s="1005"/>
      <c r="AQ218" s="1005"/>
      <c r="AR218" s="451" t="s">
        <v>581</v>
      </c>
      <c r="AS218" s="1116" t="s">
        <v>507</v>
      </c>
      <c r="AT218" s="113" t="s">
        <v>670</v>
      </c>
      <c r="AU218" s="113"/>
      <c r="AV218" s="113" t="s">
        <v>150</v>
      </c>
      <c r="AW218" s="113" t="s">
        <v>653</v>
      </c>
      <c r="AX218" s="113" t="s">
        <v>218</v>
      </c>
      <c r="AY218" s="113" t="s">
        <v>727</v>
      </c>
      <c r="AZ218" s="113"/>
      <c r="BA218" s="113" t="s">
        <v>74</v>
      </c>
      <c r="BB218" s="113" t="s">
        <v>533</v>
      </c>
      <c r="BC218" s="113" t="s">
        <v>29</v>
      </c>
      <c r="BD218" s="113" t="s">
        <v>636</v>
      </c>
      <c r="BE218" s="113"/>
      <c r="BF218" s="113" t="s">
        <v>25</v>
      </c>
      <c r="BG218" s="113" t="s">
        <v>545</v>
      </c>
      <c r="BH218" s="113" t="s">
        <v>107</v>
      </c>
      <c r="BI218" s="113"/>
      <c r="BJ218" s="113"/>
      <c r="BK218" s="113" t="s">
        <v>423</v>
      </c>
      <c r="BL218" s="113" t="s">
        <v>435</v>
      </c>
      <c r="BM218" s="113" t="s">
        <v>435</v>
      </c>
      <c r="BN218" s="113" t="s">
        <v>679</v>
      </c>
      <c r="BO218" s="113"/>
      <c r="BP218" s="113" t="s">
        <v>456</v>
      </c>
      <c r="BQ218" s="113" t="s">
        <v>0</v>
      </c>
      <c r="BR218" s="113" t="s">
        <v>456</v>
      </c>
      <c r="BS218" s="113" t="s">
        <v>423</v>
      </c>
      <c r="BT218" s="113"/>
      <c r="BU218" s="113" t="s">
        <v>182</v>
      </c>
      <c r="BV218" s="113" t="s">
        <v>790</v>
      </c>
      <c r="BW218" s="113" t="s">
        <v>814</v>
      </c>
      <c r="BX218" s="113" t="s">
        <v>818</v>
      </c>
      <c r="BY218" s="113">
        <v>2.0499999999999998</v>
      </c>
      <c r="BZ218" s="113" t="s">
        <v>818</v>
      </c>
      <c r="CA218" s="113" t="s">
        <v>824</v>
      </c>
      <c r="CB218" s="113" t="s">
        <v>834</v>
      </c>
      <c r="CC218" s="113" t="s">
        <v>843</v>
      </c>
      <c r="CD218" s="113" t="s">
        <v>845</v>
      </c>
      <c r="CE218" s="113">
        <v>0.87</v>
      </c>
      <c r="CF218" s="113">
        <v>0.94</v>
      </c>
      <c r="CG218" s="1141">
        <v>1</v>
      </c>
      <c r="CH218" s="113">
        <v>1.1499999999999999</v>
      </c>
      <c r="CI218" s="113"/>
      <c r="CJ218" s="113">
        <v>1.27</v>
      </c>
      <c r="CK218" s="113">
        <v>1.53</v>
      </c>
      <c r="CL218" s="113"/>
      <c r="CM218" s="113"/>
      <c r="CN218" s="113"/>
      <c r="CO218" s="451"/>
      <c r="CP218" s="451"/>
      <c r="CQ218" s="451"/>
      <c r="CR218" s="451"/>
      <c r="CS218" s="451"/>
      <c r="CT218" s="451"/>
      <c r="CU218" s="451"/>
      <c r="CV218" s="451"/>
      <c r="CW218" s="451"/>
      <c r="CX218" s="451"/>
      <c r="DA218" s="113"/>
      <c r="DB218" s="113"/>
      <c r="DC218" s="113"/>
    </row>
    <row r="219" spans="1:107">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0"/>
      <c r="AK219" s="90"/>
      <c r="AL219" s="90"/>
      <c r="AM219" s="90"/>
      <c r="AN219" s="90"/>
      <c r="AO219" s="90"/>
      <c r="AP219" s="90"/>
      <c r="AQ219" s="90"/>
      <c r="AR219" s="450"/>
      <c r="AS219" s="90"/>
      <c r="AT219" s="90"/>
      <c r="AU219" s="90"/>
      <c r="AV219" s="90"/>
      <c r="AW219" s="450"/>
      <c r="AX219" s="450"/>
      <c r="AY219" s="90"/>
      <c r="AZ219" s="90"/>
      <c r="BA219" s="90"/>
      <c r="BB219" s="450"/>
      <c r="BC219" s="450"/>
      <c r="BD219" s="90"/>
      <c r="BE219" s="90"/>
      <c r="BF219" s="90"/>
      <c r="BG219" s="450"/>
      <c r="BH219" s="450"/>
      <c r="BI219" s="450"/>
      <c r="BJ219" s="90"/>
      <c r="BK219" s="90"/>
      <c r="BL219" s="450"/>
      <c r="BM219" s="450"/>
      <c r="BN219" s="90"/>
      <c r="BO219" s="90"/>
      <c r="BP219" s="90"/>
      <c r="BQ219" s="450"/>
      <c r="BR219" s="450"/>
      <c r="BS219" s="90"/>
      <c r="BT219" s="90"/>
      <c r="BU219" s="90"/>
      <c r="BV219" s="450"/>
      <c r="BW219" s="450"/>
      <c r="BX219" s="90"/>
      <c r="BY219" s="90"/>
      <c r="BZ219" s="450"/>
      <c r="CA219" s="450"/>
      <c r="CB219" s="450"/>
      <c r="CC219" s="450"/>
      <c r="CD219" s="450"/>
      <c r="CE219" s="450"/>
      <c r="CF219" s="450"/>
      <c r="CG219" s="450"/>
      <c r="CH219" s="450"/>
      <c r="CI219" s="450"/>
      <c r="CJ219" s="450"/>
      <c r="CK219" s="450"/>
      <c r="CL219" s="450"/>
      <c r="CM219" s="450"/>
      <c r="CN219" s="450"/>
      <c r="CO219" s="450"/>
      <c r="CP219" s="450"/>
      <c r="CQ219" s="450"/>
      <c r="CR219" s="450"/>
      <c r="CS219" s="450"/>
      <c r="CT219" s="450"/>
      <c r="CU219" s="450"/>
      <c r="CV219" s="450"/>
      <c r="CW219" s="450"/>
      <c r="CX219" s="450"/>
      <c r="DA219" s="90"/>
      <c r="DB219" s="90"/>
      <c r="DC219" s="90"/>
    </row>
    <row r="220" spans="1:107">
      <c r="A220" s="1049" t="s">
        <v>685</v>
      </c>
      <c r="B220" s="427"/>
      <c r="C220" s="426"/>
      <c r="D220" s="426"/>
      <c r="E220" s="426"/>
      <c r="F220" s="426"/>
      <c r="G220" s="426"/>
      <c r="H220" s="426"/>
      <c r="I220" s="426"/>
      <c r="J220" s="426"/>
      <c r="K220" s="426"/>
      <c r="L220" s="426"/>
      <c r="M220" s="426"/>
      <c r="N220" s="426"/>
      <c r="O220" s="426"/>
      <c r="P220" s="426"/>
      <c r="Q220" s="426"/>
      <c r="R220" s="426"/>
      <c r="S220" s="426"/>
      <c r="T220" s="426"/>
      <c r="U220" s="426"/>
      <c r="V220" s="426"/>
      <c r="W220" s="426"/>
      <c r="X220" s="426"/>
      <c r="Y220" s="426"/>
      <c r="Z220" s="426"/>
      <c r="AA220" s="426"/>
      <c r="AB220" s="426"/>
      <c r="AC220" s="426"/>
      <c r="AD220" s="426"/>
      <c r="AE220" s="426"/>
      <c r="AF220" s="426"/>
      <c r="AG220" s="426"/>
      <c r="AH220" s="426"/>
      <c r="AI220" s="426"/>
      <c r="AJ220" s="426"/>
      <c r="AK220" s="426"/>
      <c r="AL220" s="426"/>
      <c r="AM220" s="426"/>
      <c r="AN220" s="426"/>
      <c r="AO220" s="426"/>
      <c r="AP220" s="426"/>
      <c r="AQ220" s="426"/>
      <c r="AR220" s="428"/>
      <c r="AS220" s="426"/>
      <c r="AT220" s="426"/>
      <c r="AU220" s="426"/>
      <c r="AV220" s="426"/>
      <c r="AW220" s="428"/>
      <c r="AX220" s="428"/>
      <c r="AY220" s="426"/>
      <c r="AZ220" s="426"/>
      <c r="BA220" s="426"/>
      <c r="BB220" s="428"/>
      <c r="BC220" s="428"/>
      <c r="BD220" s="426"/>
      <c r="BE220" s="426"/>
      <c r="BF220" s="426"/>
      <c r="BG220" s="428"/>
      <c r="BH220" s="428"/>
      <c r="BI220" s="428"/>
      <c r="BJ220" s="426"/>
      <c r="BK220" s="426"/>
      <c r="BL220" s="428"/>
      <c r="BM220" s="428"/>
      <c r="BN220" s="426"/>
      <c r="BO220" s="426"/>
      <c r="BP220" s="426"/>
      <c r="BQ220" s="428"/>
      <c r="BR220" s="428"/>
      <c r="BS220" s="426"/>
      <c r="BT220" s="426"/>
      <c r="BU220" s="426"/>
      <c r="BV220" s="428"/>
      <c r="BW220" s="428"/>
      <c r="BX220" s="426"/>
      <c r="BY220" s="426"/>
      <c r="BZ220" s="428"/>
      <c r="CA220" s="428"/>
      <c r="CB220" s="428"/>
      <c r="CC220" s="428"/>
      <c r="CD220" s="428"/>
      <c r="CE220" s="428"/>
      <c r="CF220" s="428"/>
      <c r="CG220" s="428"/>
      <c r="CH220" s="428"/>
      <c r="CI220" s="428"/>
      <c r="CJ220" s="428"/>
      <c r="CK220" s="428"/>
      <c r="CL220" s="428"/>
      <c r="CM220" s="428"/>
      <c r="CN220" s="428"/>
      <c r="CO220" s="428"/>
      <c r="CP220" s="428"/>
      <c r="CQ220" s="428"/>
      <c r="CR220" s="428"/>
      <c r="CS220" s="428"/>
      <c r="CT220" s="428"/>
      <c r="CU220" s="428"/>
      <c r="CV220" s="428"/>
      <c r="CW220" s="428"/>
      <c r="CX220" s="428"/>
      <c r="DA220" s="429"/>
      <c r="DB220" s="426"/>
      <c r="DC220" s="426"/>
    </row>
    <row r="221" spans="1:107">
      <c r="A221" s="206" t="s">
        <v>471</v>
      </c>
      <c r="B221" s="206"/>
      <c r="C221" s="206"/>
      <c r="D221" s="206"/>
      <c r="E221" s="206"/>
      <c r="F221" s="206"/>
      <c r="G221" s="206"/>
      <c r="H221" s="206"/>
      <c r="I221" s="206"/>
      <c r="J221" s="206"/>
      <c r="K221" s="206"/>
      <c r="L221" s="206"/>
      <c r="M221" s="206"/>
      <c r="N221" s="206"/>
      <c r="O221" s="206"/>
      <c r="P221" s="206"/>
      <c r="Q221" s="206"/>
      <c r="R221" s="206"/>
      <c r="S221" s="206"/>
      <c r="T221" s="206"/>
      <c r="U221" s="206"/>
      <c r="V221" s="206"/>
      <c r="W221" s="206"/>
      <c r="X221" s="206"/>
      <c r="Y221" s="206"/>
      <c r="Z221" s="206"/>
      <c r="AA221" s="206"/>
      <c r="AB221" s="206"/>
      <c r="AC221" s="206"/>
      <c r="AD221" s="206"/>
      <c r="AE221" s="206"/>
      <c r="AF221" s="206"/>
      <c r="AG221" s="206"/>
      <c r="AH221" s="206"/>
      <c r="AI221" s="206"/>
      <c r="AJ221" s="206"/>
      <c r="AK221" s="206"/>
      <c r="AL221" s="206"/>
      <c r="AM221" s="206"/>
      <c r="AN221" s="206"/>
      <c r="AO221" s="206">
        <v>915.3</v>
      </c>
      <c r="AP221" s="206">
        <v>786.39</v>
      </c>
      <c r="AQ221" s="206">
        <v>704.67</v>
      </c>
      <c r="AR221" s="212">
        <v>697.51</v>
      </c>
      <c r="AS221" s="206">
        <v>757.28</v>
      </c>
      <c r="AT221" s="206">
        <v>858.7</v>
      </c>
      <c r="AU221" s="206"/>
      <c r="AV221" s="206"/>
      <c r="AW221" s="212"/>
      <c r="AX221" s="212"/>
      <c r="AY221" s="147"/>
      <c r="AZ221" s="206"/>
      <c r="BA221" s="233"/>
      <c r="BB221" s="233"/>
      <c r="BC221" s="233"/>
      <c r="BD221" s="147"/>
      <c r="BE221" s="206"/>
      <c r="BF221" s="233"/>
      <c r="BG221" s="212"/>
      <c r="BH221" s="212"/>
      <c r="BI221" s="212"/>
      <c r="BJ221" s="206"/>
      <c r="BK221" s="233">
        <v>986</v>
      </c>
      <c r="BL221" s="212">
        <v>1015.73</v>
      </c>
      <c r="BM221" s="212">
        <v>1015.2</v>
      </c>
      <c r="BN221" s="206">
        <v>1086.04</v>
      </c>
      <c r="BO221" s="316"/>
      <c r="BP221" s="233"/>
      <c r="BQ221" s="212"/>
      <c r="BR221" s="212"/>
      <c r="BS221" s="206"/>
      <c r="BT221" s="316"/>
      <c r="BU221" s="233"/>
      <c r="BV221" s="212"/>
      <c r="BW221" s="212"/>
      <c r="BX221" s="206"/>
      <c r="BY221" s="316"/>
      <c r="BZ221" s="212"/>
      <c r="CA221" s="212"/>
      <c r="CB221" s="212"/>
      <c r="CC221" s="212"/>
      <c r="CD221" s="320"/>
      <c r="CE221" s="212"/>
      <c r="CF221" s="212"/>
      <c r="CG221" s="212"/>
      <c r="CH221" s="212"/>
      <c r="CI221" s="320"/>
      <c r="CJ221" s="212"/>
      <c r="CK221" s="212"/>
      <c r="CL221" s="212"/>
      <c r="CM221" s="212"/>
      <c r="CN221" s="320"/>
      <c r="CO221" s="212"/>
      <c r="CP221" s="212"/>
      <c r="CQ221" s="212"/>
      <c r="CR221" s="212"/>
      <c r="CS221" s="320"/>
      <c r="CT221" s="212"/>
      <c r="CU221" s="212"/>
      <c r="CV221" s="212"/>
      <c r="CW221" s="212"/>
      <c r="CX221" s="320"/>
      <c r="DA221" s="206"/>
      <c r="DB221" s="206"/>
      <c r="DC221" s="206"/>
    </row>
    <row r="222" spans="1:107">
      <c r="A222" s="206" t="s">
        <v>157</v>
      </c>
      <c r="B222" s="206"/>
      <c r="C222" s="206"/>
      <c r="D222" s="206"/>
      <c r="E222" s="206"/>
      <c r="F222" s="206"/>
      <c r="G222" s="206"/>
      <c r="H222" s="206"/>
      <c r="I222" s="206"/>
      <c r="J222" s="206"/>
      <c r="K222" s="206"/>
      <c r="L222" s="206"/>
      <c r="M222" s="206"/>
      <c r="N222" s="206"/>
      <c r="O222" s="206"/>
      <c r="P222" s="206"/>
      <c r="Q222" s="206"/>
      <c r="R222" s="206"/>
      <c r="S222" s="206"/>
      <c r="T222" s="206"/>
      <c r="U222" s="206"/>
      <c r="V222" s="206"/>
      <c r="W222" s="206"/>
      <c r="X222" s="206"/>
      <c r="Y222" s="206"/>
      <c r="Z222" s="206"/>
      <c r="AA222" s="206"/>
      <c r="AB222" s="206"/>
      <c r="AC222" s="206"/>
      <c r="AD222" s="206"/>
      <c r="AE222" s="206"/>
      <c r="AF222" s="206"/>
      <c r="AG222" s="206"/>
      <c r="AH222" s="206"/>
      <c r="AI222" s="206"/>
      <c r="AJ222" s="206"/>
      <c r="AK222" s="206"/>
      <c r="AL222" s="206"/>
      <c r="AM222" s="206"/>
      <c r="AN222" s="206"/>
      <c r="AO222" s="206">
        <v>374.86</v>
      </c>
      <c r="AP222" s="206">
        <v>294.98</v>
      </c>
      <c r="AQ222" s="206">
        <v>237.7</v>
      </c>
      <c r="AR222" s="212">
        <v>237.09</v>
      </c>
      <c r="AS222" s="206">
        <v>265.19</v>
      </c>
      <c r="AT222" s="206">
        <v>289.33</v>
      </c>
      <c r="AU222" s="206"/>
      <c r="AV222" s="206"/>
      <c r="AW222" s="212"/>
      <c r="AX222" s="212"/>
      <c r="AY222" s="147"/>
      <c r="AZ222" s="206"/>
      <c r="BA222" s="233"/>
      <c r="BB222" s="233"/>
      <c r="BC222" s="233"/>
      <c r="BD222" s="147"/>
      <c r="BE222" s="206"/>
      <c r="BF222" s="233"/>
      <c r="BG222" s="355"/>
      <c r="BH222" s="355"/>
      <c r="BI222" s="355"/>
      <c r="BJ222" s="206"/>
      <c r="BK222" s="233">
        <v>246.95</v>
      </c>
      <c r="BL222" s="355">
        <v>263.62</v>
      </c>
      <c r="BM222" s="212">
        <v>267.16000000000003</v>
      </c>
      <c r="BN222" s="206">
        <v>292.48</v>
      </c>
      <c r="BO222" s="316"/>
      <c r="BP222" s="233"/>
      <c r="BQ222" s="355"/>
      <c r="BR222" s="212"/>
      <c r="BS222" s="206"/>
      <c r="BT222" s="316"/>
      <c r="BU222" s="233"/>
      <c r="BV222" s="355"/>
      <c r="BW222" s="212"/>
      <c r="BX222" s="206"/>
      <c r="BY222" s="316"/>
      <c r="BZ222" s="212"/>
      <c r="CA222" s="355"/>
      <c r="CB222" s="212"/>
      <c r="CC222" s="212"/>
      <c r="CD222" s="320"/>
      <c r="CE222" s="212"/>
      <c r="CF222" s="212"/>
      <c r="CG222" s="212"/>
      <c r="CH222" s="212"/>
      <c r="CI222" s="320"/>
      <c r="CJ222" s="212"/>
      <c r="CK222" s="212"/>
      <c r="CL222" s="212"/>
      <c r="CM222" s="212"/>
      <c r="CN222" s="320"/>
      <c r="CO222" s="212"/>
      <c r="CP222" s="212"/>
      <c r="CQ222" s="212"/>
      <c r="CR222" s="212"/>
      <c r="CS222" s="320"/>
      <c r="CT222" s="212"/>
      <c r="CU222" s="212"/>
      <c r="CV222" s="212"/>
      <c r="CW222" s="212"/>
      <c r="CX222" s="320"/>
      <c r="DA222" s="206"/>
      <c r="DB222" s="206"/>
      <c r="DC222" s="206"/>
    </row>
    <row r="223" spans="1:107">
      <c r="A223" s="113" t="s">
        <v>195</v>
      </c>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v>0.6</v>
      </c>
      <c r="AP223" s="113">
        <v>0.45</v>
      </c>
      <c r="AQ223" s="113">
        <v>0.35</v>
      </c>
      <c r="AR223" s="451">
        <v>0.35</v>
      </c>
      <c r="AS223" s="113">
        <v>0.39</v>
      </c>
      <c r="AT223" s="113">
        <v>0.4</v>
      </c>
      <c r="AU223" s="1141"/>
      <c r="AV223" s="113"/>
      <c r="AW223" s="451"/>
      <c r="AX223" s="451"/>
      <c r="AY223" s="1141"/>
      <c r="AZ223" s="1141"/>
      <c r="BA223" s="1319"/>
      <c r="BB223" s="1319"/>
      <c r="BC223" s="1319"/>
      <c r="BD223" s="1141"/>
      <c r="BE223" s="1141"/>
      <c r="BF223" s="1319"/>
      <c r="BG223" s="1003"/>
      <c r="BH223" s="1003"/>
      <c r="BI223" s="1003"/>
      <c r="BJ223" s="1141"/>
      <c r="BK223" s="1319">
        <v>0.31</v>
      </c>
      <c r="BL223" s="1003">
        <v>0.34</v>
      </c>
      <c r="BM223" s="451">
        <v>0.35</v>
      </c>
      <c r="BN223" s="113">
        <v>0.4</v>
      </c>
      <c r="BO223" s="1141"/>
      <c r="BP223" s="1319"/>
      <c r="BQ223" s="1003"/>
      <c r="BR223" s="451"/>
      <c r="BS223" s="113"/>
      <c r="BT223" s="1141"/>
      <c r="BU223" s="1319"/>
      <c r="BV223" s="1003"/>
      <c r="BW223" s="451"/>
      <c r="BX223" s="113"/>
      <c r="BY223" s="1141"/>
      <c r="BZ223" s="451"/>
      <c r="CA223" s="1003"/>
      <c r="CB223" s="451"/>
      <c r="CC223" s="451"/>
      <c r="CD223" s="1003"/>
      <c r="CE223" s="451"/>
      <c r="CF223" s="451"/>
      <c r="CG223" s="451"/>
      <c r="CH223" s="451"/>
      <c r="CI223" s="1003"/>
      <c r="CJ223" s="451"/>
      <c r="CK223" s="451"/>
      <c r="CL223" s="451"/>
      <c r="CM223" s="451"/>
      <c r="CN223" s="1003"/>
      <c r="CO223" s="451"/>
      <c r="CP223" s="451"/>
      <c r="CQ223" s="451"/>
      <c r="CR223" s="451"/>
      <c r="CS223" s="1003"/>
      <c r="CT223" s="451"/>
      <c r="CU223" s="451"/>
      <c r="CV223" s="451"/>
      <c r="CW223" s="451"/>
      <c r="CX223" s="1003"/>
      <c r="DA223" s="113"/>
      <c r="DB223" s="113"/>
      <c r="DC223" s="113"/>
    </row>
    <row r="224" spans="1:107">
      <c r="BY224" s="47"/>
    </row>
    <row r="225" spans="1:102">
      <c r="BY225" s="47"/>
    </row>
    <row r="226" spans="1:102">
      <c r="BY226" s="47"/>
    </row>
    <row r="227" spans="1:102">
      <c r="A227" t="s">
        <v>825</v>
      </c>
      <c r="BO227" s="1649">
        <f t="shared" ref="BO227:CX227" si="388">BO59</f>
        <v>332.32399999999996</v>
      </c>
      <c r="BP227" s="1649">
        <f t="shared" si="388"/>
        <v>83.6</v>
      </c>
      <c r="BQ227" s="1649">
        <f t="shared" si="388"/>
        <v>83.6</v>
      </c>
      <c r="BR227" s="1649">
        <f t="shared" si="388"/>
        <v>83.682000000000002</v>
      </c>
      <c r="BS227" s="1649">
        <f t="shared" si="388"/>
        <v>85</v>
      </c>
      <c r="BT227" s="1649">
        <f t="shared" si="388"/>
        <v>335.88200000000001</v>
      </c>
      <c r="BU227" s="1649">
        <f t="shared" si="388"/>
        <v>86.6</v>
      </c>
      <c r="BV227" s="1649">
        <f t="shared" si="388"/>
        <v>85.4</v>
      </c>
      <c r="BW227" s="1649">
        <f t="shared" si="388"/>
        <v>84.4</v>
      </c>
      <c r="BX227" s="1649">
        <f t="shared" si="388"/>
        <v>81.704999999999998</v>
      </c>
      <c r="BY227" s="1663">
        <f t="shared" si="388"/>
        <v>338.10499999999996</v>
      </c>
      <c r="BZ227" s="1649">
        <f t="shared" si="388"/>
        <v>91.7</v>
      </c>
      <c r="CA227" s="1649">
        <f t="shared" si="388"/>
        <v>87.209000000000003</v>
      </c>
      <c r="CB227" s="1649">
        <f t="shared" si="388"/>
        <v>86.07</v>
      </c>
      <c r="CC227" s="1649">
        <f t="shared" si="388"/>
        <v>86.584000000000003</v>
      </c>
      <c r="CD227" s="1649">
        <f t="shared" si="388"/>
        <v>351.56299999999999</v>
      </c>
      <c r="CE227" s="1649">
        <f t="shared" si="388"/>
        <v>103.578</v>
      </c>
      <c r="CF227" s="1649">
        <f t="shared" si="388"/>
        <v>118.59099999999999</v>
      </c>
      <c r="CG227" s="1649">
        <f t="shared" si="388"/>
        <v>117.968</v>
      </c>
      <c r="CH227" s="1649">
        <f t="shared" si="388"/>
        <v>122.18</v>
      </c>
      <c r="CI227" s="1649">
        <f t="shared" si="388"/>
        <v>462.31700000000001</v>
      </c>
      <c r="CJ227" s="1649">
        <f t="shared" si="388"/>
        <v>135.68718000000001</v>
      </c>
      <c r="CK227" s="1649">
        <f t="shared" si="388"/>
        <v>160.09784999999999</v>
      </c>
      <c r="CL227" s="1649">
        <f t="shared" si="388"/>
        <v>159.25680000000003</v>
      </c>
      <c r="CM227" s="1649">
        <f t="shared" si="388"/>
        <v>164.94300000000001</v>
      </c>
      <c r="CN227" s="1649">
        <f t="shared" si="388"/>
        <v>619.98482999999999</v>
      </c>
      <c r="CO227" s="1649">
        <f t="shared" si="388"/>
        <v>162.82461600000002</v>
      </c>
      <c r="CP227" s="1649">
        <f t="shared" si="388"/>
        <v>192.11741999999998</v>
      </c>
      <c r="CQ227" s="1649">
        <f t="shared" si="388"/>
        <v>191.10816000000003</v>
      </c>
      <c r="CR227" s="1649">
        <f t="shared" si="388"/>
        <v>197.9316</v>
      </c>
      <c r="CS227" s="1649">
        <f t="shared" si="388"/>
        <v>743.98179600000003</v>
      </c>
      <c r="CT227" s="1649">
        <f t="shared" si="388"/>
        <v>195.38953920000003</v>
      </c>
      <c r="CU227" s="1649">
        <f t="shared" si="388"/>
        <v>230.54090399999995</v>
      </c>
      <c r="CV227" s="1649">
        <f t="shared" si="388"/>
        <v>229.32979200000003</v>
      </c>
      <c r="CW227" s="1649">
        <f t="shared" si="388"/>
        <v>237.51792</v>
      </c>
      <c r="CX227" s="1649">
        <f t="shared" si="388"/>
        <v>892.77815520000001</v>
      </c>
    </row>
    <row r="228" spans="1:102">
      <c r="A228" t="s">
        <v>828</v>
      </c>
      <c r="BY228" s="47"/>
    </row>
    <row r="229" spans="1:102">
      <c r="A229" t="s">
        <v>826</v>
      </c>
      <c r="BO229" s="1649">
        <f>BO67+CF!BO64</f>
        <v>1256.6009999999997</v>
      </c>
      <c r="BP229" s="1649">
        <f>BP67+CF!BP64</f>
        <v>282.59699999999987</v>
      </c>
      <c r="BQ229" s="1649">
        <f>BQ67+CF!BQ64</f>
        <v>327.99700000000018</v>
      </c>
      <c r="BR229" s="1649">
        <f>BR67+CF!BR64</f>
        <v>270.0390000000001</v>
      </c>
      <c r="BS229" s="1649">
        <f>BS67+CF!BS64</f>
        <v>318.84899999999993</v>
      </c>
      <c r="BT229" s="1649">
        <f>BT67+CF!BT64</f>
        <v>1199.4820000000002</v>
      </c>
      <c r="BU229" s="1649">
        <f>BU67+CF!BU64</f>
        <v>374.78700000000003</v>
      </c>
      <c r="BV229" s="1649">
        <f>BV67+CF!BV64</f>
        <v>405.06099999999998</v>
      </c>
      <c r="BW229" s="1649">
        <f>BW67+CF!BW64</f>
        <v>448.2639999999999</v>
      </c>
      <c r="BX229" s="1649">
        <f>BX67+CF!BX64</f>
        <v>496.56399999999974</v>
      </c>
      <c r="BY229" s="1663">
        <f>BY67+CF!BY64</f>
        <v>1724.6759999999995</v>
      </c>
      <c r="BZ229" s="1649">
        <f>BZ67+CF!BZ64</f>
        <v>516.53300000000013</v>
      </c>
      <c r="CA229" s="1649">
        <f>CA67+CF!CA64</f>
        <v>548.0250000000002</v>
      </c>
      <c r="CB229" s="1649">
        <f>CB67+CF!CB64</f>
        <v>575.15300000000013</v>
      </c>
      <c r="CC229" s="1649">
        <f>CC67+CF!CC64</f>
        <v>671.55499999999995</v>
      </c>
      <c r="CD229" s="1649">
        <f>CD67+CF!CD64</f>
        <v>2311.2660000000005</v>
      </c>
      <c r="CE229" s="1649">
        <f>CE67+CF!CE64</f>
        <v>688.8359999999999</v>
      </c>
      <c r="CF229" s="1649">
        <f>CF67+CF!CF64</f>
        <v>740.83699999999999</v>
      </c>
      <c r="CG229" s="1649">
        <f>CG67+CF!CG64</f>
        <v>782.62100000000009</v>
      </c>
      <c r="CH229" s="1649">
        <f>CH67+CF!CH64</f>
        <v>887.55999999999983</v>
      </c>
      <c r="CI229" s="1649">
        <f>CI67+CF!CI64</f>
        <v>3099.8539999999998</v>
      </c>
      <c r="CJ229" s="1649">
        <f>CJ67+CF!CJ64</f>
        <v>946.48100000000011</v>
      </c>
      <c r="CK229" s="1649">
        <f>CK67+CF!CK64</f>
        <v>976.02056218791483</v>
      </c>
      <c r="CL229" s="1649">
        <f>CL67+CF!CL64</f>
        <v>1005.1013036982876</v>
      </c>
      <c r="CM229" s="1649">
        <f>CM67+CF!CM64</f>
        <v>1059.0994332325135</v>
      </c>
      <c r="CN229" s="1649">
        <f>CN67+CF!CN64</f>
        <v>3986.7022991187159</v>
      </c>
      <c r="CO229" s="1649">
        <f>CO67+CF!CO64</f>
        <v>1141.0433216444353</v>
      </c>
      <c r="CP229" s="1649">
        <f>CP67+CF!CP64</f>
        <v>1178.3595824115143</v>
      </c>
      <c r="CQ229" s="1649">
        <f>CQ67+CF!CQ64</f>
        <v>1217.8061409612178</v>
      </c>
      <c r="CR229" s="1649">
        <f>CR67+CF!CR64</f>
        <v>1282.8255773959929</v>
      </c>
      <c r="CS229" s="1649">
        <f>CS67+CF!CS64</f>
        <v>4820.0346224131608</v>
      </c>
      <c r="CT229" s="1649">
        <f>CT67+CF!CT64</f>
        <v>1354.7966265958844</v>
      </c>
      <c r="CU229" s="1649">
        <f>CU67+CF!CU64</f>
        <v>1405.0239215177551</v>
      </c>
      <c r="CV229" s="1649">
        <f>CV67+CF!CV64</f>
        <v>1442.6086540574572</v>
      </c>
      <c r="CW229" s="1649">
        <f>CW67+CF!CW64</f>
        <v>1509.3040860452843</v>
      </c>
      <c r="CX229" s="1649">
        <f>CX67+CF!CX64</f>
        <v>5711.733288216381</v>
      </c>
    </row>
    <row r="230" spans="1:102">
      <c r="A230" t="s">
        <v>827</v>
      </c>
      <c r="BO230" s="1650">
        <f t="shared" ref="BO230:CX230" si="389">BO229-BO73</f>
        <v>269.16988308915381</v>
      </c>
      <c r="BP230" s="1650">
        <f t="shared" si="389"/>
        <v>67.387249926178271</v>
      </c>
      <c r="BQ230" s="1650">
        <f t="shared" si="389"/>
        <v>67.404249926178352</v>
      </c>
      <c r="BR230" s="1650">
        <f t="shared" si="389"/>
        <v>69.9052499261783</v>
      </c>
      <c r="BS230" s="1650">
        <f t="shared" si="389"/>
        <v>67.898249926178238</v>
      </c>
      <c r="BT230" s="1650">
        <f t="shared" si="389"/>
        <v>272.59499970471325</v>
      </c>
      <c r="BU230" s="1650">
        <f t="shared" si="389"/>
        <v>66.857158107136058</v>
      </c>
      <c r="BV230" s="1650">
        <f t="shared" si="389"/>
        <v>73.151158107136098</v>
      </c>
      <c r="BW230" s="1650">
        <f t="shared" si="389"/>
        <v>74.772158107136022</v>
      </c>
      <c r="BX230" s="1650">
        <f t="shared" si="389"/>
        <v>73.581158107136105</v>
      </c>
      <c r="BY230" s="1664">
        <f t="shared" si="389"/>
        <v>288.36163242854423</v>
      </c>
      <c r="BZ230" s="1650">
        <f t="shared" si="389"/>
        <v>67.118436286201074</v>
      </c>
      <c r="CA230" s="1650">
        <f t="shared" si="389"/>
        <v>70.379436286201042</v>
      </c>
      <c r="CB230" s="1650">
        <f t="shared" si="389"/>
        <v>69.932436286201039</v>
      </c>
      <c r="CC230" s="1650">
        <f t="shared" si="389"/>
        <v>67.778436286200986</v>
      </c>
      <c r="CD230" s="1650">
        <f t="shared" si="389"/>
        <v>275.2087451448042</v>
      </c>
      <c r="CE230" s="1650">
        <f t="shared" si="389"/>
        <v>68.501959977285651</v>
      </c>
      <c r="CF230" s="1650">
        <f t="shared" si="389"/>
        <v>69.327959977285673</v>
      </c>
      <c r="CG230" s="1650">
        <f t="shared" si="389"/>
        <v>70.011959977285755</v>
      </c>
      <c r="CH230" s="1650">
        <f t="shared" si="389"/>
        <v>68.926959977285719</v>
      </c>
      <c r="CI230" s="1650">
        <f t="shared" si="389"/>
        <v>276.76883990914257</v>
      </c>
      <c r="CJ230" s="1650">
        <f t="shared" si="389"/>
        <v>57.606041533586449</v>
      </c>
      <c r="CK230" s="1650">
        <f t="shared" si="389"/>
        <v>57.984041533586378</v>
      </c>
      <c r="CL230" s="1650">
        <f t="shared" si="389"/>
        <v>58.984041533586378</v>
      </c>
      <c r="CM230" s="1650">
        <f t="shared" si="389"/>
        <v>59.984041533586492</v>
      </c>
      <c r="CN230" s="1650">
        <f t="shared" si="389"/>
        <v>234.55816613434581</v>
      </c>
      <c r="CO230" s="1650">
        <f t="shared" si="389"/>
        <v>60.748774575416974</v>
      </c>
      <c r="CP230" s="1650">
        <f t="shared" si="389"/>
        <v>61.748774575416974</v>
      </c>
      <c r="CQ230" s="1650">
        <f t="shared" si="389"/>
        <v>62.748774575416974</v>
      </c>
      <c r="CR230" s="1650">
        <f t="shared" si="389"/>
        <v>63.748774575416974</v>
      </c>
      <c r="CS230" s="1650">
        <f t="shared" si="389"/>
        <v>248.99509830166789</v>
      </c>
      <c r="CT230" s="1650">
        <f t="shared" si="389"/>
        <v>61.430120869916891</v>
      </c>
      <c r="CU230" s="1650">
        <f t="shared" si="389"/>
        <v>62.430120869916891</v>
      </c>
      <c r="CV230" s="1650">
        <f t="shared" si="389"/>
        <v>63.430120869916891</v>
      </c>
      <c r="CW230" s="1650">
        <f t="shared" si="389"/>
        <v>64.430120869916891</v>
      </c>
      <c r="CX230" s="1650">
        <f t="shared" si="389"/>
        <v>251.72048347966756</v>
      </c>
    </row>
    <row r="231" spans="1:102">
      <c r="A231" t="s">
        <v>829</v>
      </c>
      <c r="BO231">
        <v>1</v>
      </c>
      <c r="BP231">
        <v>1</v>
      </c>
      <c r="BQ231">
        <v>1</v>
      </c>
      <c r="BR231">
        <v>1</v>
      </c>
      <c r="BS231">
        <v>1</v>
      </c>
      <c r="BT231">
        <v>1</v>
      </c>
      <c r="BU231">
        <v>1</v>
      </c>
      <c r="BV231">
        <v>1</v>
      </c>
      <c r="BW231">
        <v>1</v>
      </c>
      <c r="BX231">
        <v>1</v>
      </c>
      <c r="BY231" s="47">
        <v>1</v>
      </c>
      <c r="BZ231">
        <v>1</v>
      </c>
      <c r="CA231">
        <v>1</v>
      </c>
      <c r="CB231">
        <v>1</v>
      </c>
      <c r="CC231">
        <v>1</v>
      </c>
      <c r="CD231">
        <v>1</v>
      </c>
      <c r="CE231">
        <v>1</v>
      </c>
      <c r="CF231">
        <v>1</v>
      </c>
      <c r="CG231">
        <v>1</v>
      </c>
      <c r="CH231">
        <v>1</v>
      </c>
      <c r="CI231">
        <v>1</v>
      </c>
      <c r="CJ231">
        <v>1</v>
      </c>
      <c r="CK231">
        <v>1</v>
      </c>
      <c r="CL231">
        <v>1</v>
      </c>
      <c r="CM231">
        <v>1</v>
      </c>
      <c r="CN231">
        <v>1</v>
      </c>
      <c r="CO231">
        <v>1</v>
      </c>
      <c r="CP231">
        <v>1</v>
      </c>
      <c r="CQ231">
        <v>1</v>
      </c>
      <c r="CR231">
        <v>1</v>
      </c>
      <c r="CS231">
        <v>1</v>
      </c>
      <c r="CT231">
        <v>1</v>
      </c>
      <c r="CU231">
        <v>1</v>
      </c>
      <c r="CV231">
        <v>1</v>
      </c>
      <c r="CW231">
        <v>1</v>
      </c>
      <c r="CX231">
        <v>1</v>
      </c>
    </row>
  </sheetData>
  <customSheetViews>
    <customSheetView guid="{5A095E4E-6841-4715-B354-198715F5FF0A}" scale="90" showGridLines="0" hiddenRows="1" hiddenColumns="1" showRuler="0">
      <selection activeCell="G10" sqref="G10:S11"/>
    </customSheetView>
    <customSheetView guid="{7ADDAC9C-E12E-468B-A7D0-D44A9895D58E}" scale="90" showGridLines="0" hiddenRows="1" hiddenColumns="1" showRuler="0"/>
  </customSheetViews>
  <phoneticPr fontId="2" type="noConversion"/>
  <printOptions horizontalCentered="1" verticalCentered="1"/>
  <pageMargins left="0" right="0" top="0" bottom="0" header="0" footer="0"/>
  <pageSetup paperSize="5" orientation="landscape" r:id="rId1"/>
  <headerFooter alignWithMargins="0"/>
  <rowBreaks count="3" manualBreakCount="3">
    <brk id="75" max="91" man="1"/>
    <brk id="130" max="51" man="1"/>
    <brk id="178" max="51" man="1"/>
  </rowBreak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tabColor theme="9"/>
    <pageSetUpPr autoPageBreaks="0" fitToPage="1"/>
  </sheetPr>
  <dimension ref="A1:DC289"/>
  <sheetViews>
    <sheetView showGridLines="0" zoomScaleNormal="100" workbookViewId="0">
      <pane xSplit="71" ySplit="5" topLeftCell="BY6" activePane="bottomRight" state="frozen"/>
      <selection pane="topRight" activeCell="BT1" sqref="BT1"/>
      <selection pane="bottomLeft" activeCell="A6" sqref="A6"/>
      <selection pane="bottomRight" activeCell="BY6" sqref="BY6"/>
    </sheetView>
  </sheetViews>
  <sheetFormatPr defaultRowHeight="12.75" outlineLevelRow="2" outlineLevelCol="2"/>
  <cols>
    <col min="1" max="1" width="39.140625" customWidth="1"/>
    <col min="2" max="2" width="5.7109375" hidden="1" customWidth="1"/>
    <col min="3" max="6" width="7.7109375" hidden="1" customWidth="1" outlineLevel="2"/>
    <col min="7" max="7" width="9.85546875" hidden="1" customWidth="1" outlineLevel="1" collapsed="1"/>
    <col min="8" max="11" width="7.140625" hidden="1" customWidth="1" outlineLevel="2"/>
    <col min="12" max="12" width="7.140625" hidden="1" customWidth="1" outlineLevel="1" collapsed="1"/>
    <col min="13" max="16" width="7.140625" hidden="1" customWidth="1" outlineLevel="2"/>
    <col min="17" max="17" width="7.140625" hidden="1" customWidth="1" outlineLevel="1" collapsed="1"/>
    <col min="18" max="21" width="7.140625" hidden="1" customWidth="1" outlineLevel="2"/>
    <col min="22" max="22" width="7.140625" hidden="1" customWidth="1" outlineLevel="1" collapsed="1"/>
    <col min="23" max="36" width="7.140625" hidden="1" customWidth="1" outlineLevel="1"/>
    <col min="37" max="41" width="9" hidden="1" customWidth="1" outlineLevel="1"/>
    <col min="42" max="42" width="9" hidden="1" customWidth="1"/>
    <col min="43" max="46" width="9" hidden="1" customWidth="1" outlineLevel="1"/>
    <col min="47" max="47" width="9" hidden="1" customWidth="1" collapsed="1"/>
    <col min="48" max="51" width="9" hidden="1" customWidth="1" outlineLevel="1"/>
    <col min="52" max="52" width="9" hidden="1" customWidth="1" collapsed="1"/>
    <col min="53" max="56" width="9" hidden="1" customWidth="1" outlineLevel="1"/>
    <col min="57" max="57" width="9" hidden="1" customWidth="1" outlineLevel="1" collapsed="1"/>
    <col min="58" max="66" width="9" hidden="1" customWidth="1" outlineLevel="1"/>
    <col min="67" max="67" width="9" hidden="1" customWidth="1" collapsed="1"/>
    <col min="68" max="71" width="9" hidden="1" customWidth="1" outlineLevel="1"/>
    <col min="72" max="72" width="9" hidden="1" customWidth="1" collapsed="1"/>
    <col min="73" max="76" width="9" hidden="1" customWidth="1" outlineLevel="1"/>
    <col min="77" max="77" width="9" customWidth="1" collapsed="1"/>
    <col min="78" max="81" width="9" hidden="1" customWidth="1" outlineLevel="1"/>
    <col min="82" max="82" width="9" customWidth="1" collapsed="1"/>
    <col min="83" max="86" width="9" customWidth="1" outlineLevel="1"/>
    <col min="87" max="87" width="9" customWidth="1"/>
    <col min="88" max="91" width="9" customWidth="1" outlineLevel="1"/>
    <col min="92" max="92" width="9" customWidth="1"/>
    <col min="93" max="96" width="9" customWidth="1" outlineLevel="1"/>
    <col min="97" max="97" width="9" customWidth="1"/>
    <col min="98" max="101" width="9" hidden="1" customWidth="1" outlineLevel="1"/>
    <col min="102" max="102" width="9" customWidth="1" collapsed="1"/>
    <col min="103" max="103" width="6.5703125" customWidth="1"/>
    <col min="104" max="107" width="1.7109375" customWidth="1"/>
  </cols>
  <sheetData>
    <row r="1" spans="1:107" ht="20.100000000000001" customHeight="1">
      <c r="A1" s="30" t="str">
        <f>Model!A1</f>
        <v>Adobe Systems</v>
      </c>
      <c r="B1" s="30"/>
      <c r="C1" s="4"/>
      <c r="D1" s="4"/>
      <c r="E1" s="4"/>
      <c r="F1" s="4"/>
      <c r="G1" s="4"/>
      <c r="H1" s="4"/>
      <c r="I1" s="4"/>
      <c r="J1" s="4"/>
      <c r="K1" s="4"/>
      <c r="L1" s="4"/>
      <c r="M1" s="900"/>
      <c r="N1" s="4"/>
      <c r="O1" s="4"/>
      <c r="P1" s="901"/>
      <c r="Q1" s="902"/>
      <c r="R1" s="4"/>
      <c r="S1" s="4"/>
      <c r="T1" s="4"/>
      <c r="U1" s="4"/>
      <c r="V1" s="902"/>
      <c r="W1" s="4"/>
      <c r="X1" s="4"/>
      <c r="Y1" s="4"/>
      <c r="Z1" s="4"/>
      <c r="AA1" s="4"/>
      <c r="AB1" s="4"/>
      <c r="AC1" s="4"/>
      <c r="AD1" s="4"/>
      <c r="AE1" s="4"/>
      <c r="AF1" s="4"/>
      <c r="AG1" s="31"/>
      <c r="AH1" s="31"/>
      <c r="AI1" s="31"/>
      <c r="AJ1" s="31"/>
      <c r="AK1" s="4"/>
      <c r="AL1" s="31"/>
      <c r="AM1" s="31"/>
      <c r="AN1" s="31"/>
      <c r="AO1" s="31"/>
      <c r="AP1" s="4"/>
      <c r="AQ1" s="4"/>
      <c r="AR1" s="4"/>
      <c r="AS1" s="4"/>
      <c r="AT1" s="4"/>
      <c r="AU1" s="4"/>
      <c r="AV1" s="4"/>
      <c r="AW1" s="4"/>
      <c r="AX1" s="4"/>
      <c r="AY1" s="4"/>
      <c r="AZ1" s="4"/>
      <c r="BA1" s="4"/>
      <c r="BB1" s="4"/>
      <c r="BC1" s="4"/>
      <c r="BD1" s="4"/>
      <c r="BE1" s="4"/>
      <c r="BF1" s="4"/>
      <c r="BG1" s="4"/>
      <c r="BH1" s="4"/>
      <c r="BI1" s="4"/>
      <c r="BJ1" s="4"/>
      <c r="BK1" s="1294"/>
      <c r="BL1" s="1294"/>
      <c r="BM1" s="1294"/>
      <c r="BN1" s="1294"/>
      <c r="BO1" s="4"/>
      <c r="BP1" s="1294"/>
      <c r="BQ1" s="1294"/>
      <c r="BR1" s="1294"/>
      <c r="BS1" s="1294"/>
      <c r="BT1" s="4"/>
      <c r="BU1" s="1294"/>
      <c r="BV1" s="1294"/>
      <c r="BW1" s="1294"/>
      <c r="BX1" s="1294"/>
      <c r="BY1" s="4"/>
      <c r="BZ1" s="1294"/>
      <c r="CA1" s="1294"/>
      <c r="CB1" s="1294"/>
      <c r="CC1" s="1294"/>
      <c r="CD1" s="1330"/>
      <c r="CE1" s="466"/>
      <c r="CF1" s="1294"/>
      <c r="CG1" s="1747"/>
      <c r="CH1" s="1294"/>
      <c r="CI1" s="1330"/>
      <c r="CJ1" s="1294"/>
      <c r="CK1" s="1294"/>
      <c r="CL1" s="1294"/>
      <c r="CM1" s="1294"/>
      <c r="CN1" s="1330"/>
      <c r="CO1" s="1294"/>
      <c r="CP1" s="1294"/>
      <c r="CQ1" s="1294"/>
      <c r="CR1" s="1294"/>
      <c r="CS1" s="1330"/>
      <c r="CT1" s="1294"/>
      <c r="CU1" s="1294"/>
      <c r="CV1" s="1294"/>
      <c r="CW1" s="1294"/>
      <c r="CX1" s="1330"/>
      <c r="CY1" s="1330"/>
      <c r="DA1" s="23"/>
      <c r="DB1" s="4"/>
      <c r="DC1" s="27"/>
    </row>
    <row r="2" spans="1:107" ht="20.100000000000001" customHeight="1">
      <c r="A2" s="5" t="s">
        <v>365</v>
      </c>
      <c r="B2" s="5"/>
      <c r="C2" s="7"/>
      <c r="D2" s="6"/>
      <c r="E2" s="7"/>
      <c r="F2" s="6"/>
      <c r="G2" s="7"/>
      <c r="H2" s="7"/>
      <c r="I2" s="6"/>
      <c r="J2" s="7"/>
      <c r="K2" s="6"/>
      <c r="L2" s="7"/>
      <c r="M2" s="61"/>
      <c r="N2" s="6"/>
      <c r="O2" s="7"/>
      <c r="P2" s="69"/>
      <c r="Q2" s="62"/>
      <c r="R2" s="7"/>
      <c r="S2" s="6"/>
      <c r="T2" s="7"/>
      <c r="U2" s="6"/>
      <c r="V2" s="62"/>
      <c r="W2" s="7"/>
      <c r="X2" s="6"/>
      <c r="Y2" s="7"/>
      <c r="Z2" s="6"/>
      <c r="AA2" s="7"/>
      <c r="AB2" s="7"/>
      <c r="AC2" s="6"/>
      <c r="AD2" s="6"/>
      <c r="AE2" s="6"/>
      <c r="AF2" s="7"/>
      <c r="AG2" s="8"/>
      <c r="AH2" s="8"/>
      <c r="AI2" s="8"/>
      <c r="AJ2" s="8"/>
      <c r="AK2" s="7"/>
      <c r="AL2" s="8"/>
      <c r="AM2" s="8"/>
      <c r="AN2" s="1224"/>
      <c r="AO2" s="8"/>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54"/>
      <c r="CB2" s="1622"/>
      <c r="CC2" s="54"/>
      <c r="CD2" s="54"/>
      <c r="CE2" s="54"/>
      <c r="CF2" s="54"/>
      <c r="CG2" s="1224"/>
      <c r="CH2" s="54"/>
      <c r="CI2" s="54"/>
      <c r="CJ2" s="1622"/>
      <c r="CK2" s="1622"/>
      <c r="CL2" s="1622"/>
      <c r="CM2" s="1622"/>
      <c r="CN2" s="54"/>
      <c r="CO2" s="1622"/>
      <c r="CP2" s="1622"/>
      <c r="CQ2" s="1622"/>
      <c r="CR2" s="1622"/>
      <c r="CS2" s="54"/>
      <c r="CT2" s="1622"/>
      <c r="CU2" s="1622"/>
      <c r="CV2" s="1622"/>
      <c r="CW2" s="1622"/>
      <c r="CX2" s="54"/>
      <c r="CY2" s="53"/>
      <c r="DA2" s="23"/>
      <c r="DB2" s="4"/>
      <c r="DC2" s="4"/>
    </row>
    <row r="3" spans="1:107" ht="16.5" hidden="1" customHeight="1" outlineLevel="1"/>
    <row r="4" spans="1:107" ht="11.25" customHeight="1" collapsed="1">
      <c r="A4" s="1843" t="s">
        <v>332</v>
      </c>
      <c r="B4" s="1783"/>
      <c r="C4" s="81"/>
      <c r="D4" s="82"/>
      <c r="E4" s="82"/>
      <c r="F4" s="85"/>
      <c r="G4" s="83"/>
      <c r="H4" s="81"/>
      <c r="I4" s="82"/>
      <c r="J4" s="82"/>
      <c r="K4" s="85"/>
      <c r="L4" s="81"/>
      <c r="M4" s="81"/>
      <c r="N4" s="82"/>
      <c r="O4" s="82"/>
      <c r="P4" s="85"/>
      <c r="Q4" s="83"/>
      <c r="R4" s="82"/>
      <c r="S4" s="82"/>
      <c r="T4" s="82"/>
      <c r="U4" s="82"/>
      <c r="V4" s="83"/>
      <c r="W4" s="82"/>
      <c r="X4" s="82"/>
      <c r="Y4" s="82"/>
      <c r="Z4" s="82"/>
      <c r="AA4" s="83"/>
      <c r="AB4" s="82"/>
      <c r="AC4" s="82"/>
      <c r="AD4" s="82"/>
      <c r="AE4" s="82"/>
      <c r="AF4" s="83"/>
      <c r="AG4" s="82"/>
      <c r="AH4" s="82"/>
      <c r="AI4" s="82"/>
      <c r="AJ4" s="82"/>
      <c r="AK4" s="83"/>
      <c r="AL4" s="82"/>
      <c r="AM4" s="82"/>
      <c r="AN4" s="82"/>
      <c r="AO4" s="82"/>
      <c r="AP4" s="83"/>
      <c r="AQ4" s="82"/>
      <c r="AR4" s="86"/>
      <c r="AS4" s="82"/>
      <c r="AT4" s="82"/>
      <c r="AU4" s="83"/>
      <c r="AV4" s="82"/>
      <c r="AW4" s="82"/>
      <c r="AX4" s="86"/>
      <c r="AY4" s="82"/>
      <c r="AZ4" s="83"/>
      <c r="BA4" s="86"/>
      <c r="BB4" s="86"/>
      <c r="BC4" s="82"/>
      <c r="BD4" s="82"/>
      <c r="BE4" s="83"/>
      <c r="BF4" s="82"/>
      <c r="BG4" s="86"/>
      <c r="BH4" s="86"/>
      <c r="BI4" s="82"/>
      <c r="BJ4" s="83"/>
      <c r="BK4" s="86"/>
      <c r="BL4" s="86"/>
      <c r="BM4" s="86"/>
      <c r="BN4" s="86"/>
      <c r="BO4" s="88"/>
      <c r="BP4" s="86"/>
      <c r="BQ4" s="86"/>
      <c r="BR4" s="86"/>
      <c r="BS4" s="86"/>
      <c r="BT4" s="88"/>
      <c r="BU4" s="86"/>
      <c r="BV4" s="86"/>
      <c r="BW4" s="86"/>
      <c r="BX4" s="86"/>
      <c r="BY4" s="88"/>
      <c r="BZ4" s="86"/>
      <c r="CA4" s="86"/>
      <c r="CB4" s="86"/>
      <c r="CC4" s="86"/>
      <c r="CD4" s="88"/>
      <c r="CE4" s="86"/>
      <c r="CF4" s="86"/>
      <c r="CG4" s="86"/>
      <c r="CH4" s="86"/>
      <c r="CI4" s="88"/>
      <c r="CJ4" s="86"/>
      <c r="CK4" s="86"/>
      <c r="CL4" s="86"/>
      <c r="CM4" s="86"/>
      <c r="CN4" s="88"/>
      <c r="CO4" s="86"/>
      <c r="CP4" s="86"/>
      <c r="CQ4" s="86"/>
      <c r="CR4" s="86"/>
      <c r="CS4" s="88"/>
      <c r="CT4" s="86"/>
      <c r="CU4" s="86"/>
      <c r="CV4" s="86"/>
      <c r="CW4" s="86"/>
      <c r="CX4" s="88"/>
      <c r="CY4" s="644"/>
      <c r="DA4" s="89"/>
      <c r="DB4" s="84"/>
      <c r="DC4" s="84"/>
    </row>
    <row r="5" spans="1:107">
      <c r="A5" s="1844"/>
      <c r="B5" s="405"/>
      <c r="C5" s="454" t="str">
        <f>Model!C6</f>
        <v>2/01</v>
      </c>
      <c r="D5" s="407" t="str">
        <f>Model!D6</f>
        <v>5/01</v>
      </c>
      <c r="E5" s="407" t="str">
        <f>Model!E6</f>
        <v>8/01</v>
      </c>
      <c r="F5" s="455" t="str">
        <f>Model!F6</f>
        <v>11/01</v>
      </c>
      <c r="G5" s="456" t="str">
        <f>Model!G6</f>
        <v>FY01</v>
      </c>
      <c r="H5" s="454" t="str">
        <f>Model!H6</f>
        <v>2/02</v>
      </c>
      <c r="I5" s="407" t="str">
        <f>Model!I6</f>
        <v>5/02</v>
      </c>
      <c r="J5" s="407" t="str">
        <f>Model!J6</f>
        <v>8/02</v>
      </c>
      <c r="K5" s="455" t="str">
        <f>Model!K6</f>
        <v>11/02</v>
      </c>
      <c r="L5" s="454" t="str">
        <f>Model!L6</f>
        <v>FY02</v>
      </c>
      <c r="M5" s="454" t="str">
        <f>Model!M6</f>
        <v>2/03</v>
      </c>
      <c r="N5" s="407" t="str">
        <f>Model!N6</f>
        <v>5/03</v>
      </c>
      <c r="O5" s="407" t="str">
        <f>Model!O6</f>
        <v>8/03</v>
      </c>
      <c r="P5" s="455" t="str">
        <f>Model!P6</f>
        <v>11/03</v>
      </c>
      <c r="Q5" s="456" t="str">
        <f>Model!Q6</f>
        <v>FY03</v>
      </c>
      <c r="R5" s="407" t="str">
        <f>Model!R6</f>
        <v>2/04</v>
      </c>
      <c r="S5" s="407" t="str">
        <f>Model!S6</f>
        <v>5/04</v>
      </c>
      <c r="T5" s="407" t="str">
        <f>Model!T6</f>
        <v>8/04</v>
      </c>
      <c r="U5" s="407" t="str">
        <f>Model!U6</f>
        <v>11/04</v>
      </c>
      <c r="V5" s="456" t="str">
        <f>Model!V6</f>
        <v>FY04</v>
      </c>
      <c r="W5" s="407" t="str">
        <f>Model!W6</f>
        <v>2/05</v>
      </c>
      <c r="X5" s="407" t="str">
        <f>Model!X6</f>
        <v xml:space="preserve"> 5/05</v>
      </c>
      <c r="Y5" s="407" t="str">
        <f>Model!Y6</f>
        <v>8/05</v>
      </c>
      <c r="Z5" s="407" t="str">
        <f>Model!Z6</f>
        <v>11/05</v>
      </c>
      <c r="AA5" s="456" t="str">
        <f>Model!AA6</f>
        <v>FY05</v>
      </c>
      <c r="AB5" s="407" t="str">
        <f>Model!AB6</f>
        <v>2/06</v>
      </c>
      <c r="AC5" s="407" t="str">
        <f>Model!AC6</f>
        <v xml:space="preserve"> 5/06</v>
      </c>
      <c r="AD5" s="407" t="str">
        <f>Model!AD6</f>
        <v>8/06</v>
      </c>
      <c r="AE5" s="407" t="str">
        <f>Model!AE6</f>
        <v>11/06</v>
      </c>
      <c r="AF5" s="456" t="str">
        <f>Model!AF6</f>
        <v>FY06</v>
      </c>
      <c r="AG5" s="407" t="str">
        <f>Model!AG6</f>
        <v xml:space="preserve"> 2/07</v>
      </c>
      <c r="AH5" s="407" t="str">
        <f>Model!AH6</f>
        <v>5/07</v>
      </c>
      <c r="AI5" s="407" t="str">
        <f>Model!AI6</f>
        <v>8/07</v>
      </c>
      <c r="AJ5" s="407" t="str">
        <f>Model!AJ6</f>
        <v>11/07</v>
      </c>
      <c r="AK5" s="456" t="str">
        <f>Model!AK6</f>
        <v>FY07</v>
      </c>
      <c r="AL5" s="407" t="str">
        <f>Model!AL6</f>
        <v xml:space="preserve"> 2/08</v>
      </c>
      <c r="AM5" s="407" t="str">
        <f>Model!AM6</f>
        <v>5/08</v>
      </c>
      <c r="AN5" s="407" t="str">
        <f>Model!AN6</f>
        <v>8/08</v>
      </c>
      <c r="AO5" s="407" t="str">
        <f>Model!AO6</f>
        <v>11/08</v>
      </c>
      <c r="AP5" s="456" t="str">
        <f>Model!AP6</f>
        <v>FY08</v>
      </c>
      <c r="AQ5" s="407" t="str">
        <f>Model!AQ6</f>
        <v xml:space="preserve"> 2/09</v>
      </c>
      <c r="AR5" s="407" t="str">
        <f>Model!AR6</f>
        <v>5/09</v>
      </c>
      <c r="AS5" s="407" t="str">
        <f>Model!AS6</f>
        <v>8/09</v>
      </c>
      <c r="AT5" s="407" t="str">
        <f>Model!AT6</f>
        <v>11/09</v>
      </c>
      <c r="AU5" s="456" t="str">
        <f>Model!AU6</f>
        <v>FY09</v>
      </c>
      <c r="AV5" s="407" t="str">
        <f>Model!AV6</f>
        <v xml:space="preserve"> 2/10</v>
      </c>
      <c r="AW5" s="407" t="str">
        <f>Model!AW6</f>
        <v>5/10</v>
      </c>
      <c r="AX5" s="407" t="str">
        <f>Model!AX6</f>
        <v>8/10</v>
      </c>
      <c r="AY5" s="407" t="str">
        <f>Model!AY6</f>
        <v>11/10</v>
      </c>
      <c r="AZ5" s="456" t="str">
        <f>Model!AZ6</f>
        <v>FY10</v>
      </c>
      <c r="BA5" s="407" t="str">
        <f>Model!BA6</f>
        <v xml:space="preserve"> 2/11</v>
      </c>
      <c r="BB5" s="407" t="str">
        <f>Model!BB6</f>
        <v>5/11</v>
      </c>
      <c r="BC5" s="407" t="str">
        <f>Model!BC6</f>
        <v>8/11</v>
      </c>
      <c r="BD5" s="407" t="str">
        <f>Model!BD6</f>
        <v>11/11</v>
      </c>
      <c r="BE5" s="456" t="str">
        <f>Model!BE6</f>
        <v>FY11</v>
      </c>
      <c r="BF5" s="407" t="str">
        <f>Model!BF6</f>
        <v xml:space="preserve"> 2/12</v>
      </c>
      <c r="BG5" s="407" t="str">
        <f>Model!BG6</f>
        <v>5/12</v>
      </c>
      <c r="BH5" s="407" t="str">
        <f>Model!BH6</f>
        <v>8/12</v>
      </c>
      <c r="BI5" s="407" t="str">
        <f>Model!BI6</f>
        <v>11/12</v>
      </c>
      <c r="BJ5" s="456" t="str">
        <f>Model!BJ6</f>
        <v>FY12</v>
      </c>
      <c r="BK5" s="407" t="str">
        <f>Model!BK6</f>
        <v xml:space="preserve"> 2/13</v>
      </c>
      <c r="BL5" s="407" t="str">
        <f>Model!BL6</f>
        <v>5/13</v>
      </c>
      <c r="BM5" s="407" t="str">
        <f>Model!BM6</f>
        <v>8/13</v>
      </c>
      <c r="BN5" s="407" t="str">
        <f>Model!BN6</f>
        <v>11/13</v>
      </c>
      <c r="BO5" s="456" t="str">
        <f>Model!BO6</f>
        <v>FY13</v>
      </c>
      <c r="BP5" s="407" t="str">
        <f>Model!BP6</f>
        <v xml:space="preserve"> 2/14</v>
      </c>
      <c r="BQ5" s="407" t="str">
        <f>Model!BQ6</f>
        <v>5/14</v>
      </c>
      <c r="BR5" s="407" t="str">
        <f>Model!BR6</f>
        <v>8/14</v>
      </c>
      <c r="BS5" s="407" t="str">
        <f>Model!BS6</f>
        <v>11/14</v>
      </c>
      <c r="BT5" s="106" t="str">
        <f>Model!BT6</f>
        <v>FY14</v>
      </c>
      <c r="BU5" s="105" t="str">
        <f>Model!BU6</f>
        <v xml:space="preserve"> 2/15</v>
      </c>
      <c r="BV5" s="105" t="str">
        <f>Model!BV6</f>
        <v>5/15</v>
      </c>
      <c r="BW5" s="105" t="str">
        <f>Model!BW6</f>
        <v>8/15</v>
      </c>
      <c r="BX5" s="105" t="str">
        <f>Model!BX6</f>
        <v>11/15</v>
      </c>
      <c r="BY5" s="106" t="str">
        <f>Model!BY6</f>
        <v>FY15</v>
      </c>
      <c r="BZ5" s="105" t="str">
        <f>Model!BZ6</f>
        <v xml:space="preserve"> 2/16</v>
      </c>
      <c r="CA5" s="105" t="str">
        <f>Model!CA6</f>
        <v>5/16</v>
      </c>
      <c r="CB5" s="105" t="str">
        <f>Model!CB6</f>
        <v>8/16</v>
      </c>
      <c r="CC5" s="105" t="str">
        <f>Model!CC6</f>
        <v>11/16</v>
      </c>
      <c r="CD5" s="106" t="str">
        <f>Model!CD6</f>
        <v>FY16</v>
      </c>
      <c r="CE5" s="105" t="str">
        <f>Model!CE6</f>
        <v xml:space="preserve"> 2/17</v>
      </c>
      <c r="CF5" s="105" t="str">
        <f>Model!CF6</f>
        <v>5/17</v>
      </c>
      <c r="CG5" s="105" t="str">
        <f>Model!CG6</f>
        <v>8/17</v>
      </c>
      <c r="CH5" s="105" t="str">
        <f>Model!CH6</f>
        <v>11/17</v>
      </c>
      <c r="CI5" s="106" t="str">
        <f>Model!CI6</f>
        <v>FY17</v>
      </c>
      <c r="CJ5" s="108" t="str">
        <f>Model!CJ6</f>
        <v xml:space="preserve"> 2/18</v>
      </c>
      <c r="CK5" s="108" t="str">
        <f>Model!CK6</f>
        <v>5/18E</v>
      </c>
      <c r="CL5" s="108" t="str">
        <f>Model!CL6</f>
        <v>8/18E</v>
      </c>
      <c r="CM5" s="108" t="str">
        <f>Model!CM6</f>
        <v>11/18E</v>
      </c>
      <c r="CN5" s="110" t="str">
        <f>Model!CN6</f>
        <v>FY18E</v>
      </c>
      <c r="CO5" s="108" t="str">
        <f>Model!CO6</f>
        <v xml:space="preserve"> 2/19E</v>
      </c>
      <c r="CP5" s="108" t="str">
        <f>Model!CP6</f>
        <v>5/19E</v>
      </c>
      <c r="CQ5" s="108" t="str">
        <f>Model!CQ6</f>
        <v>8/19E</v>
      </c>
      <c r="CR5" s="108" t="str">
        <f>Model!CR6</f>
        <v>11/19E</v>
      </c>
      <c r="CS5" s="110" t="str">
        <f>Model!CS6</f>
        <v>FY19E</v>
      </c>
      <c r="CT5" s="108" t="str">
        <f>Model!CT6</f>
        <v xml:space="preserve"> 2/20E</v>
      </c>
      <c r="CU5" s="108" t="str">
        <f>Model!CU6</f>
        <v>5/20E</v>
      </c>
      <c r="CV5" s="108" t="str">
        <f>Model!CV6</f>
        <v>8/20E</v>
      </c>
      <c r="CW5" s="108" t="str">
        <f>Model!CW6</f>
        <v>11/20E</v>
      </c>
      <c r="CX5" s="110" t="str">
        <f>Model!CX6</f>
        <v>FY20E</v>
      </c>
      <c r="CY5" s="408"/>
      <c r="DA5" s="410"/>
      <c r="DB5" s="409"/>
      <c r="DC5" s="409"/>
    </row>
    <row r="6" spans="1:107" ht="5.25" customHeight="1">
      <c r="A6" s="1845"/>
      <c r="B6" s="114"/>
      <c r="C6" s="116"/>
      <c r="D6" s="117"/>
      <c r="E6" s="117"/>
      <c r="F6" s="118"/>
      <c r="G6" s="119"/>
      <c r="H6" s="116"/>
      <c r="I6" s="117"/>
      <c r="J6" s="117"/>
      <c r="K6" s="118"/>
      <c r="L6" s="116"/>
      <c r="M6" s="116"/>
      <c r="N6" s="117"/>
      <c r="O6" s="117"/>
      <c r="P6" s="118"/>
      <c r="Q6" s="119"/>
      <c r="R6" s="117"/>
      <c r="S6" s="117"/>
      <c r="T6" s="117"/>
      <c r="U6" s="117"/>
      <c r="V6" s="119"/>
      <c r="W6" s="117"/>
      <c r="X6" s="117"/>
      <c r="Y6" s="117"/>
      <c r="Z6" s="117"/>
      <c r="AA6" s="119"/>
      <c r="AB6" s="117"/>
      <c r="AC6" s="117"/>
      <c r="AD6" s="117"/>
      <c r="AE6" s="117"/>
      <c r="AF6" s="119"/>
      <c r="AG6" s="121"/>
      <c r="AH6" s="121"/>
      <c r="AI6" s="121"/>
      <c r="AJ6" s="121"/>
      <c r="AK6" s="119"/>
      <c r="AL6" s="121"/>
      <c r="AM6" s="121"/>
      <c r="AN6" s="121"/>
      <c r="AO6" s="121"/>
      <c r="AP6" s="119"/>
      <c r="AQ6" s="121"/>
      <c r="AR6" s="121"/>
      <c r="AS6" s="121"/>
      <c r="AT6" s="121"/>
      <c r="AU6" s="120"/>
      <c r="AV6" s="121"/>
      <c r="AW6" s="121"/>
      <c r="AX6" s="121"/>
      <c r="AY6" s="121"/>
      <c r="AZ6" s="120"/>
      <c r="BA6" s="123"/>
      <c r="BB6" s="123"/>
      <c r="BC6" s="121"/>
      <c r="BD6" s="121"/>
      <c r="BE6" s="120"/>
      <c r="BF6" s="121"/>
      <c r="BG6" s="123"/>
      <c r="BH6" s="123"/>
      <c r="BI6" s="121"/>
      <c r="BJ6" s="120"/>
      <c r="BK6" s="121"/>
      <c r="BL6" s="123"/>
      <c r="BM6" s="123"/>
      <c r="BN6" s="123"/>
      <c r="BO6" s="120"/>
      <c r="BP6" s="123"/>
      <c r="BQ6" s="123"/>
      <c r="BR6" s="123"/>
      <c r="BS6" s="123"/>
      <c r="BT6" s="120"/>
      <c r="BU6" s="123"/>
      <c r="BV6" s="123"/>
      <c r="BW6" s="123"/>
      <c r="BX6" s="123"/>
      <c r="BY6" s="120"/>
      <c r="BZ6" s="123"/>
      <c r="CA6" s="123"/>
      <c r="CB6" s="121"/>
      <c r="CC6" s="121"/>
      <c r="CD6" s="120"/>
      <c r="CE6" s="121"/>
      <c r="CF6" s="121"/>
      <c r="CG6" s="121"/>
      <c r="CH6" s="121"/>
      <c r="CI6" s="120"/>
      <c r="CJ6" s="123"/>
      <c r="CK6" s="123"/>
      <c r="CL6" s="123"/>
      <c r="CM6" s="123"/>
      <c r="CN6" s="125"/>
      <c r="CO6" s="123"/>
      <c r="CP6" s="123"/>
      <c r="CQ6" s="123"/>
      <c r="CR6" s="123"/>
      <c r="CS6" s="125"/>
      <c r="CT6" s="123"/>
      <c r="CU6" s="123"/>
      <c r="CV6" s="123"/>
      <c r="CW6" s="123"/>
      <c r="CX6" s="125"/>
      <c r="CY6" s="123"/>
      <c r="DA6" s="126"/>
      <c r="DB6" s="117"/>
      <c r="DC6" s="117"/>
    </row>
    <row r="7" spans="1:107" ht="11.25" customHeight="1">
      <c r="A7" s="1846" t="s">
        <v>64</v>
      </c>
      <c r="B7" s="458"/>
      <c r="C7" s="459"/>
      <c r="D7" s="460"/>
      <c r="E7" s="460"/>
      <c r="F7" s="461"/>
      <c r="G7" s="462"/>
      <c r="H7" s="459"/>
      <c r="I7" s="460"/>
      <c r="J7" s="460"/>
      <c r="K7" s="461"/>
      <c r="L7" s="459"/>
      <c r="M7" s="459"/>
      <c r="N7" s="460"/>
      <c r="O7" s="460"/>
      <c r="P7" s="461"/>
      <c r="Q7" s="462"/>
      <c r="R7" s="460"/>
      <c r="S7" s="460"/>
      <c r="T7" s="460"/>
      <c r="U7" s="460"/>
      <c r="V7" s="463"/>
      <c r="W7" s="464"/>
      <c r="X7" s="464"/>
      <c r="Y7" s="464"/>
      <c r="Z7" s="458"/>
      <c r="AA7" s="465"/>
      <c r="AB7" s="464"/>
      <c r="AC7" s="464"/>
      <c r="AD7" s="464"/>
      <c r="AE7" s="464"/>
      <c r="AF7" s="465"/>
      <c r="AG7" s="458"/>
      <c r="AH7" s="458"/>
      <c r="AI7" s="458"/>
      <c r="AJ7" s="458"/>
      <c r="AK7" s="465"/>
      <c r="AL7" s="458"/>
      <c r="AM7" s="458"/>
      <c r="AN7" s="458"/>
      <c r="AO7" s="458"/>
      <c r="AP7" s="465"/>
      <c r="AQ7" s="458">
        <f>SUM(AQ90,AQ94,AQ98)</f>
        <v>649.5</v>
      </c>
      <c r="AR7" s="458">
        <f>SUM(AR90,AR94,AR98)</f>
        <v>572.29999999999995</v>
      </c>
      <c r="AS7" s="458">
        <f>SUM(AS90,AS94,AS98)</f>
        <v>569.29999999999995</v>
      </c>
      <c r="AT7" s="458">
        <f>SUM(AT90,AT94,AT98)</f>
        <v>592.70000000000005</v>
      </c>
      <c r="AU7" s="465">
        <f>SUM(AQ7:AT7)</f>
        <v>2383.8000000000002</v>
      </c>
      <c r="AV7" s="458">
        <v>630.9</v>
      </c>
      <c r="AW7" s="458">
        <v>721.3</v>
      </c>
      <c r="AX7" s="458">
        <v>739.6</v>
      </c>
      <c r="AY7" s="458">
        <v>742.8</v>
      </c>
      <c r="AZ7" s="465">
        <f>SUM(AV7:AY7)</f>
        <v>2834.5999999999995</v>
      </c>
      <c r="BA7" s="458">
        <v>757.2</v>
      </c>
      <c r="BB7" s="458">
        <v>749.2</v>
      </c>
      <c r="BC7" s="458">
        <v>741.8</v>
      </c>
      <c r="BD7" s="458">
        <v>822</v>
      </c>
      <c r="BE7" s="465">
        <f>SUM(BA7:BD7)</f>
        <v>3070.2</v>
      </c>
      <c r="BF7" s="458">
        <v>724.4</v>
      </c>
      <c r="BG7" s="458">
        <v>814.5</v>
      </c>
      <c r="BH7" s="458">
        <v>762.5</v>
      </c>
      <c r="BI7" s="458">
        <v>802.3</v>
      </c>
      <c r="BJ7" s="465">
        <f>BJ10+BJ13</f>
        <v>3103.7</v>
      </c>
      <c r="BK7" s="458">
        <v>688.4</v>
      </c>
      <c r="BL7" s="458">
        <v>670</v>
      </c>
      <c r="BM7" s="458">
        <v>636.70000000000005</v>
      </c>
      <c r="BN7" s="458">
        <v>630.79999999999995</v>
      </c>
      <c r="BO7" s="465">
        <f>BO10+BO13</f>
        <v>2625.9</v>
      </c>
      <c r="BP7" s="458">
        <v>641.1</v>
      </c>
      <c r="BQ7" s="458">
        <v>691.6</v>
      </c>
      <c r="BR7" s="458">
        <v>621.4</v>
      </c>
      <c r="BS7" s="458">
        <v>649</v>
      </c>
      <c r="BT7" s="465">
        <f>BT10+BT13</f>
        <v>2603.1</v>
      </c>
      <c r="BU7" s="458">
        <v>702.8</v>
      </c>
      <c r="BV7" s="458">
        <v>747.5</v>
      </c>
      <c r="BW7" s="458">
        <v>769.7</v>
      </c>
      <c r="BX7" s="458">
        <v>875.3</v>
      </c>
      <c r="BY7" s="465">
        <f t="shared" ref="BY7:CD7" si="0">BY10+BY13</f>
        <v>3095.3</v>
      </c>
      <c r="BZ7" s="458">
        <v>931.7</v>
      </c>
      <c r="CA7" s="458">
        <v>943.1</v>
      </c>
      <c r="CB7" s="458">
        <v>990</v>
      </c>
      <c r="CC7" s="458">
        <v>1076.2</v>
      </c>
      <c r="CD7" s="465">
        <f t="shared" si="0"/>
        <v>3941</v>
      </c>
      <c r="CE7" s="458">
        <v>1138.0999999999999</v>
      </c>
      <c r="CF7" s="458">
        <v>1212</v>
      </c>
      <c r="CG7" s="458">
        <v>1270.2</v>
      </c>
      <c r="CH7" s="458">
        <v>1390.3</v>
      </c>
      <c r="CI7" s="465">
        <f t="shared" ref="CI7:CN7" si="1">CI10+CI13</f>
        <v>5010.6000000000004</v>
      </c>
      <c r="CJ7" s="458">
        <v>1460.5</v>
      </c>
      <c r="CK7" s="466">
        <f t="shared" si="1"/>
        <v>1542.8197303702364</v>
      </c>
      <c r="CL7" s="466">
        <f t="shared" si="1"/>
        <v>1616.0801984676773</v>
      </c>
      <c r="CM7" s="466">
        <f t="shared" si="1"/>
        <v>1695.1267961901183</v>
      </c>
      <c r="CN7" s="467">
        <f t="shared" si="1"/>
        <v>6314.5267250280322</v>
      </c>
      <c r="CO7" s="466">
        <f t="shared" ref="CO7:CX7" si="2">CO10+CO13</f>
        <v>1780.2478731327767</v>
      </c>
      <c r="CP7" s="466">
        <f t="shared" si="2"/>
        <v>1863.1513741693968</v>
      </c>
      <c r="CQ7" s="466">
        <f t="shared" si="2"/>
        <v>1951.4152754729039</v>
      </c>
      <c r="CR7" s="466">
        <f t="shared" si="2"/>
        <v>2041.1248127595043</v>
      </c>
      <c r="CS7" s="467">
        <f t="shared" si="2"/>
        <v>7635.9393355345819</v>
      </c>
      <c r="CT7" s="466">
        <f t="shared" si="2"/>
        <v>2124.5546660468226</v>
      </c>
      <c r="CU7" s="466">
        <f t="shared" si="2"/>
        <v>2204.3020545973868</v>
      </c>
      <c r="CV7" s="466">
        <f t="shared" si="2"/>
        <v>2290.5409341615232</v>
      </c>
      <c r="CW7" s="466">
        <f t="shared" si="2"/>
        <v>2378.5334523959923</v>
      </c>
      <c r="CX7" s="467">
        <f t="shared" si="2"/>
        <v>8997.9311072017244</v>
      </c>
      <c r="CY7" s="1113">
        <f>(CN7/BY7)^(1/3)-1</f>
        <v>0.26827282196492552</v>
      </c>
      <c r="DA7" s="126"/>
      <c r="DB7" s="460"/>
      <c r="DC7" s="460"/>
    </row>
    <row r="8" spans="1:107" ht="11.25" customHeight="1">
      <c r="A8" s="1847" t="s">
        <v>219</v>
      </c>
      <c r="B8" s="652"/>
      <c r="C8" s="1280"/>
      <c r="D8" s="653"/>
      <c r="E8" s="653"/>
      <c r="F8" s="1281"/>
      <c r="G8" s="870"/>
      <c r="H8" s="1280"/>
      <c r="I8" s="653"/>
      <c r="J8" s="653"/>
      <c r="K8" s="1281"/>
      <c r="L8" s="1280"/>
      <c r="M8" s="1280"/>
      <c r="N8" s="653"/>
      <c r="O8" s="653"/>
      <c r="P8" s="1281"/>
      <c r="Q8" s="870"/>
      <c r="R8" s="653"/>
      <c r="S8" s="653"/>
      <c r="T8" s="653"/>
      <c r="U8" s="653"/>
      <c r="V8" s="870"/>
      <c r="W8" s="653"/>
      <c r="X8" s="653"/>
      <c r="Y8" s="653"/>
      <c r="Z8" s="653"/>
      <c r="AA8" s="870"/>
      <c r="AB8" s="653"/>
      <c r="AC8" s="653"/>
      <c r="AD8" s="653"/>
      <c r="AE8" s="653"/>
      <c r="AF8" s="870"/>
      <c r="AG8" s="1282"/>
      <c r="AH8" s="1282"/>
      <c r="AI8" s="1282"/>
      <c r="AJ8" s="1282"/>
      <c r="AK8" s="870"/>
      <c r="AL8" s="1282"/>
      <c r="AM8" s="1282"/>
      <c r="AN8" s="1282"/>
      <c r="AO8" s="1282"/>
      <c r="AP8" s="870"/>
      <c r="AQ8" s="507"/>
      <c r="AR8" s="507"/>
      <c r="AS8" s="507"/>
      <c r="AT8" s="507"/>
      <c r="AU8" s="1137"/>
      <c r="AV8" s="507">
        <f t="shared" ref="AV8:BT8" si="3">AV7/AQ7-1</f>
        <v>-2.8637413394919209E-2</v>
      </c>
      <c r="AW8" s="507">
        <f t="shared" si="3"/>
        <v>0.26035296173335665</v>
      </c>
      <c r="AX8" s="507">
        <f t="shared" si="3"/>
        <v>0.29913929386966465</v>
      </c>
      <c r="AY8" s="507">
        <f t="shared" si="3"/>
        <v>0.25324784882739992</v>
      </c>
      <c r="AZ8" s="1266">
        <f t="shared" si="3"/>
        <v>0.18910982464971871</v>
      </c>
      <c r="BA8" s="507">
        <f t="shared" si="3"/>
        <v>0.20019020446980518</v>
      </c>
      <c r="BB8" s="507">
        <f t="shared" si="3"/>
        <v>3.868016082074055E-2</v>
      </c>
      <c r="BC8" s="507">
        <f t="shared" si="3"/>
        <v>2.9745808545158514E-3</v>
      </c>
      <c r="BD8" s="507">
        <f t="shared" si="3"/>
        <v>0.10662358642972536</v>
      </c>
      <c r="BE8" s="1266">
        <f t="shared" si="3"/>
        <v>8.3115783532068166E-2</v>
      </c>
      <c r="BF8" s="469">
        <f t="shared" si="3"/>
        <v>-4.331748547279457E-2</v>
      </c>
      <c r="BG8" s="507">
        <f t="shared" si="3"/>
        <v>8.7159636946075647E-2</v>
      </c>
      <c r="BH8" s="507">
        <f t="shared" si="3"/>
        <v>2.7905095713130379E-2</v>
      </c>
      <c r="BI8" s="507">
        <f t="shared" si="3"/>
        <v>-2.396593673965941E-2</v>
      </c>
      <c r="BJ8" s="1266">
        <f t="shared" si="3"/>
        <v>1.0911341280698261E-2</v>
      </c>
      <c r="BK8" s="469">
        <f t="shared" si="3"/>
        <v>-4.9696300386526837E-2</v>
      </c>
      <c r="BL8" s="507">
        <f t="shared" si="3"/>
        <v>-0.17740945365254757</v>
      </c>
      <c r="BM8" s="507">
        <f t="shared" si="3"/>
        <v>-0.16498360655737698</v>
      </c>
      <c r="BN8" s="507">
        <f t="shared" si="3"/>
        <v>-0.21376043873862649</v>
      </c>
      <c r="BO8" s="1266">
        <f t="shared" si="3"/>
        <v>-0.15394529110416588</v>
      </c>
      <c r="BP8" s="507">
        <f>BP7/BK7-1</f>
        <v>-6.8710052295177126E-2</v>
      </c>
      <c r="BQ8" s="507">
        <f t="shared" si="3"/>
        <v>3.2238805970149276E-2</v>
      </c>
      <c r="BR8" s="507">
        <f>BR7/BM7-1</f>
        <v>-2.4030155489241478E-2</v>
      </c>
      <c r="BS8" s="507">
        <f>BS7/BN7-1</f>
        <v>2.8852251109702021E-2</v>
      </c>
      <c r="BT8" s="1266">
        <f t="shared" si="3"/>
        <v>-8.6827373471952685E-3</v>
      </c>
      <c r="BU8" s="507">
        <f t="shared" ref="BU8:CH8" si="4">BU7/BP7-1</f>
        <v>9.6240836063016477E-2</v>
      </c>
      <c r="BV8" s="507">
        <f>BV7/BQ7-1</f>
        <v>8.0827067669172914E-2</v>
      </c>
      <c r="BW8" s="507">
        <f>BW7/BR7-1</f>
        <v>0.23865465078854209</v>
      </c>
      <c r="BX8" s="507">
        <f>BX7/BS7-1</f>
        <v>0.34869029275808927</v>
      </c>
      <c r="BY8" s="1266">
        <f t="shared" si="4"/>
        <v>0.18908224808881724</v>
      </c>
      <c r="BZ8" s="507">
        <f t="shared" si="4"/>
        <v>0.32569721115537864</v>
      </c>
      <c r="CA8" s="507">
        <f>CA7/BV7-1</f>
        <v>0.2616722408026757</v>
      </c>
      <c r="CB8" s="507">
        <f t="shared" si="4"/>
        <v>0.28621540860075356</v>
      </c>
      <c r="CC8" s="507">
        <f t="shared" si="4"/>
        <v>0.22952130698046402</v>
      </c>
      <c r="CD8" s="1266">
        <f t="shared" si="4"/>
        <v>0.27322068943236522</v>
      </c>
      <c r="CE8" s="507">
        <f t="shared" si="4"/>
        <v>0.22153053558012226</v>
      </c>
      <c r="CF8" s="469">
        <f t="shared" si="4"/>
        <v>0.28512352878803937</v>
      </c>
      <c r="CG8" s="469">
        <f t="shared" si="4"/>
        <v>0.28303030303030297</v>
      </c>
      <c r="CH8" s="469">
        <f t="shared" si="4"/>
        <v>0.29186024902434493</v>
      </c>
      <c r="CI8" s="472">
        <f t="shared" ref="CI8:CN8" si="5">CI7/CD7-1</f>
        <v>0.2714031971580817</v>
      </c>
      <c r="CJ8" s="507">
        <f t="shared" si="5"/>
        <v>0.28327914945962585</v>
      </c>
      <c r="CK8" s="475">
        <f t="shared" si="5"/>
        <v>0.27295357291273636</v>
      </c>
      <c r="CL8" s="475">
        <f t="shared" si="5"/>
        <v>0.27230373048943246</v>
      </c>
      <c r="CM8" s="475">
        <f t="shared" si="5"/>
        <v>0.2192525326836785</v>
      </c>
      <c r="CN8" s="476">
        <f t="shared" si="5"/>
        <v>0.26023364966830953</v>
      </c>
      <c r="CO8" s="475">
        <f t="shared" ref="CO8:CX8" si="6">CO7/CJ7-1</f>
        <v>0.21893041638670097</v>
      </c>
      <c r="CP8" s="475">
        <f t="shared" si="6"/>
        <v>0.20762739644397032</v>
      </c>
      <c r="CQ8" s="475">
        <f t="shared" si="6"/>
        <v>0.20749903211683551</v>
      </c>
      <c r="CR8" s="475">
        <f t="shared" si="6"/>
        <v>0.20411335443875567</v>
      </c>
      <c r="CS8" s="476">
        <f t="shared" si="6"/>
        <v>0.2092655028711885</v>
      </c>
      <c r="CT8" s="475">
        <f t="shared" si="6"/>
        <v>0.19340385016618766</v>
      </c>
      <c r="CU8" s="475">
        <f t="shared" si="6"/>
        <v>0.18310411336281085</v>
      </c>
      <c r="CV8" s="475">
        <f t="shared" si="6"/>
        <v>0.17378446451201213</v>
      </c>
      <c r="CW8" s="475">
        <f t="shared" si="6"/>
        <v>0.16530524616979569</v>
      </c>
      <c r="CX8" s="476">
        <f t="shared" si="6"/>
        <v>0.17836597592243586</v>
      </c>
      <c r="CY8" s="475"/>
      <c r="DA8" s="871"/>
      <c r="DB8" s="653"/>
      <c r="DC8" s="653"/>
    </row>
    <row r="9" spans="1:107" ht="11.25" customHeight="1">
      <c r="A9" s="1847" t="s">
        <v>220</v>
      </c>
      <c r="B9" s="652"/>
      <c r="C9" s="1280"/>
      <c r="D9" s="653"/>
      <c r="E9" s="653"/>
      <c r="F9" s="1281"/>
      <c r="G9" s="870"/>
      <c r="H9" s="1280"/>
      <c r="I9" s="653"/>
      <c r="J9" s="653"/>
      <c r="K9" s="1281"/>
      <c r="L9" s="1280"/>
      <c r="M9" s="1280"/>
      <c r="N9" s="653"/>
      <c r="O9" s="653"/>
      <c r="P9" s="1281"/>
      <c r="Q9" s="870"/>
      <c r="R9" s="653"/>
      <c r="S9" s="653"/>
      <c r="T9" s="653"/>
      <c r="U9" s="653"/>
      <c r="V9" s="870"/>
      <c r="W9" s="653"/>
      <c r="X9" s="653"/>
      <c r="Y9" s="653"/>
      <c r="Z9" s="653"/>
      <c r="AA9" s="870"/>
      <c r="AB9" s="653"/>
      <c r="AC9" s="653"/>
      <c r="AD9" s="653"/>
      <c r="AE9" s="653"/>
      <c r="AF9" s="870"/>
      <c r="AG9" s="1282"/>
      <c r="AH9" s="1282"/>
      <c r="AI9" s="1282"/>
      <c r="AJ9" s="1282"/>
      <c r="AK9" s="870"/>
      <c r="AL9" s="1282"/>
      <c r="AM9" s="1282"/>
      <c r="AN9" s="1282"/>
      <c r="AO9" s="1282"/>
      <c r="AP9" s="870"/>
      <c r="AQ9" s="507"/>
      <c r="AR9" s="507"/>
      <c r="AS9" s="507"/>
      <c r="AT9" s="507"/>
      <c r="AU9" s="1137"/>
      <c r="AV9" s="507">
        <f>AV7/AT7-1</f>
        <v>6.4450818289184975E-2</v>
      </c>
      <c r="AW9" s="507">
        <f>AW7/AV7-1</f>
        <v>0.14328736725313052</v>
      </c>
      <c r="AX9" s="507">
        <f>AX7/AW7-1</f>
        <v>2.5370858172743649E-2</v>
      </c>
      <c r="AY9" s="507">
        <f>AY7/AX7-1</f>
        <v>4.3266630611140666E-3</v>
      </c>
      <c r="AZ9" s="1266"/>
      <c r="BA9" s="507">
        <f>BA7/AY7-1</f>
        <v>1.938610662358653E-2</v>
      </c>
      <c r="BB9" s="507">
        <f>BB7/BA7-1</f>
        <v>-1.0565240359218131E-2</v>
      </c>
      <c r="BC9" s="469">
        <f>BC7/BB7-1</f>
        <v>-9.8772023491725536E-3</v>
      </c>
      <c r="BD9" s="507">
        <f>BD7/BC7-1</f>
        <v>0.1081153949851712</v>
      </c>
      <c r="BE9" s="1266"/>
      <c r="BF9" s="469">
        <f>BF7/BD7-1</f>
        <v>-0.11873479318734792</v>
      </c>
      <c r="BG9" s="507">
        <f>BG7/BF7-1</f>
        <v>0.12437879624516834</v>
      </c>
      <c r="BH9" s="507">
        <f>BH7/BG7-1</f>
        <v>-6.3842848373235062E-2</v>
      </c>
      <c r="BI9" s="507">
        <f>BI7/BH7-1</f>
        <v>5.2196721311475347E-2</v>
      </c>
      <c r="BJ9" s="1266"/>
      <c r="BK9" s="469">
        <f>BK7/BI7-1</f>
        <v>-0.14196684531970583</v>
      </c>
      <c r="BL9" s="507">
        <f>BL7/BK7-1</f>
        <v>-2.6728646135967482E-2</v>
      </c>
      <c r="BM9" s="507">
        <f>BM7/BL7-1</f>
        <v>-4.9701492537313374E-2</v>
      </c>
      <c r="BN9" s="507">
        <f>BN7/BM7-1</f>
        <v>-9.2665305481389737E-3</v>
      </c>
      <c r="BO9" s="1266"/>
      <c r="BP9" s="507">
        <f>BP7/BN7-1</f>
        <v>1.6328471781864362E-2</v>
      </c>
      <c r="BQ9" s="507">
        <f>BQ7/BP7-1</f>
        <v>7.8770862579940815E-2</v>
      </c>
      <c r="BR9" s="507">
        <f>BR7/BQ7-1</f>
        <v>-0.10150375939849632</v>
      </c>
      <c r="BS9" s="507">
        <f>BS7/BR7-1</f>
        <v>4.4415835210814381E-2</v>
      </c>
      <c r="BT9" s="1266"/>
      <c r="BU9" s="507">
        <f>BU7/BS7-1</f>
        <v>8.289676425269632E-2</v>
      </c>
      <c r="BV9" s="507">
        <f>BV7/BU7-1</f>
        <v>6.3602731929425227E-2</v>
      </c>
      <c r="BW9" s="507">
        <f>BW7/BV7-1</f>
        <v>2.9698996655518561E-2</v>
      </c>
      <c r="BX9" s="507">
        <f>BX7/BW7-1</f>
        <v>0.13719631025074697</v>
      </c>
      <c r="BY9" s="1266"/>
      <c r="BZ9" s="507">
        <f>BZ7/BX7-1</f>
        <v>6.4435050839712238E-2</v>
      </c>
      <c r="CA9" s="507">
        <f>CA7/BZ7-1</f>
        <v>1.2235698186111366E-2</v>
      </c>
      <c r="CB9" s="507">
        <f>CB7/CA7-1</f>
        <v>4.9729615099141089E-2</v>
      </c>
      <c r="CC9" s="507">
        <f>CC7/CB7-1</f>
        <v>8.7070707070707076E-2</v>
      </c>
      <c r="CD9" s="508"/>
      <c r="CE9" s="507">
        <f>CE7/CC7-1</f>
        <v>5.751719011336176E-2</v>
      </c>
      <c r="CF9" s="469">
        <f>CF7/CE7-1</f>
        <v>6.4932782708022163E-2</v>
      </c>
      <c r="CG9" s="469">
        <f>CG7/CF7-1</f>
        <v>4.8019801980198062E-2</v>
      </c>
      <c r="CH9" s="469">
        <f>CH7/CG7-1</f>
        <v>9.4552039048968695E-2</v>
      </c>
      <c r="CI9" s="508"/>
      <c r="CJ9" s="507">
        <f>CJ7/CH7-1</f>
        <v>5.0492699417391984E-2</v>
      </c>
      <c r="CK9" s="475">
        <f>CK7/CJ7-1</f>
        <v>5.6364074200778047E-2</v>
      </c>
      <c r="CL9" s="475">
        <f>CL7/CK7-1</f>
        <v>4.7484788180574E-2</v>
      </c>
      <c r="CM9" s="475">
        <f>CM7/CL7-1</f>
        <v>4.8912546417801961E-2</v>
      </c>
      <c r="CN9" s="1267"/>
      <c r="CO9" s="475">
        <f>CO7/CM7-1</f>
        <v>5.0215168053488579E-2</v>
      </c>
      <c r="CP9" s="475">
        <f>CP7/CO7-1</f>
        <v>4.6568515703788727E-2</v>
      </c>
      <c r="CQ9" s="475">
        <f>CQ7/CP7-1</f>
        <v>4.7373446155364318E-2</v>
      </c>
      <c r="CR9" s="475">
        <f>CR7/CQ7-1</f>
        <v>4.5971525596908203E-2</v>
      </c>
      <c r="CS9" s="1267"/>
      <c r="CT9" s="475">
        <f>CT7/CR7-1</f>
        <v>4.0874449600426521E-2</v>
      </c>
      <c r="CU9" s="475">
        <f>CU7/CT7-1</f>
        <v>3.7536049236591706E-2</v>
      </c>
      <c r="CV9" s="475">
        <f>CV7/CU7-1</f>
        <v>3.9122986518237202E-2</v>
      </c>
      <c r="CW9" s="475">
        <f>CW7/CV7-1</f>
        <v>3.8415606078954223E-2</v>
      </c>
      <c r="CX9" s="1267"/>
      <c r="CY9" s="1283"/>
      <c r="DA9" s="871"/>
      <c r="DB9" s="653"/>
      <c r="DC9" s="653"/>
    </row>
    <row r="10" spans="1:107" ht="11.25" customHeight="1">
      <c r="A10" s="1848" t="s">
        <v>500</v>
      </c>
      <c r="B10" s="458"/>
      <c r="C10" s="459"/>
      <c r="D10" s="460"/>
      <c r="E10" s="460"/>
      <c r="F10" s="461"/>
      <c r="G10" s="462"/>
      <c r="H10" s="459"/>
      <c r="I10" s="460"/>
      <c r="J10" s="460"/>
      <c r="K10" s="461"/>
      <c r="L10" s="459"/>
      <c r="M10" s="459"/>
      <c r="N10" s="460"/>
      <c r="O10" s="460"/>
      <c r="P10" s="461"/>
      <c r="Q10" s="462"/>
      <c r="R10" s="460"/>
      <c r="S10" s="460"/>
      <c r="T10" s="460"/>
      <c r="U10" s="460"/>
      <c r="V10" s="463"/>
      <c r="W10" s="464"/>
      <c r="X10" s="464"/>
      <c r="Y10" s="464"/>
      <c r="Z10" s="458"/>
      <c r="AA10" s="465"/>
      <c r="AB10" s="464"/>
      <c r="AC10" s="464"/>
      <c r="AD10" s="464"/>
      <c r="AE10" s="464"/>
      <c r="AF10" s="465"/>
      <c r="AG10" s="458"/>
      <c r="AH10" s="458"/>
      <c r="AI10" s="458"/>
      <c r="AJ10" s="458"/>
      <c r="AK10" s="465"/>
      <c r="AL10" s="458"/>
      <c r="AM10" s="458"/>
      <c r="AN10" s="458"/>
      <c r="AO10" s="458"/>
      <c r="AP10" s="465"/>
      <c r="AQ10" s="458"/>
      <c r="AR10" s="458"/>
      <c r="AS10" s="458"/>
      <c r="AT10" s="458"/>
      <c r="AU10" s="465"/>
      <c r="AV10" s="458">
        <v>167.6</v>
      </c>
      <c r="AW10" s="458">
        <v>158.6</v>
      </c>
      <c r="AX10" s="458">
        <v>165</v>
      </c>
      <c r="AY10" s="458">
        <v>172.1</v>
      </c>
      <c r="AZ10" s="465">
        <f>SUM(AV10:AY10)</f>
        <v>663.3</v>
      </c>
      <c r="BA10" s="458">
        <v>184.6</v>
      </c>
      <c r="BB10" s="458">
        <v>184.3</v>
      </c>
      <c r="BC10" s="458">
        <v>176.9</v>
      </c>
      <c r="BD10" s="458">
        <v>203.7</v>
      </c>
      <c r="BE10" s="465">
        <f>SUM(BA10:BD10)</f>
        <v>749.5</v>
      </c>
      <c r="BF10" s="458">
        <v>183.3</v>
      </c>
      <c r="BG10" s="458">
        <v>206.7</v>
      </c>
      <c r="BH10" s="458">
        <v>185.5</v>
      </c>
      <c r="BI10" s="458">
        <v>210.2</v>
      </c>
      <c r="BJ10" s="465">
        <f>SUM(BF10:BI10)</f>
        <v>785.7</v>
      </c>
      <c r="BK10" s="458">
        <v>188.2</v>
      </c>
      <c r="BL10" s="458">
        <v>199.3</v>
      </c>
      <c r="BM10" s="458">
        <v>182.7</v>
      </c>
      <c r="BN10" s="458">
        <v>198.4</v>
      </c>
      <c r="BO10" s="465">
        <f>SUM(BK10:BN10)</f>
        <v>768.6</v>
      </c>
      <c r="BP10" s="458">
        <v>194.1</v>
      </c>
      <c r="BQ10" s="458">
        <v>196.3</v>
      </c>
      <c r="BR10" s="458">
        <v>208.1</v>
      </c>
      <c r="BS10" s="458">
        <v>197.1</v>
      </c>
      <c r="BT10" s="465">
        <f>SUM(BP10:BS10)</f>
        <v>795.6</v>
      </c>
      <c r="BU10" s="458">
        <v>193.4</v>
      </c>
      <c r="BV10" s="458">
        <v>196.6</v>
      </c>
      <c r="BW10" s="458">
        <v>193.6</v>
      </c>
      <c r="BX10" s="458">
        <v>208.7</v>
      </c>
      <c r="BY10" s="465">
        <f>SUM(BU10:BX10)</f>
        <v>792.3</v>
      </c>
      <c r="BZ10" s="458">
        <v>198.8</v>
      </c>
      <c r="CA10" s="458">
        <v>188.2</v>
      </c>
      <c r="CB10" s="458">
        <v>187.3</v>
      </c>
      <c r="CC10" s="458">
        <v>190.6</v>
      </c>
      <c r="CD10" s="465">
        <f>SUM(BZ10:CC10)</f>
        <v>764.9</v>
      </c>
      <c r="CE10" s="458">
        <v>195.9</v>
      </c>
      <c r="CF10" s="458">
        <v>199.9</v>
      </c>
      <c r="CG10" s="458">
        <v>206.3</v>
      </c>
      <c r="CH10" s="458">
        <v>234.6</v>
      </c>
      <c r="CI10" s="465">
        <f>SUM(CE10:CH10)</f>
        <v>836.7</v>
      </c>
      <c r="CJ10" s="458">
        <v>231</v>
      </c>
      <c r="CK10" s="466">
        <f>CJ10*(1+CK12)</f>
        <v>234.46499999999997</v>
      </c>
      <c r="CL10" s="466">
        <f>CK10*(1+CL12)</f>
        <v>237.98197499999995</v>
      </c>
      <c r="CM10" s="466">
        <f>CL10*(1+CM12)</f>
        <v>241.55170462499993</v>
      </c>
      <c r="CN10" s="467">
        <f>SUM(CJ10:CM10)</f>
        <v>944.99867962499991</v>
      </c>
      <c r="CO10" s="466">
        <f>CM10*(1+CO12)</f>
        <v>248.79825576374992</v>
      </c>
      <c r="CP10" s="466">
        <f>CO10*(1+CP12)</f>
        <v>256.26220343666245</v>
      </c>
      <c r="CQ10" s="466">
        <f>CP10*(1+CQ12)</f>
        <v>263.95006953976235</v>
      </c>
      <c r="CR10" s="466">
        <f>CQ10*(1+CR12)</f>
        <v>271.86857162595521</v>
      </c>
      <c r="CS10" s="467">
        <f>SUM(CO10:CR10)</f>
        <v>1040.8791003661299</v>
      </c>
      <c r="CT10" s="466">
        <f>CR10*(1+CT12)</f>
        <v>277.30594305847433</v>
      </c>
      <c r="CU10" s="466">
        <f>CT10*(1+CU12)</f>
        <v>282.8520619196438</v>
      </c>
      <c r="CV10" s="466">
        <f>CU10*(1+CV12)</f>
        <v>288.50910315803668</v>
      </c>
      <c r="CW10" s="466">
        <f>CV10*(1+CW12)</f>
        <v>294.27928522119743</v>
      </c>
      <c r="CX10" s="467">
        <f>SUM(CT10:CW10)</f>
        <v>1142.9463933573522</v>
      </c>
      <c r="CY10" s="1113"/>
      <c r="DA10" s="1334"/>
      <c r="DB10" s="460"/>
      <c r="DC10" s="460"/>
    </row>
    <row r="11" spans="1:107" ht="11.25" customHeight="1">
      <c r="A11" s="1913" t="s">
        <v>219</v>
      </c>
      <c r="B11" s="652"/>
      <c r="C11" s="1280"/>
      <c r="D11" s="653"/>
      <c r="E11" s="653"/>
      <c r="F11" s="1281"/>
      <c r="G11" s="870"/>
      <c r="H11" s="653"/>
      <c r="I11" s="653"/>
      <c r="J11" s="653"/>
      <c r="K11" s="1281"/>
      <c r="L11" s="1280"/>
      <c r="M11" s="1280"/>
      <c r="N11" s="653"/>
      <c r="O11" s="653"/>
      <c r="P11" s="1281"/>
      <c r="Q11" s="870"/>
      <c r="R11" s="653"/>
      <c r="S11" s="653"/>
      <c r="T11" s="653"/>
      <c r="U11" s="653"/>
      <c r="V11" s="870"/>
      <c r="W11" s="653"/>
      <c r="X11" s="653"/>
      <c r="Y11" s="653"/>
      <c r="Z11" s="653"/>
      <c r="AA11" s="870"/>
      <c r="AB11" s="653"/>
      <c r="AC11" s="653"/>
      <c r="AD11" s="653"/>
      <c r="AE11" s="653"/>
      <c r="AF11" s="870"/>
      <c r="AG11" s="1282"/>
      <c r="AH11" s="1282"/>
      <c r="AI11" s="1282"/>
      <c r="AJ11" s="1282"/>
      <c r="AK11" s="870"/>
      <c r="AL11" s="1282"/>
      <c r="AM11" s="1282"/>
      <c r="AN11" s="1282"/>
      <c r="AO11" s="1282"/>
      <c r="AP11" s="870"/>
      <c r="AQ11" s="507"/>
      <c r="AR11" s="507"/>
      <c r="AS11" s="507"/>
      <c r="AT11" s="507"/>
      <c r="AU11" s="1137"/>
      <c r="AV11" s="507"/>
      <c r="AW11" s="507"/>
      <c r="AX11" s="507"/>
      <c r="AY11" s="507"/>
      <c r="AZ11" s="1266"/>
      <c r="BA11" s="507">
        <f t="shared" ref="BA11:BX11" si="7">BA10/AV10-1</f>
        <v>0.10143198090692129</v>
      </c>
      <c r="BB11" s="507">
        <f t="shared" si="7"/>
        <v>0.16204287515762927</v>
      </c>
      <c r="BC11" s="507">
        <f t="shared" si="7"/>
        <v>7.2121212121212253E-2</v>
      </c>
      <c r="BD11" s="507">
        <f t="shared" si="7"/>
        <v>0.18361417780360245</v>
      </c>
      <c r="BE11" s="1266">
        <f t="shared" si="7"/>
        <v>0.12995627921001063</v>
      </c>
      <c r="BF11" s="469">
        <f t="shared" si="7"/>
        <v>-7.0422535211266402E-3</v>
      </c>
      <c r="BG11" s="507">
        <f t="shared" si="7"/>
        <v>0.12154096581660334</v>
      </c>
      <c r="BH11" s="507">
        <f t="shared" si="7"/>
        <v>4.861503674392309E-2</v>
      </c>
      <c r="BI11" s="507">
        <f t="shared" si="7"/>
        <v>3.1909671084928926E-2</v>
      </c>
      <c r="BJ11" s="1266">
        <f t="shared" si="7"/>
        <v>4.8298865910607169E-2</v>
      </c>
      <c r="BK11" s="469">
        <f t="shared" si="7"/>
        <v>2.67321331151118E-2</v>
      </c>
      <c r="BL11" s="507">
        <f t="shared" si="7"/>
        <v>-3.5800677310111162E-2</v>
      </c>
      <c r="BM11" s="507">
        <f t="shared" si="7"/>
        <v>-1.5094339622641617E-2</v>
      </c>
      <c r="BN11" s="507">
        <f t="shared" si="7"/>
        <v>-5.6137012369172123E-2</v>
      </c>
      <c r="BO11" s="1266">
        <f t="shared" si="7"/>
        <v>-2.1764032073310458E-2</v>
      </c>
      <c r="BP11" s="507">
        <f t="shared" si="7"/>
        <v>3.1349628055260315E-2</v>
      </c>
      <c r="BQ11" s="507">
        <f t="shared" si="7"/>
        <v>-1.5052684395383875E-2</v>
      </c>
      <c r="BR11" s="507">
        <f t="shared" si="7"/>
        <v>0.13902572523262191</v>
      </c>
      <c r="BS11" s="507">
        <f t="shared" si="7"/>
        <v>-6.5524193548387455E-3</v>
      </c>
      <c r="BT11" s="1266">
        <f t="shared" si="7"/>
        <v>3.5128805620608938E-2</v>
      </c>
      <c r="BU11" s="507">
        <f t="shared" ref="BU11:CH11" si="8">BU10/BP10-1</f>
        <v>-3.6063884595568529E-3</v>
      </c>
      <c r="BV11" s="507">
        <f t="shared" si="7"/>
        <v>1.5282730514518672E-3</v>
      </c>
      <c r="BW11" s="507">
        <f t="shared" si="7"/>
        <v>-6.9678039404132641E-2</v>
      </c>
      <c r="BX11" s="507">
        <f t="shared" si="7"/>
        <v>5.8853373921867069E-2</v>
      </c>
      <c r="BY11" s="1266">
        <f t="shared" si="8"/>
        <v>-4.1478129713424794E-3</v>
      </c>
      <c r="BZ11" s="507">
        <f t="shared" si="8"/>
        <v>2.792140641158225E-2</v>
      </c>
      <c r="CA11" s="507">
        <f t="shared" si="8"/>
        <v>-4.2726347914547325E-2</v>
      </c>
      <c r="CB11" s="507">
        <f t="shared" si="8"/>
        <v>-3.2541322314049492E-2</v>
      </c>
      <c r="CC11" s="507">
        <f t="shared" si="8"/>
        <v>-8.6727359846669794E-2</v>
      </c>
      <c r="CD11" s="472">
        <f t="shared" si="8"/>
        <v>-3.4582860027767226E-2</v>
      </c>
      <c r="CE11" s="507">
        <f t="shared" si="8"/>
        <v>-1.4587525150905445E-2</v>
      </c>
      <c r="CF11" s="469">
        <f t="shared" si="8"/>
        <v>6.2167906482465618E-2</v>
      </c>
      <c r="CG11" s="469">
        <f t="shared" si="8"/>
        <v>0.1014415376401494</v>
      </c>
      <c r="CH11" s="469">
        <f t="shared" si="8"/>
        <v>0.23084994753410282</v>
      </c>
      <c r="CI11" s="472">
        <f t="shared" ref="CI11:CN11" si="9">CI10/CD10-1</f>
        <v>9.3868479539809258E-2</v>
      </c>
      <c r="CJ11" s="507">
        <f t="shared" si="9"/>
        <v>0.17917304747320051</v>
      </c>
      <c r="CK11" s="475">
        <f t="shared" si="9"/>
        <v>0.17291145572786371</v>
      </c>
      <c r="CL11" s="475">
        <f t="shared" si="9"/>
        <v>0.15357234609791526</v>
      </c>
      <c r="CM11" s="475">
        <f t="shared" si="9"/>
        <v>2.963215952685383E-2</v>
      </c>
      <c r="CN11" s="476">
        <f t="shared" si="9"/>
        <v>0.1294354961455717</v>
      </c>
      <c r="CO11" s="475">
        <f t="shared" ref="CO11:CX11" si="10">CO10/CJ10-1</f>
        <v>7.7048726249999699E-2</v>
      </c>
      <c r="CP11" s="475">
        <f t="shared" si="10"/>
        <v>9.2965702499999914E-2</v>
      </c>
      <c r="CQ11" s="475">
        <f t="shared" si="10"/>
        <v>0.10911790500000018</v>
      </c>
      <c r="CR11" s="475">
        <f t="shared" si="10"/>
        <v>0.12550881000000014</v>
      </c>
      <c r="CS11" s="476">
        <f t="shared" si="10"/>
        <v>0.10146090445245681</v>
      </c>
      <c r="CT11" s="475">
        <f t="shared" si="10"/>
        <v>0.11458154000000031</v>
      </c>
      <c r="CU11" s="475">
        <f t="shared" si="10"/>
        <v>0.10376036000000011</v>
      </c>
      <c r="CV11" s="475">
        <f t="shared" si="10"/>
        <v>9.304424E-2</v>
      </c>
      <c r="CW11" s="475">
        <f t="shared" si="10"/>
        <v>8.2432159999999977E-2</v>
      </c>
      <c r="CX11" s="476">
        <f t="shared" si="10"/>
        <v>9.8058739920246385E-2</v>
      </c>
      <c r="CY11" s="475"/>
      <c r="DA11" s="871"/>
      <c r="DB11" s="653"/>
      <c r="DC11" s="653"/>
    </row>
    <row r="12" spans="1:107" ht="11.25" customHeight="1">
      <c r="A12" s="1913" t="s">
        <v>220</v>
      </c>
      <c r="B12" s="652"/>
      <c r="C12" s="1280"/>
      <c r="D12" s="653"/>
      <c r="E12" s="653"/>
      <c r="F12" s="1281"/>
      <c r="G12" s="870"/>
      <c r="H12" s="653"/>
      <c r="I12" s="653"/>
      <c r="J12" s="653"/>
      <c r="K12" s="1281"/>
      <c r="L12" s="1280"/>
      <c r="M12" s="1280"/>
      <c r="N12" s="653"/>
      <c r="O12" s="653"/>
      <c r="P12" s="1281"/>
      <c r="Q12" s="870"/>
      <c r="R12" s="653"/>
      <c r="S12" s="653"/>
      <c r="T12" s="653"/>
      <c r="U12" s="653"/>
      <c r="V12" s="870"/>
      <c r="W12" s="653"/>
      <c r="X12" s="653"/>
      <c r="Y12" s="653"/>
      <c r="Z12" s="653"/>
      <c r="AA12" s="870"/>
      <c r="AB12" s="653"/>
      <c r="AC12" s="653"/>
      <c r="AD12" s="653"/>
      <c r="AE12" s="653"/>
      <c r="AF12" s="870"/>
      <c r="AG12" s="1282"/>
      <c r="AH12" s="1282"/>
      <c r="AI12" s="1282"/>
      <c r="AJ12" s="1282"/>
      <c r="AK12" s="870"/>
      <c r="AL12" s="1282"/>
      <c r="AM12" s="1282"/>
      <c r="AN12" s="1282"/>
      <c r="AO12" s="1282"/>
      <c r="AP12" s="870"/>
      <c r="AQ12" s="507"/>
      <c r="AR12" s="507"/>
      <c r="AS12" s="507"/>
      <c r="AT12" s="507"/>
      <c r="AU12" s="1137"/>
      <c r="AV12" s="507"/>
      <c r="AW12" s="507">
        <f>AW10/AV10-1</f>
        <v>-5.3699284009546489E-2</v>
      </c>
      <c r="AX12" s="507">
        <f>AX10/AW10-1</f>
        <v>4.035308953341743E-2</v>
      </c>
      <c r="AY12" s="507">
        <f>AY10/AX10-1</f>
        <v>4.3030303030302974E-2</v>
      </c>
      <c r="AZ12" s="1266"/>
      <c r="BA12" s="507">
        <f>BA10/AY10-1</f>
        <v>7.2632190586868095E-2</v>
      </c>
      <c r="BB12" s="507">
        <f>BB10/BA10-1</f>
        <v>-1.6251354279522845E-3</v>
      </c>
      <c r="BC12" s="469">
        <f>BC10/BB10-1</f>
        <v>-4.0151926207270816E-2</v>
      </c>
      <c r="BD12" s="507">
        <f>BD10/BC10-1</f>
        <v>0.15149802148106262</v>
      </c>
      <c r="BE12" s="1266"/>
      <c r="BF12" s="469">
        <f>BF10/BD10-1</f>
        <v>-0.10014727540500723</v>
      </c>
      <c r="BG12" s="507">
        <f>BG10/BF10-1</f>
        <v>0.12765957446808507</v>
      </c>
      <c r="BH12" s="507">
        <f>BH10/BG10-1</f>
        <v>-0.10256410256410253</v>
      </c>
      <c r="BI12" s="507">
        <v>0.04</v>
      </c>
      <c r="BJ12" s="1266"/>
      <c r="BK12" s="469">
        <f>BK10/BI10-1</f>
        <v>-0.1046622264509991</v>
      </c>
      <c r="BL12" s="507">
        <f>BL10/BK10-1</f>
        <v>5.8979808714133997E-2</v>
      </c>
      <c r="BM12" s="507">
        <f>BM10/BL10-1</f>
        <v>-8.329152032112408E-2</v>
      </c>
      <c r="BN12" s="507">
        <f>BN10/BM10-1</f>
        <v>8.5933223864258501E-2</v>
      </c>
      <c r="BO12" s="1266"/>
      <c r="BP12" s="469">
        <f>BP10/BN10-1</f>
        <v>-2.1673387096774244E-2</v>
      </c>
      <c r="BQ12" s="507">
        <f>BQ10/BP10-1</f>
        <v>1.1334363730036046E-2</v>
      </c>
      <c r="BR12" s="507">
        <f>BR10/BQ10-1</f>
        <v>6.0112073357106333E-2</v>
      </c>
      <c r="BS12" s="507">
        <v>0</v>
      </c>
      <c r="BT12" s="1266"/>
      <c r="BU12" s="469">
        <f>BU10/BS10-1</f>
        <v>-1.8772196854388579E-2</v>
      </c>
      <c r="BV12" s="507">
        <f>BV10/BU10-1</f>
        <v>1.6546018614270963E-2</v>
      </c>
      <c r="BW12" s="507">
        <f>BW10/BV10-1</f>
        <v>-1.5259409969481164E-2</v>
      </c>
      <c r="BX12" s="507">
        <f>BX10/BW10-1</f>
        <v>7.7995867768595017E-2</v>
      </c>
      <c r="BY12" s="1266"/>
      <c r="BZ12" s="469">
        <f>BZ10/BX10-1</f>
        <v>-4.7436511739338605E-2</v>
      </c>
      <c r="CA12" s="507">
        <f>CA10/BZ10-1</f>
        <v>-5.3319919517102687E-2</v>
      </c>
      <c r="CB12" s="507">
        <v>6.6000000000000003E-2</v>
      </c>
      <c r="CC12" s="507">
        <v>6.6000000000000003E-2</v>
      </c>
      <c r="CD12" s="465"/>
      <c r="CE12" s="507">
        <f>CE10/CC10-1</f>
        <v>2.7806925498426116E-2</v>
      </c>
      <c r="CF12" s="469">
        <f>CF10/CE10-1</f>
        <v>2.0418580908626804E-2</v>
      </c>
      <c r="CG12" s="469">
        <f>CG10/CF10-1</f>
        <v>3.201600800400195E-2</v>
      </c>
      <c r="CH12" s="469">
        <f>CH10/CG10-1</f>
        <v>0.13717886572952009</v>
      </c>
      <c r="CI12" s="508"/>
      <c r="CJ12" s="507">
        <v>2.5000000000000001E-2</v>
      </c>
      <c r="CK12" s="1623">
        <v>1.4999999999999999E-2</v>
      </c>
      <c r="CL12" s="1623">
        <f>CK12</f>
        <v>1.4999999999999999E-2</v>
      </c>
      <c r="CM12" s="1623">
        <f>CL12</f>
        <v>1.4999999999999999E-2</v>
      </c>
      <c r="CN12" s="1267"/>
      <c r="CO12" s="1623">
        <v>0.03</v>
      </c>
      <c r="CP12" s="1623">
        <f>CO12</f>
        <v>0.03</v>
      </c>
      <c r="CQ12" s="1623">
        <f>CP12</f>
        <v>0.03</v>
      </c>
      <c r="CR12" s="1623">
        <f>CQ12</f>
        <v>0.03</v>
      </c>
      <c r="CS12" s="1267"/>
      <c r="CT12" s="1623">
        <v>0.02</v>
      </c>
      <c r="CU12" s="1623">
        <f>CT12</f>
        <v>0.02</v>
      </c>
      <c r="CV12" s="1623">
        <f>CU12</f>
        <v>0.02</v>
      </c>
      <c r="CW12" s="1623">
        <f>CV12</f>
        <v>0.02</v>
      </c>
      <c r="CX12" s="1267"/>
      <c r="CY12" s="1283"/>
      <c r="DA12" s="871"/>
      <c r="DB12" s="653"/>
      <c r="DC12" s="653"/>
    </row>
    <row r="13" spans="1:107" ht="11.25" customHeight="1">
      <c r="A13" s="1914" t="s">
        <v>22</v>
      </c>
      <c r="B13" s="458"/>
      <c r="C13" s="459"/>
      <c r="D13" s="460"/>
      <c r="E13" s="460"/>
      <c r="F13" s="461"/>
      <c r="G13" s="462"/>
      <c r="H13" s="460"/>
      <c r="I13" s="460"/>
      <c r="J13" s="460"/>
      <c r="K13" s="461"/>
      <c r="L13" s="459"/>
      <c r="M13" s="459"/>
      <c r="N13" s="460"/>
      <c r="O13" s="460"/>
      <c r="P13" s="461"/>
      <c r="Q13" s="462"/>
      <c r="R13" s="460"/>
      <c r="S13" s="460"/>
      <c r="T13" s="460"/>
      <c r="U13" s="460"/>
      <c r="V13" s="463"/>
      <c r="W13" s="464"/>
      <c r="X13" s="464"/>
      <c r="Y13" s="464"/>
      <c r="Z13" s="458"/>
      <c r="AA13" s="465"/>
      <c r="AB13" s="464"/>
      <c r="AC13" s="464"/>
      <c r="AD13" s="464"/>
      <c r="AE13" s="464"/>
      <c r="AF13" s="465"/>
      <c r="AG13" s="458"/>
      <c r="AH13" s="458"/>
      <c r="AI13" s="458"/>
      <c r="AJ13" s="458"/>
      <c r="AK13" s="465"/>
      <c r="AL13" s="458"/>
      <c r="AM13" s="458"/>
      <c r="AN13" s="458"/>
      <c r="AO13" s="458"/>
      <c r="AP13" s="465"/>
      <c r="AQ13" s="458"/>
      <c r="AR13" s="458"/>
      <c r="AS13" s="458"/>
      <c r="AT13" s="458"/>
      <c r="AU13" s="465"/>
      <c r="AV13" s="458">
        <f>AV7-AV10</f>
        <v>463.29999999999995</v>
      </c>
      <c r="AW13" s="458">
        <f>AW7-AW10</f>
        <v>562.69999999999993</v>
      </c>
      <c r="AX13" s="458">
        <f>AX7-AX10</f>
        <v>574.6</v>
      </c>
      <c r="AY13" s="458">
        <f>AY7-AY10</f>
        <v>570.69999999999993</v>
      </c>
      <c r="AZ13" s="465">
        <f>SUM(AV13:AY13)</f>
        <v>2171.2999999999997</v>
      </c>
      <c r="BA13" s="458">
        <f>BA7-BA10</f>
        <v>572.6</v>
      </c>
      <c r="BB13" s="458">
        <f>BB7-BB10</f>
        <v>564.90000000000009</v>
      </c>
      <c r="BC13" s="458">
        <f>BC7-BC10</f>
        <v>564.9</v>
      </c>
      <c r="BD13" s="458">
        <f>BD7-BD10</f>
        <v>618.29999999999995</v>
      </c>
      <c r="BE13" s="465">
        <f>SUM(BA13:BD13)</f>
        <v>2320.6999999999998</v>
      </c>
      <c r="BF13" s="458">
        <f>BF7-BF10</f>
        <v>541.09999999999991</v>
      </c>
      <c r="BG13" s="458">
        <f>BG7-BG10</f>
        <v>607.79999999999995</v>
      </c>
      <c r="BH13" s="458">
        <f>BH7-BH10</f>
        <v>577</v>
      </c>
      <c r="BI13" s="458">
        <f>BI7-BI10</f>
        <v>592.09999999999991</v>
      </c>
      <c r="BJ13" s="465">
        <f>SUM(BF13:BI13)</f>
        <v>2318</v>
      </c>
      <c r="BK13" s="458">
        <f>BK7-BK10</f>
        <v>500.2</v>
      </c>
      <c r="BL13" s="458">
        <f>BL7-BL10</f>
        <v>470.7</v>
      </c>
      <c r="BM13" s="458">
        <f>BM7-BM10</f>
        <v>454.00000000000006</v>
      </c>
      <c r="BN13" s="458">
        <f>BN7-BN10</f>
        <v>432.4</v>
      </c>
      <c r="BO13" s="465">
        <f>SUM(BK13:BN13)</f>
        <v>1857.3000000000002</v>
      </c>
      <c r="BP13" s="458">
        <f>BP7-BP10</f>
        <v>447</v>
      </c>
      <c r="BQ13" s="458">
        <f>BQ7-BQ10</f>
        <v>495.3</v>
      </c>
      <c r="BR13" s="458">
        <f>BR7-BR10</f>
        <v>413.29999999999995</v>
      </c>
      <c r="BS13" s="458">
        <f>BS7-BS10</f>
        <v>451.9</v>
      </c>
      <c r="BT13" s="465">
        <f>SUM(BP13:BS13)</f>
        <v>1807.5</v>
      </c>
      <c r="BU13" s="458">
        <f>BU7-BU10</f>
        <v>509.4</v>
      </c>
      <c r="BV13" s="458">
        <f>BV7-BV10</f>
        <v>550.9</v>
      </c>
      <c r="BW13" s="458">
        <f>BW7-BW10</f>
        <v>576.1</v>
      </c>
      <c r="BX13" s="458">
        <f>BX7-BX10</f>
        <v>666.59999999999991</v>
      </c>
      <c r="BY13" s="465">
        <f>SUM(BU13:BX13)</f>
        <v>2303</v>
      </c>
      <c r="BZ13" s="458">
        <v>732.9</v>
      </c>
      <c r="CA13" s="458">
        <v>754.9</v>
      </c>
      <c r="CB13" s="458">
        <v>802.7</v>
      </c>
      <c r="CC13" s="458">
        <v>885.6</v>
      </c>
      <c r="CD13" s="465">
        <f>SUM(BZ13:CC13)</f>
        <v>3176.1</v>
      </c>
      <c r="CE13" s="458">
        <v>942.2</v>
      </c>
      <c r="CF13" s="458">
        <v>1012.1</v>
      </c>
      <c r="CG13" s="458">
        <v>1063.9000000000001</v>
      </c>
      <c r="CH13" s="458">
        <v>1155.7</v>
      </c>
      <c r="CI13" s="465">
        <f>SUM(CE13:CH13)</f>
        <v>4173.9000000000005</v>
      </c>
      <c r="CJ13" s="458">
        <v>1229.5</v>
      </c>
      <c r="CK13" s="466">
        <f>Metrics!CJ89</f>
        <v>1308.3547303702364</v>
      </c>
      <c r="CL13" s="466">
        <f>Metrics!CK89</f>
        <v>1378.0982234676774</v>
      </c>
      <c r="CM13" s="466">
        <f>Metrics!CL89</f>
        <v>1453.5750915651183</v>
      </c>
      <c r="CN13" s="467">
        <f>SUM(CJ13:CM13)</f>
        <v>5369.5280454030326</v>
      </c>
      <c r="CO13" s="466">
        <f>Metrics!CN89</f>
        <v>1531.4496173690268</v>
      </c>
      <c r="CP13" s="466">
        <f>Metrics!CO89</f>
        <v>1606.8891707327343</v>
      </c>
      <c r="CQ13" s="466">
        <f>Metrics!CP89</f>
        <v>1687.4652059331415</v>
      </c>
      <c r="CR13" s="466">
        <f>Metrics!CQ89</f>
        <v>1769.2562411335491</v>
      </c>
      <c r="CS13" s="467">
        <f>SUM(CO13:CR13)</f>
        <v>6595.060235168452</v>
      </c>
      <c r="CT13" s="466">
        <f>Metrics!CS89</f>
        <v>1847.2487229883482</v>
      </c>
      <c r="CU13" s="466">
        <f>Metrics!CT89</f>
        <v>1921.449992677743</v>
      </c>
      <c r="CV13" s="466">
        <f>Metrics!CU89</f>
        <v>2002.0318310034863</v>
      </c>
      <c r="CW13" s="466">
        <f>Metrics!CV89</f>
        <v>2084.2541671747949</v>
      </c>
      <c r="CX13" s="467">
        <f>SUM(CT13:CW13)</f>
        <v>7854.9847138443729</v>
      </c>
      <c r="CY13" s="466"/>
      <c r="DA13" s="1334"/>
      <c r="DB13" s="460"/>
      <c r="DC13" s="460"/>
    </row>
    <row r="14" spans="1:107" ht="11.25" customHeight="1">
      <c r="A14" s="1913" t="s">
        <v>219</v>
      </c>
      <c r="B14" s="652"/>
      <c r="C14" s="1280"/>
      <c r="D14" s="653"/>
      <c r="E14" s="653"/>
      <c r="F14" s="1281"/>
      <c r="G14" s="870"/>
      <c r="H14" s="653"/>
      <c r="I14" s="653"/>
      <c r="J14" s="653"/>
      <c r="K14" s="1281"/>
      <c r="L14" s="1280"/>
      <c r="M14" s="1280"/>
      <c r="N14" s="653"/>
      <c r="O14" s="653"/>
      <c r="P14" s="1281"/>
      <c r="Q14" s="870"/>
      <c r="R14" s="653"/>
      <c r="S14" s="653"/>
      <c r="T14" s="653"/>
      <c r="U14" s="653"/>
      <c r="V14" s="870"/>
      <c r="W14" s="653"/>
      <c r="X14" s="653"/>
      <c r="Y14" s="653"/>
      <c r="Z14" s="653"/>
      <c r="AA14" s="870"/>
      <c r="AB14" s="653"/>
      <c r="AC14" s="653"/>
      <c r="AD14" s="653"/>
      <c r="AE14" s="653"/>
      <c r="AF14" s="870"/>
      <c r="AG14" s="1282"/>
      <c r="AH14" s="1282"/>
      <c r="AI14" s="1282"/>
      <c r="AJ14" s="1282"/>
      <c r="AK14" s="870"/>
      <c r="AL14" s="1282"/>
      <c r="AM14" s="1282"/>
      <c r="AN14" s="1282"/>
      <c r="AO14" s="1282"/>
      <c r="AP14" s="870"/>
      <c r="AQ14" s="507"/>
      <c r="AR14" s="507"/>
      <c r="AS14" s="507"/>
      <c r="AT14" s="507"/>
      <c r="AU14" s="1137"/>
      <c r="AV14" s="507"/>
      <c r="AW14" s="507"/>
      <c r="AX14" s="507"/>
      <c r="AY14" s="507"/>
      <c r="AZ14" s="1266"/>
      <c r="BA14" s="507">
        <f t="shared" ref="BA14:BX14" si="11">BA13/AV13-1</f>
        <v>0.23591625296783958</v>
      </c>
      <c r="BB14" s="507">
        <f t="shared" si="11"/>
        <v>3.9097209880933903E-3</v>
      </c>
      <c r="BC14" s="507">
        <f t="shared" si="11"/>
        <v>-1.688130873651239E-2</v>
      </c>
      <c r="BD14" s="507">
        <f t="shared" si="11"/>
        <v>8.3406343087436552E-2</v>
      </c>
      <c r="BE14" s="1266">
        <f t="shared" si="11"/>
        <v>6.8806705660203527E-2</v>
      </c>
      <c r="BF14" s="469">
        <f t="shared" si="11"/>
        <v>-5.5012224938875476E-2</v>
      </c>
      <c r="BG14" s="507">
        <f t="shared" si="11"/>
        <v>7.5942644715878638E-2</v>
      </c>
      <c r="BH14" s="507">
        <f t="shared" si="11"/>
        <v>2.1419720304478806E-2</v>
      </c>
      <c r="BI14" s="507">
        <f t="shared" si="11"/>
        <v>-4.2374251981239008E-2</v>
      </c>
      <c r="BJ14" s="1266">
        <f t="shared" si="11"/>
        <v>-1.1634420648941601E-3</v>
      </c>
      <c r="BK14" s="469">
        <f t="shared" si="11"/>
        <v>-7.5586767695435042E-2</v>
      </c>
      <c r="BL14" s="507">
        <f t="shared" si="11"/>
        <v>-0.22556762092793681</v>
      </c>
      <c r="BM14" s="507">
        <f t="shared" si="11"/>
        <v>-0.21317157712305013</v>
      </c>
      <c r="BN14" s="507">
        <f t="shared" si="11"/>
        <v>-0.26971795304847146</v>
      </c>
      <c r="BO14" s="1266">
        <f t="shared" si="11"/>
        <v>-0.19874892148403789</v>
      </c>
      <c r="BP14" s="507">
        <f t="shared" si="11"/>
        <v>-0.10635745701719312</v>
      </c>
      <c r="BQ14" s="507">
        <f t="shared" si="11"/>
        <v>5.2262587635436564E-2</v>
      </c>
      <c r="BR14" s="507">
        <f t="shared" si="11"/>
        <v>-8.9647577092511255E-2</v>
      </c>
      <c r="BS14" s="507">
        <f t="shared" si="11"/>
        <v>4.5097132284921404E-2</v>
      </c>
      <c r="BT14" s="1266">
        <f t="shared" si="11"/>
        <v>-2.6813115813277388E-2</v>
      </c>
      <c r="BU14" s="507">
        <f t="shared" ref="BU14:CH14" si="12">BU13/BP13-1</f>
        <v>0.13959731543624154</v>
      </c>
      <c r="BV14" s="507">
        <f t="shared" si="11"/>
        <v>0.11225519886937207</v>
      </c>
      <c r="BW14" s="507">
        <f t="shared" si="11"/>
        <v>0.39390273409145915</v>
      </c>
      <c r="BX14" s="507">
        <f t="shared" si="11"/>
        <v>0.47510511175038705</v>
      </c>
      <c r="BY14" s="1266">
        <f t="shared" si="12"/>
        <v>0.27413554633471637</v>
      </c>
      <c r="BZ14" s="507">
        <f>BZ13/BU13-1</f>
        <v>0.43875147232037692</v>
      </c>
      <c r="CA14" s="507">
        <f t="shared" si="12"/>
        <v>0.37030314031584677</v>
      </c>
      <c r="CB14" s="507">
        <f t="shared" si="12"/>
        <v>0.39333449053983682</v>
      </c>
      <c r="CC14" s="507">
        <f t="shared" si="12"/>
        <v>0.32853285328532866</v>
      </c>
      <c r="CD14" s="472">
        <f t="shared" si="12"/>
        <v>0.37911419887103781</v>
      </c>
      <c r="CE14" s="507">
        <f t="shared" si="12"/>
        <v>0.28557784145176712</v>
      </c>
      <c r="CF14" s="469">
        <f t="shared" si="12"/>
        <v>0.3407073784607233</v>
      </c>
      <c r="CG14" s="469">
        <f t="shared" si="12"/>
        <v>0.32540176902952545</v>
      </c>
      <c r="CH14" s="469">
        <f t="shared" si="12"/>
        <v>0.3049909665763324</v>
      </c>
      <c r="CI14" s="472">
        <f t="shared" ref="CI14:CN14" si="13">CI13/CD13-1</f>
        <v>0.31415887409086629</v>
      </c>
      <c r="CJ14" s="507">
        <f t="shared" si="13"/>
        <v>0.30492464444916156</v>
      </c>
      <c r="CK14" s="475">
        <f t="shared" si="13"/>
        <v>0.29271290422906482</v>
      </c>
      <c r="CL14" s="475">
        <f t="shared" si="13"/>
        <v>0.29532683848827634</v>
      </c>
      <c r="CM14" s="475">
        <f t="shared" si="13"/>
        <v>0.25774430350879829</v>
      </c>
      <c r="CN14" s="476">
        <f t="shared" si="13"/>
        <v>0.28645344771150039</v>
      </c>
      <c r="CO14" s="475">
        <f t="shared" ref="CO14:CX14" si="14">CO13/CJ13-1</f>
        <v>0.24558732604231537</v>
      </c>
      <c r="CP14" s="475">
        <f t="shared" si="14"/>
        <v>0.22817545840799536</v>
      </c>
      <c r="CQ14" s="475">
        <f t="shared" si="14"/>
        <v>0.22448833994358619</v>
      </c>
      <c r="CR14" s="475">
        <f t="shared" si="14"/>
        <v>0.21717567355156397</v>
      </c>
      <c r="CS14" s="476">
        <f t="shared" si="14"/>
        <v>0.22823834411566657</v>
      </c>
      <c r="CT14" s="475">
        <f t="shared" si="14"/>
        <v>0.20620926868090672</v>
      </c>
      <c r="CU14" s="475">
        <f t="shared" si="14"/>
        <v>0.19575763386442535</v>
      </c>
      <c r="CV14" s="475">
        <f t="shared" si="14"/>
        <v>0.18641369550277309</v>
      </c>
      <c r="CW14" s="475">
        <f t="shared" si="14"/>
        <v>0.17803974275621548</v>
      </c>
      <c r="CX14" s="476">
        <f t="shared" si="14"/>
        <v>0.19104063249601833</v>
      </c>
      <c r="CY14" s="475"/>
      <c r="DA14" s="871"/>
      <c r="DB14" s="653"/>
      <c r="DC14" s="653"/>
    </row>
    <row r="15" spans="1:107" ht="11.25" customHeight="1">
      <c r="A15" s="1913" t="s">
        <v>220</v>
      </c>
      <c r="B15" s="652"/>
      <c r="C15" s="1280"/>
      <c r="D15" s="653"/>
      <c r="E15" s="653"/>
      <c r="F15" s="1281"/>
      <c r="G15" s="870"/>
      <c r="H15" s="653"/>
      <c r="I15" s="653"/>
      <c r="J15" s="653"/>
      <c r="K15" s="1281"/>
      <c r="L15" s="1280"/>
      <c r="M15" s="1280"/>
      <c r="N15" s="653"/>
      <c r="O15" s="653"/>
      <c r="P15" s="1281"/>
      <c r="Q15" s="870"/>
      <c r="R15" s="653"/>
      <c r="S15" s="653"/>
      <c r="T15" s="653"/>
      <c r="U15" s="653"/>
      <c r="V15" s="870"/>
      <c r="W15" s="653"/>
      <c r="X15" s="653"/>
      <c r="Y15" s="653"/>
      <c r="Z15" s="653"/>
      <c r="AA15" s="870"/>
      <c r="AB15" s="653"/>
      <c r="AC15" s="653"/>
      <c r="AD15" s="653"/>
      <c r="AE15" s="653"/>
      <c r="AF15" s="870"/>
      <c r="AG15" s="1282"/>
      <c r="AH15" s="1282"/>
      <c r="AI15" s="1282"/>
      <c r="AJ15" s="1282"/>
      <c r="AK15" s="870"/>
      <c r="AL15" s="1282"/>
      <c r="AM15" s="1282"/>
      <c r="AN15" s="1282"/>
      <c r="AO15" s="1282"/>
      <c r="AP15" s="870"/>
      <c r="AQ15" s="507"/>
      <c r="AR15" s="507"/>
      <c r="AS15" s="507"/>
      <c r="AT15" s="507"/>
      <c r="AU15" s="1137"/>
      <c r="AV15" s="507"/>
      <c r="AW15" s="507">
        <f>AW13/AV13-1</f>
        <v>0.21454780919490601</v>
      </c>
      <c r="AX15" s="507">
        <f>AX13/AW13-1</f>
        <v>2.1148036253776592E-2</v>
      </c>
      <c r="AY15" s="507">
        <f>AY13/AX13-1</f>
        <v>-6.7873303167422794E-3</v>
      </c>
      <c r="AZ15" s="1266"/>
      <c r="BA15" s="507">
        <f>BA13/AY13-1</f>
        <v>3.3292447871036135E-3</v>
      </c>
      <c r="BB15" s="507">
        <f>BB13/BA13-1</f>
        <v>-1.3447432762836109E-2</v>
      </c>
      <c r="BC15" s="469">
        <f>BC13/BB13-1</f>
        <v>0</v>
      </c>
      <c r="BD15" s="507">
        <f>BD13/BC13-1</f>
        <v>9.4530005310674348E-2</v>
      </c>
      <c r="BE15" s="1266"/>
      <c r="BF15" s="469">
        <f>BF13/BD13-1</f>
        <v>-0.12485848293708568</v>
      </c>
      <c r="BG15" s="507">
        <f>BG13/BF13-1</f>
        <v>0.12326741822214027</v>
      </c>
      <c r="BH15" s="507">
        <f>BH13/BG13-1</f>
        <v>-5.0674564001316202E-2</v>
      </c>
      <c r="BI15" s="507">
        <f>BI13/BH13-1</f>
        <v>2.6169844020797139E-2</v>
      </c>
      <c r="BJ15" s="1266"/>
      <c r="BK15" s="469">
        <f>BK13/BI13-1</f>
        <v>-0.15521026853572018</v>
      </c>
      <c r="BL15" s="507">
        <f>BL13/BK13-1</f>
        <v>-5.8976409436225508E-2</v>
      </c>
      <c r="BM15" s="507">
        <f>BM13/BL13-1</f>
        <v>-3.5479073719991372E-2</v>
      </c>
      <c r="BN15" s="507">
        <f>BN13/BM13-1</f>
        <v>-4.7577092511013386E-2</v>
      </c>
      <c r="BO15" s="1266"/>
      <c r="BP15" s="507">
        <f>BP13/BN13-1</f>
        <v>3.3765032377428339E-2</v>
      </c>
      <c r="BQ15" s="507">
        <f>BQ13/BP13-1</f>
        <v>0.10805369127516773</v>
      </c>
      <c r="BR15" s="507">
        <f>BR13/BQ13-1</f>
        <v>-0.16555622854835461</v>
      </c>
      <c r="BS15" s="507">
        <f>BS13/BR13-1</f>
        <v>9.3394628599080542E-2</v>
      </c>
      <c r="BT15" s="1266"/>
      <c r="BU15" s="507">
        <f>BU13/BS13-1</f>
        <v>0.1272405399424652</v>
      </c>
      <c r="BV15" s="507">
        <f>BV13/BU13-1</f>
        <v>8.1468394189242233E-2</v>
      </c>
      <c r="BW15" s="507">
        <f>BW13/BV13-1</f>
        <v>4.5743329097839958E-2</v>
      </c>
      <c r="BX15" s="507">
        <f>BX13/BW13-1</f>
        <v>0.15709078285019951</v>
      </c>
      <c r="BY15" s="1266"/>
      <c r="BZ15" s="507">
        <f>BZ13/BX13-1</f>
        <v>9.9459945994599508E-2</v>
      </c>
      <c r="CA15" s="507">
        <f>CA13/BZ13-1</f>
        <v>3.0017737754127527E-2</v>
      </c>
      <c r="CB15" s="507">
        <f>CB13/CA13-1</f>
        <v>6.3319644986090884E-2</v>
      </c>
      <c r="CC15" s="507">
        <f>CC13/CB13-1</f>
        <v>0.10327644200822217</v>
      </c>
      <c r="CD15" s="508"/>
      <c r="CE15" s="507">
        <f>CE13/CC13-1</f>
        <v>6.3911472448057838E-2</v>
      </c>
      <c r="CF15" s="469">
        <f>CF13/CE13-1</f>
        <v>7.4188070473360179E-2</v>
      </c>
      <c r="CG15" s="469">
        <f>CG13/CF13-1</f>
        <v>5.1180713368244257E-2</v>
      </c>
      <c r="CH15" s="469">
        <f>CH13/CG13-1</f>
        <v>8.6286305103863148E-2</v>
      </c>
      <c r="CI15" s="508"/>
      <c r="CJ15" s="507">
        <f>CJ13/CH13-1</f>
        <v>6.3857402440079536E-2</v>
      </c>
      <c r="CK15" s="475">
        <f>CK13/CJ13-1</f>
        <v>6.4135608271847389E-2</v>
      </c>
      <c r="CL15" s="475">
        <f>CL13/CK13-1</f>
        <v>5.3306256689044096E-2</v>
      </c>
      <c r="CM15" s="475">
        <f>CM13/CL13-1</f>
        <v>5.4768859586452612E-2</v>
      </c>
      <c r="CN15" s="1267"/>
      <c r="CO15" s="475">
        <f>CO13/CM13-1</f>
        <v>5.3574477339218829E-2</v>
      </c>
      <c r="CP15" s="475">
        <f>CP13/CO13-1</f>
        <v>4.9260225415257208E-2</v>
      </c>
      <c r="CQ15" s="475">
        <f>CQ13/CP13-1</f>
        <v>5.0144114894784542E-2</v>
      </c>
      <c r="CR15" s="475">
        <f>CR13/CQ13-1</f>
        <v>4.8469760984007015E-2</v>
      </c>
      <c r="CS15" s="1267"/>
      <c r="CT15" s="475">
        <f>CT13/CR13-1</f>
        <v>4.4082072478563106E-2</v>
      </c>
      <c r="CU15" s="475">
        <f>CU13/CT13-1</f>
        <v>4.0168532134296164E-2</v>
      </c>
      <c r="CV15" s="475">
        <f>CV13/CU13-1</f>
        <v>4.193803566724319E-2</v>
      </c>
      <c r="CW15" s="475">
        <f>CW13/CV13-1</f>
        <v>4.1069444999831006E-2</v>
      </c>
      <c r="CX15" s="1267"/>
      <c r="CY15" s="1283"/>
      <c r="DA15" s="871"/>
      <c r="DB15" s="653"/>
      <c r="DC15" s="653"/>
    </row>
    <row r="16" spans="1:107" ht="11.25" customHeight="1">
      <c r="A16" s="1913"/>
      <c r="B16" s="652"/>
      <c r="C16" s="653"/>
      <c r="D16" s="653"/>
      <c r="E16" s="653"/>
      <c r="F16" s="653"/>
      <c r="G16" s="1281"/>
      <c r="H16" s="653"/>
      <c r="I16" s="653"/>
      <c r="J16" s="653"/>
      <c r="K16" s="653"/>
      <c r="L16" s="653"/>
      <c r="M16" s="1280"/>
      <c r="N16" s="653"/>
      <c r="O16" s="653"/>
      <c r="P16" s="1281"/>
      <c r="Q16" s="870"/>
      <c r="R16" s="653"/>
      <c r="S16" s="653"/>
      <c r="T16" s="653"/>
      <c r="U16" s="653"/>
      <c r="V16" s="870"/>
      <c r="W16" s="653"/>
      <c r="X16" s="653"/>
      <c r="Y16" s="653"/>
      <c r="Z16" s="653"/>
      <c r="AA16" s="870"/>
      <c r="AB16" s="653"/>
      <c r="AC16" s="653"/>
      <c r="AD16" s="653"/>
      <c r="AE16" s="653"/>
      <c r="AF16" s="870"/>
      <c r="AG16" s="1282"/>
      <c r="AH16" s="1282"/>
      <c r="AI16" s="1282"/>
      <c r="AJ16" s="1282"/>
      <c r="AK16" s="870"/>
      <c r="AL16" s="1282"/>
      <c r="AM16" s="1282"/>
      <c r="AN16" s="1282"/>
      <c r="AO16" s="1282"/>
      <c r="AP16" s="870"/>
      <c r="AQ16" s="507"/>
      <c r="AR16" s="507"/>
      <c r="AS16" s="507"/>
      <c r="AT16" s="507"/>
      <c r="AU16" s="1137"/>
      <c r="AV16" s="507"/>
      <c r="AW16" s="507"/>
      <c r="AX16" s="507"/>
      <c r="AY16" s="507"/>
      <c r="AZ16" s="1266"/>
      <c r="BA16" s="507"/>
      <c r="BB16" s="507"/>
      <c r="BC16" s="469"/>
      <c r="BD16" s="507"/>
      <c r="BE16" s="1266"/>
      <c r="BF16" s="469"/>
      <c r="BG16" s="507"/>
      <c r="BH16" s="507"/>
      <c r="BI16" s="507"/>
      <c r="BJ16" s="1266"/>
      <c r="BK16" s="469"/>
      <c r="BL16" s="507"/>
      <c r="BM16" s="507"/>
      <c r="BN16" s="507"/>
      <c r="BO16" s="1266"/>
      <c r="BP16" s="507"/>
      <c r="BQ16" s="475"/>
      <c r="BR16" s="475"/>
      <c r="BS16" s="475"/>
      <c r="BT16" s="1266"/>
      <c r="BU16" s="475"/>
      <c r="BV16" s="475"/>
      <c r="BW16" s="475"/>
      <c r="BX16" s="475"/>
      <c r="BY16" s="1266"/>
      <c r="BZ16" s="466"/>
      <c r="CA16" s="475"/>
      <c r="CB16" s="458"/>
      <c r="CC16" s="1842"/>
      <c r="CD16" s="465"/>
      <c r="CE16" s="458"/>
      <c r="CF16" s="469"/>
      <c r="CG16" s="469"/>
      <c r="CH16" s="469"/>
      <c r="CI16" s="508"/>
      <c r="CJ16" s="458"/>
      <c r="CK16" s="475"/>
      <c r="CL16" s="475"/>
      <c r="CM16" s="475"/>
      <c r="CN16" s="1267"/>
      <c r="CO16" s="475"/>
      <c r="CP16" s="475"/>
      <c r="CQ16" s="475"/>
      <c r="CR16" s="475"/>
      <c r="CS16" s="1267"/>
      <c r="CT16" s="475"/>
      <c r="CU16" s="475"/>
      <c r="CV16" s="475"/>
      <c r="CW16" s="475"/>
      <c r="CX16" s="1267"/>
      <c r="CY16" s="1283"/>
      <c r="DA16" s="871"/>
      <c r="DB16" s="653"/>
      <c r="DC16" s="653"/>
    </row>
    <row r="17" spans="1:107" ht="11.25" customHeight="1">
      <c r="A17" s="1915" t="s">
        <v>911</v>
      </c>
      <c r="B17" s="458"/>
      <c r="C17" s="459"/>
      <c r="D17" s="460"/>
      <c r="E17" s="460"/>
      <c r="F17" s="461"/>
      <c r="G17" s="462"/>
      <c r="H17" s="460"/>
      <c r="I17" s="460"/>
      <c r="J17" s="460"/>
      <c r="K17" s="461"/>
      <c r="L17" s="459"/>
      <c r="M17" s="459"/>
      <c r="N17" s="460"/>
      <c r="O17" s="460"/>
      <c r="P17" s="461"/>
      <c r="Q17" s="462"/>
      <c r="R17" s="460"/>
      <c r="S17" s="460"/>
      <c r="T17" s="460"/>
      <c r="U17" s="460"/>
      <c r="V17" s="463"/>
      <c r="W17" s="464"/>
      <c r="X17" s="464"/>
      <c r="Y17" s="464"/>
      <c r="Z17" s="458"/>
      <c r="AA17" s="465"/>
      <c r="AB17" s="464"/>
      <c r="AC17" s="464"/>
      <c r="AD17" s="464"/>
      <c r="AE17" s="464"/>
      <c r="AF17" s="465"/>
      <c r="AG17" s="458"/>
      <c r="AH17" s="458"/>
      <c r="AI17" s="458"/>
      <c r="AJ17" s="458"/>
      <c r="AK17" s="465"/>
      <c r="AL17" s="458"/>
      <c r="AM17" s="458"/>
      <c r="AN17" s="458"/>
      <c r="AO17" s="458"/>
      <c r="AP17" s="465"/>
      <c r="AQ17" s="458"/>
      <c r="AR17" s="458"/>
      <c r="AS17" s="458"/>
      <c r="AT17" s="458"/>
      <c r="AU17" s="465"/>
      <c r="AV17" s="458">
        <v>96</v>
      </c>
      <c r="AW17" s="458">
        <v>91.8</v>
      </c>
      <c r="AX17" s="458">
        <v>99.8</v>
      </c>
      <c r="AY17" s="458">
        <v>114.4</v>
      </c>
      <c r="AZ17" s="465">
        <f>SUM(AV17:AY17)</f>
        <v>402</v>
      </c>
      <c r="BA17" s="458">
        <v>134.69999999999999</v>
      </c>
      <c r="BB17" s="458">
        <v>145.6</v>
      </c>
      <c r="BC17" s="458">
        <v>142</v>
      </c>
      <c r="BD17" s="458">
        <v>172.4</v>
      </c>
      <c r="BE17" s="465">
        <f>SUM(BA17:BD17)</f>
        <v>594.69999999999993</v>
      </c>
      <c r="BF17" s="458">
        <v>180.2</v>
      </c>
      <c r="BG17" s="458">
        <v>195.8</v>
      </c>
      <c r="BH17" s="458">
        <v>199</v>
      </c>
      <c r="BI17" s="458">
        <v>228.8</v>
      </c>
      <c r="BJ17" s="465">
        <f>SUM(BF17:BI17)</f>
        <v>803.8</v>
      </c>
      <c r="BK17" s="458">
        <v>215.4</v>
      </c>
      <c r="BL17" s="458">
        <v>229.6</v>
      </c>
      <c r="BM17" s="458">
        <v>254.8</v>
      </c>
      <c r="BN17" s="458">
        <v>316.2</v>
      </c>
      <c r="BO17" s="465">
        <f>SUM(BK17:BN17)</f>
        <v>1016</v>
      </c>
      <c r="BP17" s="458">
        <v>267</v>
      </c>
      <c r="BQ17" s="458">
        <v>282.89999999999998</v>
      </c>
      <c r="BR17" s="458">
        <v>290.10000000000002</v>
      </c>
      <c r="BS17" s="458">
        <v>330.3</v>
      </c>
      <c r="BT17" s="465">
        <f>SUM(BP17:BS17)</f>
        <v>1170.3</v>
      </c>
      <c r="BU17" s="458">
        <v>311.5</v>
      </c>
      <c r="BV17" s="458">
        <v>326.60000000000002</v>
      </c>
      <c r="BW17" s="458">
        <v>368.4</v>
      </c>
      <c r="BX17" s="458">
        <v>352.2</v>
      </c>
      <c r="BY17" s="465">
        <f>SUM(BU17:BX17)</f>
        <v>1358.7</v>
      </c>
      <c r="BZ17" s="458">
        <v>377.3</v>
      </c>
      <c r="CA17" s="458">
        <v>385.4</v>
      </c>
      <c r="CB17" s="1669">
        <v>404</v>
      </c>
      <c r="CC17" s="1669">
        <v>464.7</v>
      </c>
      <c r="CD17" s="465">
        <f>SUM(BZ17:CC17)</f>
        <v>1631.4</v>
      </c>
      <c r="CE17" s="458">
        <v>477.3</v>
      </c>
      <c r="CF17" s="458">
        <v>495.4</v>
      </c>
      <c r="CG17" s="458">
        <v>507.8</v>
      </c>
      <c r="CH17" s="458">
        <v>549.9</v>
      </c>
      <c r="CI17" s="465">
        <f>SUM(CE17:CH17)</f>
        <v>2030.4</v>
      </c>
      <c r="CJ17" s="458">
        <v>554.1</v>
      </c>
      <c r="CK17" s="466">
        <f>CJ17*(1+CK19)</f>
        <v>571.78778214959141</v>
      </c>
      <c r="CL17" s="466">
        <f>CK17*(1+CL19)</f>
        <v>588.95872852633636</v>
      </c>
      <c r="CM17" s="466">
        <f>CL17*(1+CM19)</f>
        <v>631.89774004170079</v>
      </c>
      <c r="CN17" s="467">
        <f>SUM(CJ17:CM17)</f>
        <v>2346.7442507176283</v>
      </c>
      <c r="CO17" s="466">
        <f>CM17*(1+CO19)</f>
        <v>636.0772805811439</v>
      </c>
      <c r="CP17" s="466">
        <f>CO17*(1+CP19)</f>
        <v>657.97210538198999</v>
      </c>
      <c r="CQ17" s="466">
        <f>CP17*(1+CQ19)</f>
        <v>679.37612125660348</v>
      </c>
      <c r="CR17" s="466">
        <f>CQ17*(1+CR19)</f>
        <v>730.60560283812617</v>
      </c>
      <c r="CS17" s="467">
        <f>SUM(CO17:CR17)</f>
        <v>2704.0311100578633</v>
      </c>
      <c r="CT17" s="466">
        <f>CR17*(1+CT19)</f>
        <v>735.43802356367689</v>
      </c>
      <c r="CU17" s="466">
        <f>CT17*(1+CU19)</f>
        <v>757.07581822741781</v>
      </c>
      <c r="CV17" s="466">
        <f>CU17*(1+CV19)</f>
        <v>774.13294730522432</v>
      </c>
      <c r="CW17" s="466">
        <f>CV17*(1+CW19)</f>
        <v>824.76639481472034</v>
      </c>
      <c r="CX17" s="467">
        <f>SUM(CT17:CW17)</f>
        <v>3091.4131839110396</v>
      </c>
      <c r="CY17" s="1113">
        <f>(CN17/BY17)^(1/3)-1</f>
        <v>0.19981437904205857</v>
      </c>
      <c r="DA17" s="1334"/>
      <c r="DB17" s="460"/>
      <c r="DC17" s="460"/>
    </row>
    <row r="18" spans="1:107" ht="11.25" customHeight="1">
      <c r="A18" s="1913" t="s">
        <v>219</v>
      </c>
      <c r="B18" s="652"/>
      <c r="C18" s="1280"/>
      <c r="D18" s="653"/>
      <c r="E18" s="653"/>
      <c r="F18" s="1281"/>
      <c r="G18" s="870"/>
      <c r="H18" s="653"/>
      <c r="I18" s="653"/>
      <c r="J18" s="653"/>
      <c r="K18" s="1281"/>
      <c r="L18" s="1280"/>
      <c r="M18" s="1280"/>
      <c r="N18" s="653"/>
      <c r="O18" s="653"/>
      <c r="P18" s="1281"/>
      <c r="Q18" s="870"/>
      <c r="R18" s="653"/>
      <c r="S18" s="653"/>
      <c r="T18" s="653"/>
      <c r="U18" s="653"/>
      <c r="V18" s="870"/>
      <c r="W18" s="653"/>
      <c r="X18" s="653"/>
      <c r="Y18" s="653"/>
      <c r="Z18" s="653"/>
      <c r="AA18" s="870"/>
      <c r="AB18" s="653"/>
      <c r="AC18" s="653"/>
      <c r="AD18" s="653"/>
      <c r="AE18" s="653"/>
      <c r="AF18" s="870"/>
      <c r="AG18" s="1282"/>
      <c r="AH18" s="1282"/>
      <c r="AI18" s="1282"/>
      <c r="AJ18" s="1282"/>
      <c r="AK18" s="870"/>
      <c r="AL18" s="1282"/>
      <c r="AM18" s="1282"/>
      <c r="AN18" s="1282"/>
      <c r="AO18" s="1282"/>
      <c r="AP18" s="870"/>
      <c r="AQ18" s="507"/>
      <c r="AR18" s="507"/>
      <c r="AS18" s="507"/>
      <c r="AT18" s="507"/>
      <c r="AU18" s="1137"/>
      <c r="AV18" s="507"/>
      <c r="AW18" s="507"/>
      <c r="AX18" s="507"/>
      <c r="AY18" s="507"/>
      <c r="AZ18" s="1266"/>
      <c r="BA18" s="507">
        <f t="shared" ref="BA18:BX18" si="15">BA17/AV17-1</f>
        <v>0.40312499999999996</v>
      </c>
      <c r="BB18" s="507">
        <f t="shared" si="15"/>
        <v>0.58605664488017428</v>
      </c>
      <c r="BC18" s="507">
        <f t="shared" si="15"/>
        <v>0.42284569138276562</v>
      </c>
      <c r="BD18" s="507">
        <f t="shared" si="15"/>
        <v>0.50699300699300687</v>
      </c>
      <c r="BE18" s="1266">
        <f t="shared" si="15"/>
        <v>0.47935323383084549</v>
      </c>
      <c r="BF18" s="469">
        <f t="shared" si="15"/>
        <v>0.3377876763177432</v>
      </c>
      <c r="BG18" s="507">
        <f t="shared" si="15"/>
        <v>0.34478021978021989</v>
      </c>
      <c r="BH18" s="507">
        <f t="shared" si="15"/>
        <v>0.40140845070422526</v>
      </c>
      <c r="BI18" s="507">
        <f t="shared" si="15"/>
        <v>0.32714617169373561</v>
      </c>
      <c r="BJ18" s="1266">
        <f t="shared" si="15"/>
        <v>0.35160585168992786</v>
      </c>
      <c r="BK18" s="469">
        <f t="shared" si="15"/>
        <v>0.19533851276359604</v>
      </c>
      <c r="BL18" s="507">
        <f t="shared" si="15"/>
        <v>0.17262512768130733</v>
      </c>
      <c r="BM18" s="507">
        <f t="shared" si="15"/>
        <v>0.28040201005025134</v>
      </c>
      <c r="BN18" s="507">
        <f t="shared" si="15"/>
        <v>0.38199300699300687</v>
      </c>
      <c r="BO18" s="1266">
        <f t="shared" si="15"/>
        <v>0.26399601891017666</v>
      </c>
      <c r="BP18" s="469">
        <f t="shared" si="15"/>
        <v>0.23955431754874645</v>
      </c>
      <c r="BQ18" s="469">
        <f t="shared" si="15"/>
        <v>0.23214285714285698</v>
      </c>
      <c r="BR18" s="469">
        <f t="shared" si="15"/>
        <v>0.1385400313971743</v>
      </c>
      <c r="BS18" s="469">
        <f t="shared" si="15"/>
        <v>4.4592030360531387E-2</v>
      </c>
      <c r="BT18" s="1266">
        <f t="shared" si="15"/>
        <v>0.15187007874015745</v>
      </c>
      <c r="BU18" s="469">
        <f t="shared" ref="BU18:CH18" si="16">BU17/BP17-1</f>
        <v>0.16666666666666674</v>
      </c>
      <c r="BV18" s="469">
        <f t="shared" si="15"/>
        <v>0.15447154471544722</v>
      </c>
      <c r="BW18" s="469">
        <f t="shared" si="15"/>
        <v>0.26990692864529464</v>
      </c>
      <c r="BX18" s="469">
        <f t="shared" si="15"/>
        <v>6.6303360581289716E-2</v>
      </c>
      <c r="BY18" s="1266">
        <f t="shared" si="16"/>
        <v>0.16098436298385033</v>
      </c>
      <c r="BZ18" s="469">
        <f t="shared" si="16"/>
        <v>0.21123595505617976</v>
      </c>
      <c r="CA18" s="469">
        <f t="shared" si="16"/>
        <v>0.18003674219228394</v>
      </c>
      <c r="CB18" s="469">
        <f t="shared" si="16"/>
        <v>9.6634093376764429E-2</v>
      </c>
      <c r="CC18" s="469">
        <f t="shared" si="16"/>
        <v>0.31942078364565596</v>
      </c>
      <c r="CD18" s="472">
        <f t="shared" si="16"/>
        <v>0.20070655773901525</v>
      </c>
      <c r="CE18" s="507">
        <f t="shared" si="16"/>
        <v>0.26504108136761206</v>
      </c>
      <c r="CF18" s="469">
        <f t="shared" si="16"/>
        <v>0.28541774779449924</v>
      </c>
      <c r="CG18" s="469">
        <f t="shared" si="16"/>
        <v>0.25693069306930694</v>
      </c>
      <c r="CH18" s="469">
        <f t="shared" si="16"/>
        <v>0.18334409296320198</v>
      </c>
      <c r="CI18" s="472">
        <f t="shared" ref="CI18:CN18" si="17">CI17/CD17-1</f>
        <v>0.24457521147480699</v>
      </c>
      <c r="CJ18" s="507">
        <f t="shared" si="17"/>
        <v>0.16090509113764928</v>
      </c>
      <c r="CK18" s="475">
        <f t="shared" si="17"/>
        <v>0.15419415048363239</v>
      </c>
      <c r="CL18" s="475">
        <f t="shared" si="17"/>
        <v>0.15982419953985105</v>
      </c>
      <c r="CM18" s="475">
        <f t="shared" si="17"/>
        <v>0.14911391169612798</v>
      </c>
      <c r="CN18" s="476">
        <f t="shared" si="17"/>
        <v>0.15580390598779958</v>
      </c>
      <c r="CO18" s="475">
        <f t="shared" ref="CO18:CX18" si="18">CO17/CJ17-1</f>
        <v>0.14794672546678189</v>
      </c>
      <c r="CP18" s="475">
        <f t="shared" si="18"/>
        <v>0.15072781532406188</v>
      </c>
      <c r="CQ18" s="475">
        <f t="shared" si="18"/>
        <v>0.15352076189872443</v>
      </c>
      <c r="CR18" s="475">
        <f t="shared" si="18"/>
        <v>0.15620860234428346</v>
      </c>
      <c r="CS18" s="476">
        <f t="shared" si="18"/>
        <v>0.15224788948816115</v>
      </c>
      <c r="CT18" s="475">
        <f t="shared" si="18"/>
        <v>0.15620860234428324</v>
      </c>
      <c r="CU18" s="475">
        <f t="shared" si="18"/>
        <v>0.1506199305940068</v>
      </c>
      <c r="CV18" s="475">
        <f t="shared" si="18"/>
        <v>0.13947623868992398</v>
      </c>
      <c r="CW18" s="475">
        <f t="shared" si="18"/>
        <v>0.12888046794442198</v>
      </c>
      <c r="CX18" s="476">
        <f t="shared" si="18"/>
        <v>0.14326095303130093</v>
      </c>
      <c r="CY18" s="475"/>
      <c r="DA18" s="871"/>
      <c r="DB18" s="653"/>
      <c r="DC18" s="653"/>
    </row>
    <row r="19" spans="1:107" ht="11.25" customHeight="1">
      <c r="A19" s="1913" t="s">
        <v>220</v>
      </c>
      <c r="B19" s="652"/>
      <c r="C19" s="1280"/>
      <c r="D19" s="653"/>
      <c r="E19" s="653"/>
      <c r="F19" s="1281"/>
      <c r="G19" s="870"/>
      <c r="H19" s="653"/>
      <c r="I19" s="653"/>
      <c r="J19" s="653"/>
      <c r="K19" s="1281"/>
      <c r="L19" s="1280"/>
      <c r="M19" s="1280"/>
      <c r="N19" s="653"/>
      <c r="O19" s="653"/>
      <c r="P19" s="1281"/>
      <c r="Q19" s="870"/>
      <c r="R19" s="653"/>
      <c r="S19" s="653"/>
      <c r="T19" s="653"/>
      <c r="U19" s="653"/>
      <c r="V19" s="870"/>
      <c r="W19" s="653"/>
      <c r="X19" s="653"/>
      <c r="Y19" s="653"/>
      <c r="Z19" s="653"/>
      <c r="AA19" s="870"/>
      <c r="AB19" s="653"/>
      <c r="AC19" s="653"/>
      <c r="AD19" s="653"/>
      <c r="AE19" s="653"/>
      <c r="AF19" s="870"/>
      <c r="AG19" s="1282"/>
      <c r="AH19" s="1282"/>
      <c r="AI19" s="1282"/>
      <c r="AJ19" s="1282"/>
      <c r="AK19" s="870"/>
      <c r="AL19" s="1282"/>
      <c r="AM19" s="1282"/>
      <c r="AN19" s="1282"/>
      <c r="AO19" s="1282"/>
      <c r="AP19" s="870"/>
      <c r="AQ19" s="507"/>
      <c r="AR19" s="507"/>
      <c r="AS19" s="507"/>
      <c r="AT19" s="507"/>
      <c r="AU19" s="1137"/>
      <c r="AV19" s="507"/>
      <c r="AW19" s="507">
        <f>AW17/AV17-1</f>
        <v>-4.3750000000000067E-2</v>
      </c>
      <c r="AX19" s="507">
        <f>AX17/AW17-1</f>
        <v>8.7145969498910736E-2</v>
      </c>
      <c r="AY19" s="507">
        <f>AY17/AX17-1</f>
        <v>0.14629258517034072</v>
      </c>
      <c r="AZ19" s="1266"/>
      <c r="BA19" s="507">
        <f>BA17/AY17-1</f>
        <v>0.17744755244755228</v>
      </c>
      <c r="BB19" s="507">
        <f>BB17/BA17-1</f>
        <v>8.0920564216778068E-2</v>
      </c>
      <c r="BC19" s="469">
        <f>BC17/BB17-1</f>
        <v>-2.4725274725274637E-2</v>
      </c>
      <c r="BD19" s="507">
        <f>BD17/BC17-1</f>
        <v>0.21408450704225346</v>
      </c>
      <c r="BE19" s="1266"/>
      <c r="BF19" s="469">
        <f>BF17/BD17-1</f>
        <v>4.5243619489559128E-2</v>
      </c>
      <c r="BG19" s="507">
        <f>BG17/BF17-1</f>
        <v>8.6570477247502886E-2</v>
      </c>
      <c r="BH19" s="507">
        <f>BH17/BG17-1</f>
        <v>1.6343207354443168E-2</v>
      </c>
      <c r="BI19" s="507">
        <f>BI17/BH17-1</f>
        <v>0.14974874371859292</v>
      </c>
      <c r="BJ19" s="1266"/>
      <c r="BK19" s="469">
        <f>BK17/BI17-1</f>
        <v>-5.856643356643354E-2</v>
      </c>
      <c r="BL19" s="507">
        <f>BL17/BK17-1</f>
        <v>6.5923862581244164E-2</v>
      </c>
      <c r="BM19" s="507">
        <f>BM17/BL17-1</f>
        <v>0.10975609756097571</v>
      </c>
      <c r="BN19" s="507">
        <f>BN17/BM17-1</f>
        <v>0.2409733124018838</v>
      </c>
      <c r="BO19" s="1266"/>
      <c r="BP19" s="469">
        <f>BP17/BN17-1</f>
        <v>-0.15559772296015173</v>
      </c>
      <c r="BQ19" s="469">
        <f>BQ17/BP17-1</f>
        <v>5.9550561797752755E-2</v>
      </c>
      <c r="BR19" s="469">
        <f>BR17/BQ17-1</f>
        <v>2.5450689289501671E-2</v>
      </c>
      <c r="BS19" s="469">
        <f>BS17/BR17-1</f>
        <v>0.13857290589451909</v>
      </c>
      <c r="BT19" s="1266"/>
      <c r="BU19" s="469">
        <f>BU17/BS17-1</f>
        <v>-5.6917953375719033E-2</v>
      </c>
      <c r="BV19" s="469">
        <f>BV17/BU17-1</f>
        <v>4.8475120385232717E-2</v>
      </c>
      <c r="BW19" s="469">
        <f>BW17/BV17-1</f>
        <v>0.1279853031230862</v>
      </c>
      <c r="BX19" s="469">
        <f>BX17/BW17-1</f>
        <v>-4.3973941368078195E-2</v>
      </c>
      <c r="BY19" s="1266"/>
      <c r="BZ19" s="469">
        <f>BZ17/BX17-1</f>
        <v>7.1266325951164111E-2</v>
      </c>
      <c r="CA19" s="469">
        <f>CA17/BZ17-1</f>
        <v>2.1468327590776548E-2</v>
      </c>
      <c r="CB19" s="469">
        <f>CB17/CA17-1</f>
        <v>4.8261546445251824E-2</v>
      </c>
      <c r="CC19" s="469">
        <f>CC17/CB17-1</f>
        <v>0.15024752475247527</v>
      </c>
      <c r="CD19" s="508"/>
      <c r="CE19" s="507">
        <f>CE17/CC17-1</f>
        <v>2.7114267269205961E-2</v>
      </c>
      <c r="CF19" s="469">
        <f>CF17/CE17-1</f>
        <v>3.7921642572805281E-2</v>
      </c>
      <c r="CG19" s="469">
        <f>CG17/CF17-1</f>
        <v>2.5030278562777619E-2</v>
      </c>
      <c r="CH19" s="469">
        <f>CH17/CG17-1</f>
        <v>8.2906656163844072E-2</v>
      </c>
      <c r="CI19" s="508"/>
      <c r="CJ19" s="507">
        <f>CE19-0.0255</f>
        <v>1.6142672692059622E-3</v>
      </c>
      <c r="CK19" s="475">
        <f>CF19-0.006</f>
        <v>3.1921642572805282E-2</v>
      </c>
      <c r="CL19" s="475">
        <f>CG19+0.005</f>
        <v>3.003027856277762E-2</v>
      </c>
      <c r="CM19" s="475">
        <f>CH19-0.01</f>
        <v>7.2906656163844077E-2</v>
      </c>
      <c r="CN19" s="1521"/>
      <c r="CO19" s="475">
        <f>CJ19+0.005</f>
        <v>6.6142672692059623E-3</v>
      </c>
      <c r="CP19" s="475">
        <f>CK19+0.0025</f>
        <v>3.4421642572805285E-2</v>
      </c>
      <c r="CQ19" s="475">
        <f>CL19+0.0025</f>
        <v>3.2530278562777619E-2</v>
      </c>
      <c r="CR19" s="475">
        <f>CM19+0.0025</f>
        <v>7.540665616384408E-2</v>
      </c>
      <c r="CS19" s="1521"/>
      <c r="CT19" s="475">
        <f>CO19-0</f>
        <v>6.6142672692059623E-3</v>
      </c>
      <c r="CU19" s="475">
        <f t="shared" ref="CU19" si="19">CP19-0.005</f>
        <v>2.9421642572805284E-2</v>
      </c>
      <c r="CV19" s="475">
        <f>CQ19-0.01</f>
        <v>2.2530278562777617E-2</v>
      </c>
      <c r="CW19" s="475">
        <f>CR19-0.01</f>
        <v>6.5406656163844085E-2</v>
      </c>
      <c r="CX19" s="1521"/>
      <c r="CY19" s="48"/>
      <c r="DA19" s="871"/>
      <c r="DB19" s="653"/>
      <c r="DC19" s="653"/>
    </row>
    <row r="20" spans="1:107">
      <c r="A20" s="208"/>
      <c r="B20" s="206"/>
      <c r="C20" s="206"/>
      <c r="D20" s="206"/>
      <c r="E20" s="206"/>
      <c r="F20" s="206"/>
      <c r="G20" s="207"/>
      <c r="H20" s="206"/>
      <c r="I20" s="206"/>
      <c r="J20" s="206"/>
      <c r="K20" s="206"/>
      <c r="L20" s="206"/>
      <c r="M20" s="205"/>
      <c r="N20" s="206"/>
      <c r="O20" s="206"/>
      <c r="P20" s="207"/>
      <c r="Q20" s="208"/>
      <c r="R20" s="206"/>
      <c r="S20" s="206"/>
      <c r="T20" s="206"/>
      <c r="U20" s="206"/>
      <c r="V20" s="208"/>
      <c r="W20" s="206"/>
      <c r="X20" s="206"/>
      <c r="Y20" s="206"/>
      <c r="Z20" s="206"/>
      <c r="AA20" s="208"/>
      <c r="AB20" s="206"/>
      <c r="AC20" s="206"/>
      <c r="AD20" s="206"/>
      <c r="AE20" s="206"/>
      <c r="AF20" s="208"/>
      <c r="AG20" s="363"/>
      <c r="AH20" s="363"/>
      <c r="AI20" s="363"/>
      <c r="AJ20" s="363"/>
      <c r="AK20" s="522"/>
      <c r="AL20" s="363"/>
      <c r="AM20" s="363"/>
      <c r="AN20" s="363"/>
      <c r="AO20" s="363"/>
      <c r="AP20" s="522"/>
      <c r="AQ20" s="363"/>
      <c r="AR20" s="363"/>
      <c r="AS20" s="363"/>
      <c r="AT20" s="363"/>
      <c r="AU20" s="523"/>
      <c r="AV20" s="363"/>
      <c r="AW20" s="363"/>
      <c r="AX20" s="363"/>
      <c r="AY20" s="363"/>
      <c r="AZ20" s="523"/>
      <c r="BA20" s="363"/>
      <c r="BB20" s="363"/>
      <c r="BC20" s="363"/>
      <c r="BD20" s="363"/>
      <c r="BE20" s="523"/>
      <c r="BF20" s="363"/>
      <c r="BG20" s="363"/>
      <c r="BH20" s="363"/>
      <c r="BI20" s="363"/>
      <c r="BJ20" s="523"/>
      <c r="BK20" s="363"/>
      <c r="BL20" s="363"/>
      <c r="BM20" s="363"/>
      <c r="BN20" s="363"/>
      <c r="BO20" s="523"/>
      <c r="BP20" s="363"/>
      <c r="BQ20" s="363"/>
      <c r="BR20" s="363"/>
      <c r="BS20" s="363"/>
      <c r="BT20" s="523"/>
      <c r="BU20" s="363"/>
      <c r="BV20" s="363"/>
      <c r="BW20" s="363"/>
      <c r="BX20" s="363"/>
      <c r="BY20" s="523"/>
      <c r="BZ20" s="363"/>
      <c r="CA20" s="363"/>
      <c r="CB20" s="363"/>
      <c r="CC20" s="363"/>
      <c r="CD20" s="522"/>
      <c r="CE20" s="363"/>
      <c r="CF20" s="363"/>
      <c r="CG20" s="363"/>
      <c r="CH20" s="1850"/>
      <c r="CI20" s="522"/>
      <c r="CJ20" s="363"/>
      <c r="CK20" s="363"/>
      <c r="CL20" s="363"/>
      <c r="CM20" s="363"/>
      <c r="CN20" s="523"/>
      <c r="CO20" s="363"/>
      <c r="CP20" s="363"/>
      <c r="CQ20" s="363"/>
      <c r="CR20" s="1850"/>
      <c r="CS20" s="523"/>
      <c r="CT20" s="363"/>
      <c r="CU20" s="363"/>
      <c r="CV20" s="363"/>
      <c r="CW20" s="363"/>
      <c r="CX20" s="523"/>
      <c r="CY20" s="1348"/>
      <c r="DA20" s="201"/>
      <c r="DB20" s="200"/>
      <c r="DC20" s="200"/>
    </row>
    <row r="21" spans="1:107">
      <c r="A21" s="1915" t="s">
        <v>154</v>
      </c>
      <c r="B21" s="206"/>
      <c r="C21" s="206"/>
      <c r="D21" s="206"/>
      <c r="E21" s="206"/>
      <c r="F21" s="206"/>
      <c r="G21" s="207"/>
      <c r="H21" s="206"/>
      <c r="I21" s="206"/>
      <c r="J21" s="206"/>
      <c r="K21" s="206"/>
      <c r="L21" s="206"/>
      <c r="M21" s="205"/>
      <c r="N21" s="206"/>
      <c r="O21" s="206"/>
      <c r="P21" s="207"/>
      <c r="Q21" s="208"/>
      <c r="R21" s="206"/>
      <c r="S21" s="206"/>
      <c r="T21" s="206"/>
      <c r="U21" s="206"/>
      <c r="V21" s="208"/>
      <c r="W21" s="206"/>
      <c r="X21" s="206"/>
      <c r="Y21" s="206"/>
      <c r="Z21" s="206"/>
      <c r="AA21" s="208"/>
      <c r="AB21" s="206"/>
      <c r="AC21" s="206"/>
      <c r="AD21" s="206"/>
      <c r="AE21" s="206"/>
      <c r="AF21" s="208"/>
      <c r="AG21" s="363"/>
      <c r="AH21" s="363"/>
      <c r="AI21" s="363"/>
      <c r="AJ21" s="363"/>
      <c r="AK21" s="522"/>
      <c r="AL21" s="363"/>
      <c r="AM21" s="363"/>
      <c r="AN21" s="363"/>
      <c r="AO21" s="363"/>
      <c r="AP21" s="522"/>
      <c r="AQ21" s="1917">
        <f>+AQ24+AQ27</f>
        <v>53.4</v>
      </c>
      <c r="AR21" s="1917">
        <f t="shared" ref="AR21:AT21" si="20">+AR24+AR27</f>
        <v>53.7</v>
      </c>
      <c r="AS21" s="1917">
        <f t="shared" si="20"/>
        <v>49.3</v>
      </c>
      <c r="AT21" s="1917">
        <f t="shared" si="20"/>
        <v>51.3</v>
      </c>
      <c r="AU21" s="465">
        <f>SUM(AQ21:AT21)</f>
        <v>207.7</v>
      </c>
      <c r="AV21" s="1917">
        <f>+AV24+AV27</f>
        <v>131.80000000000001</v>
      </c>
      <c r="AW21" s="1917">
        <f t="shared" ref="AW21:AY21" si="21">+AW24+AW27</f>
        <v>129.9</v>
      </c>
      <c r="AX21" s="1917">
        <f t="shared" si="21"/>
        <v>150.89999999999998</v>
      </c>
      <c r="AY21" s="1917">
        <f t="shared" si="21"/>
        <v>150.80000000000001</v>
      </c>
      <c r="AZ21" s="465">
        <f>SUM(AV21:AY21)</f>
        <v>563.40000000000009</v>
      </c>
      <c r="BA21" s="1917">
        <f>+BA24+BA27</f>
        <v>135.80000000000001</v>
      </c>
      <c r="BB21" s="1917">
        <f t="shared" ref="BB21:BD21" si="22">+BB24+BB27</f>
        <v>128.4</v>
      </c>
      <c r="BC21" s="1917">
        <f t="shared" si="22"/>
        <v>129.4</v>
      </c>
      <c r="BD21" s="1917">
        <f t="shared" si="22"/>
        <v>157.80000000000001</v>
      </c>
      <c r="BE21" s="465">
        <f>SUM(BA21:BD21)</f>
        <v>551.40000000000009</v>
      </c>
      <c r="BF21" s="1917">
        <f>+BF24+BF27</f>
        <v>140.60000000000002</v>
      </c>
      <c r="BG21" s="1917">
        <f t="shared" ref="BG21:BI21" si="23">+BG24+BG27</f>
        <v>116.1</v>
      </c>
      <c r="BH21" s="1917">
        <f t="shared" si="23"/>
        <v>118.79999999999998</v>
      </c>
      <c r="BI21" s="1917">
        <f t="shared" si="23"/>
        <v>122.3</v>
      </c>
      <c r="BJ21" s="465">
        <f>SUM(BF21:BI21)</f>
        <v>497.8</v>
      </c>
      <c r="BK21" s="1917">
        <f>+BK24+BK27</f>
        <v>104.09999999999998</v>
      </c>
      <c r="BL21" s="1917">
        <f t="shared" ref="BL21:BN21" si="24">+BL24+BL27</f>
        <v>110.89999999999998</v>
      </c>
      <c r="BM21" s="1917">
        <f t="shared" si="24"/>
        <v>103.5</v>
      </c>
      <c r="BN21" s="1917">
        <f t="shared" si="24"/>
        <v>94.699999999999989</v>
      </c>
      <c r="BO21" s="465">
        <f>SUM(BK21:BN21)</f>
        <v>413.19999999999993</v>
      </c>
      <c r="BP21" s="1917">
        <f>+BP24+BP27</f>
        <v>92</v>
      </c>
      <c r="BQ21" s="1917">
        <f t="shared" ref="BQ21:BS21" si="25">+BQ24+BQ27</f>
        <v>93.699999999999989</v>
      </c>
      <c r="BR21" s="1917">
        <f t="shared" si="25"/>
        <v>93.9</v>
      </c>
      <c r="BS21" s="1917">
        <f t="shared" si="25"/>
        <v>94</v>
      </c>
      <c r="BT21" s="465">
        <f>SUM(BP21:BS21)</f>
        <v>373.6</v>
      </c>
      <c r="BU21" s="1917">
        <f>+BU24+BU27</f>
        <v>94.9</v>
      </c>
      <c r="BV21" s="1917">
        <f t="shared" ref="BV21:BX21" si="26">+BV24+BV27</f>
        <v>88.1</v>
      </c>
      <c r="BW21" s="1917">
        <f t="shared" si="26"/>
        <v>79.700000000000017</v>
      </c>
      <c r="BX21" s="1917">
        <f t="shared" si="26"/>
        <v>78.900000000000006</v>
      </c>
      <c r="BY21" s="465">
        <f>SUM(BU21:BX21)</f>
        <v>341.6</v>
      </c>
      <c r="BZ21" s="1917">
        <f>+BZ24+BZ27</f>
        <v>74.3</v>
      </c>
      <c r="CA21" s="1917">
        <f t="shared" ref="CA21:CC21" si="27">+CA24+CA27</f>
        <v>70.2</v>
      </c>
      <c r="CB21" s="1917">
        <f t="shared" si="27"/>
        <v>70</v>
      </c>
      <c r="CC21" s="1917">
        <f t="shared" si="27"/>
        <v>67.5</v>
      </c>
      <c r="CD21" s="465">
        <f>SUM(BZ21:CC21)</f>
        <v>282</v>
      </c>
      <c r="CE21" s="1917">
        <f>+CE24+CE27</f>
        <v>66.2</v>
      </c>
      <c r="CF21" s="1917">
        <f t="shared" ref="CF21:CH21" si="28">+CF24+CF27</f>
        <v>64.8</v>
      </c>
      <c r="CG21" s="1917">
        <f t="shared" si="28"/>
        <v>63.099999999999994</v>
      </c>
      <c r="CH21" s="1917">
        <f t="shared" si="28"/>
        <v>66.400000000000006</v>
      </c>
      <c r="CI21" s="465">
        <f>SUM(CE21:CH21)</f>
        <v>260.5</v>
      </c>
      <c r="CJ21" s="1917">
        <v>64.3</v>
      </c>
      <c r="CK21" s="1917">
        <f t="shared" ref="CK21:CM21" si="29">+CK24+CK27</f>
        <v>60.394199999999998</v>
      </c>
      <c r="CL21" s="1917">
        <f t="shared" si="29"/>
        <v>56.436856448275861</v>
      </c>
      <c r="CM21" s="1917">
        <f t="shared" si="29"/>
        <v>52.779942023703924</v>
      </c>
      <c r="CN21" s="465">
        <f>SUM(CJ21:CM21)</f>
        <v>233.91099847197978</v>
      </c>
      <c r="CO21" s="1917">
        <f>+CO24+CO27</f>
        <v>52.127993834553394</v>
      </c>
      <c r="CP21" s="1917">
        <f t="shared" ref="CP21:CR21" si="30">+CP24+CP27</f>
        <v>49.83434360738763</v>
      </c>
      <c r="CQ21" s="1917">
        <f t="shared" si="30"/>
        <v>47.340209885981622</v>
      </c>
      <c r="CR21" s="1917">
        <f t="shared" si="30"/>
        <v>44.971341200363263</v>
      </c>
      <c r="CS21" s="465">
        <f>SUM(CO21:CR21)</f>
        <v>194.27388852828591</v>
      </c>
      <c r="CT21" s="1917">
        <f>+CT24+CT27</f>
        <v>44.46330521540353</v>
      </c>
      <c r="CU21" s="1917">
        <f t="shared" ref="CU21:CW21" si="31">+CU24+CU27</f>
        <v>42.518471277983124</v>
      </c>
      <c r="CV21" s="1917">
        <f t="shared" si="31"/>
        <v>40.395406570137034</v>
      </c>
      <c r="CW21" s="1917">
        <f t="shared" si="31"/>
        <v>38.378709328207982</v>
      </c>
      <c r="CX21" s="465">
        <f>SUM(CT21:CW21)</f>
        <v>165.75589239173166</v>
      </c>
      <c r="CY21" s="1348"/>
      <c r="DA21" s="201"/>
      <c r="DB21" s="200"/>
      <c r="DC21" s="200"/>
    </row>
    <row r="22" spans="1:107">
      <c r="A22" s="1913" t="s">
        <v>219</v>
      </c>
      <c r="B22" s="206"/>
      <c r="C22" s="206"/>
      <c r="D22" s="206"/>
      <c r="E22" s="206"/>
      <c r="F22" s="206"/>
      <c r="G22" s="207"/>
      <c r="H22" s="206"/>
      <c r="I22" s="206"/>
      <c r="J22" s="206"/>
      <c r="K22" s="206"/>
      <c r="L22" s="206"/>
      <c r="M22" s="205"/>
      <c r="N22" s="206"/>
      <c r="O22" s="206"/>
      <c r="P22" s="207"/>
      <c r="Q22" s="208"/>
      <c r="R22" s="206"/>
      <c r="S22" s="206"/>
      <c r="T22" s="206"/>
      <c r="U22" s="206"/>
      <c r="V22" s="208"/>
      <c r="W22" s="206"/>
      <c r="X22" s="206"/>
      <c r="Y22" s="206"/>
      <c r="Z22" s="206"/>
      <c r="AA22" s="208"/>
      <c r="AB22" s="206"/>
      <c r="AC22" s="206"/>
      <c r="AD22" s="206"/>
      <c r="AE22" s="206"/>
      <c r="AF22" s="208"/>
      <c r="AG22" s="363"/>
      <c r="AH22" s="363"/>
      <c r="AI22" s="363"/>
      <c r="AJ22" s="363"/>
      <c r="AK22" s="522"/>
      <c r="AL22" s="363"/>
      <c r="AM22" s="363"/>
      <c r="AN22" s="363"/>
      <c r="AO22" s="363"/>
      <c r="AP22" s="522"/>
      <c r="AQ22" s="363"/>
      <c r="AR22" s="363"/>
      <c r="AS22" s="363"/>
      <c r="AT22" s="363"/>
      <c r="AU22" s="523"/>
      <c r="AV22" s="507">
        <f t="shared" ref="AV22" si="32">AV21/AQ21-1</f>
        <v>1.4681647940074911</v>
      </c>
      <c r="AW22" s="507">
        <f t="shared" ref="AW22" si="33">AW21/AR21-1</f>
        <v>1.4189944134078214</v>
      </c>
      <c r="AX22" s="507">
        <f t="shared" ref="AX22" si="34">AX21/AS21-1</f>
        <v>2.0608519269776875</v>
      </c>
      <c r="AY22" s="507">
        <f t="shared" ref="AY22:AZ22" si="35">AY21/AT21-1</f>
        <v>1.9395711500974664</v>
      </c>
      <c r="AZ22" s="1266">
        <f t="shared" si="35"/>
        <v>1.7125662012518061</v>
      </c>
      <c r="BA22" s="507">
        <f t="shared" ref="BA22" si="36">BA21/AV21-1</f>
        <v>3.0349013657056112E-2</v>
      </c>
      <c r="BB22" s="507">
        <f t="shared" ref="BB22" si="37">BB21/AW21-1</f>
        <v>-1.1547344110854452E-2</v>
      </c>
      <c r="BC22" s="507">
        <f t="shared" ref="BC22" si="38">BC21/AX21-1</f>
        <v>-0.14247846255798524</v>
      </c>
      <c r="BD22" s="507">
        <f t="shared" ref="BD22" si="39">BD21/AY21-1</f>
        <v>4.6419098143235971E-2</v>
      </c>
      <c r="BE22" s="1266">
        <f t="shared" ref="BE22" si="40">BE21/AZ21-1</f>
        <v>-2.1299254526091604E-2</v>
      </c>
      <c r="BF22" s="507">
        <f t="shared" ref="BF22" si="41">BF21/BA21-1</f>
        <v>3.5346097201767401E-2</v>
      </c>
      <c r="BG22" s="507">
        <f t="shared" ref="BG22" si="42">BG21/BB21-1</f>
        <v>-9.5794392523364524E-2</v>
      </c>
      <c r="BH22" s="507">
        <f t="shared" ref="BH22" si="43">BH21/BC21-1</f>
        <v>-8.1916537867078976E-2</v>
      </c>
      <c r="BI22" s="507">
        <f t="shared" ref="BI22" si="44">BI21/BD21-1</f>
        <v>-0.22496831432192654</v>
      </c>
      <c r="BJ22" s="1266">
        <f t="shared" ref="BJ22" si="45">BJ21/BE21-1</f>
        <v>-9.7207109176641437E-2</v>
      </c>
      <c r="BK22" s="507">
        <f t="shared" ref="BK22" si="46">BK21/BF21-1</f>
        <v>-0.2596017069701283</v>
      </c>
      <c r="BL22" s="507">
        <f t="shared" ref="BL22" si="47">BL21/BG21-1</f>
        <v>-4.4788975021533339E-2</v>
      </c>
      <c r="BM22" s="507">
        <f t="shared" ref="BM22" si="48">BM21/BH21-1</f>
        <v>-0.12878787878787867</v>
      </c>
      <c r="BN22" s="507">
        <f t="shared" ref="BN22" si="49">BN21/BI21-1</f>
        <v>-0.22567457072771879</v>
      </c>
      <c r="BO22" s="1266">
        <f t="shared" ref="BO22" si="50">BO21/BJ21-1</f>
        <v>-0.169947770188831</v>
      </c>
      <c r="BP22" s="507">
        <f t="shared" ref="BP22" si="51">BP21/BK21-1</f>
        <v>-0.116234390009606</v>
      </c>
      <c r="BQ22" s="507">
        <f t="shared" ref="BQ22" si="52">BQ21/BL21-1</f>
        <v>-0.15509467989179437</v>
      </c>
      <c r="BR22" s="507">
        <f t="shared" ref="BR22" si="53">BR21/BM21-1</f>
        <v>-9.2753623188405743E-2</v>
      </c>
      <c r="BS22" s="507">
        <f t="shared" ref="BS22" si="54">BS21/BN21-1</f>
        <v>-7.3917634635690677E-3</v>
      </c>
      <c r="BT22" s="1266">
        <f t="shared" ref="BT22" si="55">BT21/BO21-1</f>
        <v>-9.5837366892545739E-2</v>
      </c>
      <c r="BU22" s="507">
        <f t="shared" ref="BU22" si="56">BU21/BP21-1</f>
        <v>3.1521739130434767E-2</v>
      </c>
      <c r="BV22" s="507">
        <f t="shared" ref="BV22" si="57">BV21/BQ21-1</f>
        <v>-5.9765208110992507E-2</v>
      </c>
      <c r="BW22" s="507">
        <f t="shared" ref="BW22" si="58">BW21/BR21-1</f>
        <v>-0.15122470713525016</v>
      </c>
      <c r="BX22" s="507">
        <f t="shared" ref="BX22" si="59">BX21/BS21-1</f>
        <v>-0.16063829787234041</v>
      </c>
      <c r="BY22" s="1266">
        <f t="shared" ref="BY22" si="60">BY21/BT21-1</f>
        <v>-8.5653104925053514E-2</v>
      </c>
      <c r="BZ22" s="507">
        <f t="shared" ref="BZ22" si="61">BZ21/BU21-1</f>
        <v>-0.21707060063224459</v>
      </c>
      <c r="CA22" s="507">
        <f t="shared" ref="CA22" si="62">CA21/BV21-1</f>
        <v>-0.20317820658342789</v>
      </c>
      <c r="CB22" s="507">
        <f t="shared" ref="CB22" si="63">CB21/BW21-1</f>
        <v>-0.12170639899623603</v>
      </c>
      <c r="CC22" s="507">
        <f t="shared" ref="CC22" si="64">CC21/BX21-1</f>
        <v>-0.14448669201520914</v>
      </c>
      <c r="CD22" s="1266">
        <f t="shared" ref="CD22" si="65">CD21/BY21-1</f>
        <v>-0.17447306791569095</v>
      </c>
      <c r="CE22" s="507">
        <f t="shared" ref="CE22" si="66">CE21/BZ21-1</f>
        <v>-0.10901749663526239</v>
      </c>
      <c r="CF22" s="507">
        <f t="shared" ref="CF22" si="67">CF21/CA21-1</f>
        <v>-7.6923076923076983E-2</v>
      </c>
      <c r="CG22" s="507">
        <f t="shared" ref="CG22" si="68">CG21/CB21-1</f>
        <v>-9.8571428571428643E-2</v>
      </c>
      <c r="CH22" s="507">
        <f t="shared" ref="CH22" si="69">CH21/CC21-1</f>
        <v>-1.6296296296296253E-2</v>
      </c>
      <c r="CI22" s="1266">
        <f t="shared" ref="CI22" si="70">CI21/CD21-1</f>
        <v>-7.6241134751773076E-2</v>
      </c>
      <c r="CJ22" s="507">
        <f t="shared" ref="CJ22" si="71">CJ21/CE21-1</f>
        <v>-2.8700906344410915E-2</v>
      </c>
      <c r="CK22" s="507">
        <f t="shared" ref="CK22" si="72">CK21/CF21-1</f>
        <v>-6.799074074074074E-2</v>
      </c>
      <c r="CL22" s="507">
        <f t="shared" ref="CL22" si="73">CL21/CG21-1</f>
        <v>-0.10559656975791021</v>
      </c>
      <c r="CM22" s="507">
        <f t="shared" ref="CM22" si="74">CM21/CH21-1</f>
        <v>-0.20512135506469997</v>
      </c>
      <c r="CN22" s="1266">
        <f t="shared" ref="CN22" si="75">CN21/CI21-1</f>
        <v>-0.10206910375439626</v>
      </c>
      <c r="CO22" s="507">
        <f t="shared" ref="CO22" si="76">CO21/CJ21-1</f>
        <v>-0.18930025140663465</v>
      </c>
      <c r="CP22" s="507">
        <f t="shared" ref="CP22" si="77">CP21/CK21-1</f>
        <v>-0.17484884960165659</v>
      </c>
      <c r="CQ22" s="507">
        <f t="shared" ref="CQ22" si="78">CQ21/CL21-1</f>
        <v>-0.16118272942135392</v>
      </c>
      <c r="CR22" s="507">
        <f t="shared" ref="CR22" si="79">CR21/CM21-1</f>
        <v>-0.14794636985076171</v>
      </c>
      <c r="CS22" s="1266">
        <f t="shared" ref="CS22" si="80">CS21/CN21-1</f>
        <v>-0.16945381022107864</v>
      </c>
      <c r="CT22" s="507">
        <f t="shared" ref="CT22" si="81">CT21/CO21-1</f>
        <v>-0.14703594087039795</v>
      </c>
      <c r="CU22" s="507">
        <f t="shared" ref="CU22" si="82">CU21/CP21-1</f>
        <v>-0.14680382643426593</v>
      </c>
      <c r="CV22" s="507">
        <f t="shared" ref="CV22" si="83">CV21/CQ21-1</f>
        <v>-0.14669988435985115</v>
      </c>
      <c r="CW22" s="507">
        <f t="shared" ref="CW22" si="84">CW21/CR21-1</f>
        <v>-0.14659629213153258</v>
      </c>
      <c r="CX22" s="1266">
        <f t="shared" ref="CX22" si="85">CX21/CS21-1</f>
        <v>-0.1467927386052299</v>
      </c>
      <c r="CY22" s="1348"/>
      <c r="DA22" s="201"/>
      <c r="DB22" s="200"/>
      <c r="DC22" s="200"/>
    </row>
    <row r="23" spans="1:107">
      <c r="A23" s="1913" t="s">
        <v>220</v>
      </c>
      <c r="B23" s="206"/>
      <c r="C23" s="206"/>
      <c r="D23" s="206"/>
      <c r="E23" s="206"/>
      <c r="F23" s="206"/>
      <c r="G23" s="207"/>
      <c r="H23" s="206"/>
      <c r="I23" s="206"/>
      <c r="J23" s="206"/>
      <c r="K23" s="206"/>
      <c r="L23" s="206"/>
      <c r="M23" s="205"/>
      <c r="N23" s="206"/>
      <c r="O23" s="206"/>
      <c r="P23" s="207"/>
      <c r="Q23" s="208"/>
      <c r="R23" s="206"/>
      <c r="S23" s="206"/>
      <c r="T23" s="206"/>
      <c r="U23" s="206"/>
      <c r="V23" s="208"/>
      <c r="W23" s="206"/>
      <c r="X23" s="206"/>
      <c r="Y23" s="206"/>
      <c r="Z23" s="206"/>
      <c r="AA23" s="208"/>
      <c r="AB23" s="206"/>
      <c r="AC23" s="206"/>
      <c r="AD23" s="206"/>
      <c r="AE23" s="206"/>
      <c r="AF23" s="208"/>
      <c r="AG23" s="363"/>
      <c r="AH23" s="363"/>
      <c r="AI23" s="363"/>
      <c r="AJ23" s="363"/>
      <c r="AK23" s="522"/>
      <c r="AL23" s="363"/>
      <c r="AM23" s="363"/>
      <c r="AN23" s="363"/>
      <c r="AO23" s="363"/>
      <c r="AP23" s="522"/>
      <c r="AQ23" s="363"/>
      <c r="AR23" s="363"/>
      <c r="AS23" s="363"/>
      <c r="AT23" s="363"/>
      <c r="AU23" s="523"/>
      <c r="AV23" s="507">
        <f>AV21/AT21-1</f>
        <v>1.5692007797270957</v>
      </c>
      <c r="AW23" s="507">
        <f>AW21/AV21-1</f>
        <v>-1.4415781487101764E-2</v>
      </c>
      <c r="AX23" s="507">
        <f>AX21/AW21-1</f>
        <v>0.16166281755196277</v>
      </c>
      <c r="AY23" s="507">
        <f>AY21/AX21-1</f>
        <v>-6.626905235253E-4</v>
      </c>
      <c r="AZ23" s="1266"/>
      <c r="BA23" s="507">
        <f>BA21/AY21-1</f>
        <v>-9.9469496021220127E-2</v>
      </c>
      <c r="BB23" s="507">
        <f>BB21/BA21-1</f>
        <v>-5.4491899852724623E-2</v>
      </c>
      <c r="BC23" s="507">
        <f>BC21/BB21-1</f>
        <v>7.7881619937694158E-3</v>
      </c>
      <c r="BD23" s="507">
        <f>BD21/BC21-1</f>
        <v>0.21947449768160743</v>
      </c>
      <c r="BE23" s="1266"/>
      <c r="BF23" s="507">
        <f>BF21/BD21-1</f>
        <v>-0.10899873257287696</v>
      </c>
      <c r="BG23" s="507">
        <f>BG21/BF21-1</f>
        <v>-0.17425320056899019</v>
      </c>
      <c r="BH23" s="507">
        <f>BH21/BG21-1</f>
        <v>2.3255813953488191E-2</v>
      </c>
      <c r="BI23" s="507">
        <f>BI21/BH21-1</f>
        <v>2.9461279461279632E-2</v>
      </c>
      <c r="BJ23" s="1266"/>
      <c r="BK23" s="507">
        <f>BK21/BI21-1</f>
        <v>-0.1488143908421915</v>
      </c>
      <c r="BL23" s="507">
        <f>BL21/BK21-1</f>
        <v>6.5321805955811607E-2</v>
      </c>
      <c r="BM23" s="507">
        <f>BM21/BL21-1</f>
        <v>-6.6726780883678782E-2</v>
      </c>
      <c r="BN23" s="507">
        <f>BN21/BM21-1</f>
        <v>-8.502415458937207E-2</v>
      </c>
      <c r="BO23" s="1266"/>
      <c r="BP23" s="507">
        <f>BP21/BN21-1</f>
        <v>-2.8511087645195277E-2</v>
      </c>
      <c r="BQ23" s="507">
        <f>BQ21/BP21-1</f>
        <v>1.8478260869565055E-2</v>
      </c>
      <c r="BR23" s="507">
        <f>BR21/BQ21-1</f>
        <v>2.1344717182498751E-3</v>
      </c>
      <c r="BS23" s="507">
        <f>BS21/BR21-1</f>
        <v>1.0649627263044081E-3</v>
      </c>
      <c r="BT23" s="1266"/>
      <c r="BU23" s="507">
        <f>BU21/BS21-1</f>
        <v>9.5744680851064246E-3</v>
      </c>
      <c r="BV23" s="507">
        <f>BV21/BU21-1</f>
        <v>-7.1654373024236162E-2</v>
      </c>
      <c r="BW23" s="507">
        <f>BW21/BV21-1</f>
        <v>-9.534619750283746E-2</v>
      </c>
      <c r="BX23" s="507">
        <f>BX21/BW21-1</f>
        <v>-1.0037641154328925E-2</v>
      </c>
      <c r="BY23" s="1266"/>
      <c r="BZ23" s="507">
        <f>BZ21/BX21-1</f>
        <v>-5.8301647655259914E-2</v>
      </c>
      <c r="CA23" s="507">
        <f>CA21/BZ21-1</f>
        <v>-5.5181695827725363E-2</v>
      </c>
      <c r="CB23" s="507">
        <f>CB21/CA21-1</f>
        <v>-2.8490028490029129E-3</v>
      </c>
      <c r="CC23" s="507">
        <f>CC21/CB21-1</f>
        <v>-3.5714285714285698E-2</v>
      </c>
      <c r="CD23" s="1266"/>
      <c r="CE23" s="507">
        <f>CE21/CC21-1</f>
        <v>-1.9259259259259198E-2</v>
      </c>
      <c r="CF23" s="507">
        <f>CF21/CE21-1</f>
        <v>-2.1148036253776481E-2</v>
      </c>
      <c r="CG23" s="507">
        <f>CG21/CF21-1</f>
        <v>-2.6234567901234573E-2</v>
      </c>
      <c r="CH23" s="507">
        <f>CH21/CG21-1</f>
        <v>5.2297939778130242E-2</v>
      </c>
      <c r="CI23" s="1266"/>
      <c r="CJ23" s="507">
        <f>CJ21/CH21-1</f>
        <v>-3.1626506024096557E-2</v>
      </c>
      <c r="CK23" s="507">
        <f>CK21/CJ21-1</f>
        <v>-6.0743390357698268E-2</v>
      </c>
      <c r="CL23" s="507">
        <f>CL21/CK21-1</f>
        <v>-6.5525225132945453E-2</v>
      </c>
      <c r="CM23" s="507">
        <f>CM21/CL21-1</f>
        <v>-6.4796564775422616E-2</v>
      </c>
      <c r="CN23" s="1266"/>
      <c r="CO23" s="507">
        <f>CO21/CM21-1</f>
        <v>-1.2352196007675342E-2</v>
      </c>
      <c r="CP23" s="507">
        <f>CP21/CO21-1</f>
        <v>-4.4000354865860958E-2</v>
      </c>
      <c r="CQ23" s="507">
        <f>CQ21/CP21-1</f>
        <v>-5.0048491479202872E-2</v>
      </c>
      <c r="CR23" s="507">
        <f>CR21/CQ21-1</f>
        <v>-5.0039251860601208E-2</v>
      </c>
      <c r="CS23" s="1266"/>
      <c r="CT23" s="507">
        <f>CT21/CR21-1</f>
        <v>-1.1296883112652867E-2</v>
      </c>
      <c r="CU23" s="507">
        <f>CU21/CT21-1</f>
        <v>-4.3740201678633905E-2</v>
      </c>
      <c r="CV23" s="507">
        <f>CV21/CU21-1</f>
        <v>-4.993276202160768E-2</v>
      </c>
      <c r="CW23" s="507">
        <f>CW21/CV21-1</f>
        <v>-4.992392485089947E-2</v>
      </c>
      <c r="CX23" s="1266"/>
      <c r="CY23" s="1348"/>
      <c r="DA23" s="201"/>
      <c r="DB23" s="200"/>
      <c r="DC23" s="200"/>
    </row>
    <row r="24" spans="1:107" ht="11.25" customHeight="1">
      <c r="A24" s="1914" t="s">
        <v>909</v>
      </c>
      <c r="B24" s="458"/>
      <c r="C24" s="459"/>
      <c r="D24" s="460"/>
      <c r="E24" s="460"/>
      <c r="F24" s="461"/>
      <c r="G24" s="462"/>
      <c r="H24" s="460"/>
      <c r="I24" s="460"/>
      <c r="J24" s="460"/>
      <c r="K24" s="461"/>
      <c r="L24" s="459"/>
      <c r="M24" s="459"/>
      <c r="N24" s="460"/>
      <c r="O24" s="460"/>
      <c r="P24" s="461"/>
      <c r="Q24" s="462"/>
      <c r="R24" s="460"/>
      <c r="S24" s="460"/>
      <c r="T24" s="460"/>
      <c r="U24" s="460"/>
      <c r="V24" s="463"/>
      <c r="W24" s="464"/>
      <c r="X24" s="464"/>
      <c r="Y24" s="464"/>
      <c r="Z24" s="458"/>
      <c r="AA24" s="465"/>
      <c r="AB24" s="464"/>
      <c r="AC24" s="464"/>
      <c r="AD24" s="464"/>
      <c r="AE24" s="464"/>
      <c r="AF24" s="465"/>
      <c r="AG24" s="458"/>
      <c r="AH24" s="458"/>
      <c r="AI24" s="458"/>
      <c r="AJ24" s="458"/>
      <c r="AK24" s="465"/>
      <c r="AL24" s="458"/>
      <c r="AM24" s="458"/>
      <c r="AN24" s="458"/>
      <c r="AO24" s="458"/>
      <c r="AP24" s="465"/>
      <c r="AQ24" s="458">
        <f>AQ112</f>
        <v>53.4</v>
      </c>
      <c r="AR24" s="458">
        <f>AR112</f>
        <v>53.7</v>
      </c>
      <c r="AS24" s="458">
        <f>AS112</f>
        <v>49.3</v>
      </c>
      <c r="AT24" s="458">
        <f>AT112</f>
        <v>51.3</v>
      </c>
      <c r="AU24" s="465">
        <f>SUM(AQ24:AT24)</f>
        <v>207.7</v>
      </c>
      <c r="AV24" s="458">
        <v>54.7</v>
      </c>
      <c r="AW24" s="458">
        <v>56.6</v>
      </c>
      <c r="AX24" s="458">
        <v>59.8</v>
      </c>
      <c r="AY24" s="458">
        <v>55</v>
      </c>
      <c r="AZ24" s="465">
        <f>SUM(AV24:AY24)</f>
        <v>226.10000000000002</v>
      </c>
      <c r="BA24" s="458">
        <v>53.7</v>
      </c>
      <c r="BB24" s="458">
        <v>54</v>
      </c>
      <c r="BC24" s="458">
        <v>55.6</v>
      </c>
      <c r="BD24" s="458">
        <v>55.1</v>
      </c>
      <c r="BE24" s="465">
        <f>SUM(BA24:BD24)</f>
        <v>218.4</v>
      </c>
      <c r="BF24" s="458">
        <v>55</v>
      </c>
      <c r="BG24" s="458">
        <v>55.1</v>
      </c>
      <c r="BH24" s="458">
        <v>54.1</v>
      </c>
      <c r="BI24" s="458">
        <v>52.3</v>
      </c>
      <c r="BJ24" s="465">
        <f>SUM(BF24:BI24)</f>
        <v>216.5</v>
      </c>
      <c r="BK24" s="458">
        <v>51.8</v>
      </c>
      <c r="BL24" s="458">
        <v>55.1</v>
      </c>
      <c r="BM24" s="458">
        <v>46.7</v>
      </c>
      <c r="BN24" s="458">
        <v>46.8</v>
      </c>
      <c r="BO24" s="465">
        <f>SUM(BK24:BN24)</f>
        <v>200.40000000000003</v>
      </c>
      <c r="BP24" s="458">
        <v>44.6</v>
      </c>
      <c r="BQ24" s="458">
        <v>46.3</v>
      </c>
      <c r="BR24" s="458">
        <v>47.4</v>
      </c>
      <c r="BS24" s="458">
        <v>50.4</v>
      </c>
      <c r="BT24" s="465">
        <f>SUM(BP24:BS24)</f>
        <v>188.70000000000002</v>
      </c>
      <c r="BU24" s="458">
        <v>49.2</v>
      </c>
      <c r="BV24" s="458">
        <v>48.2</v>
      </c>
      <c r="BW24" s="458">
        <v>45.6</v>
      </c>
      <c r="BX24" s="458">
        <v>48.4</v>
      </c>
      <c r="BY24" s="465">
        <f>SUM(BU24:BX24)</f>
        <v>191.4</v>
      </c>
      <c r="BZ24" s="458">
        <v>45.4</v>
      </c>
      <c r="CA24" s="458">
        <v>43.4</v>
      </c>
      <c r="CB24" s="458">
        <v>44.4</v>
      </c>
      <c r="CC24" s="458">
        <v>43.7</v>
      </c>
      <c r="CD24" s="465">
        <f>SUM(BZ24:CC24)</f>
        <v>176.89999999999998</v>
      </c>
      <c r="CE24" s="458">
        <v>42.4</v>
      </c>
      <c r="CF24" s="458">
        <v>43.5</v>
      </c>
      <c r="CG24" s="458">
        <v>41.4</v>
      </c>
      <c r="CH24" s="458">
        <v>43.6</v>
      </c>
      <c r="CI24" s="465">
        <f>SUM(CE24:CH24)</f>
        <v>170.9</v>
      </c>
      <c r="CJ24" s="458">
        <f>CJ21-CJ27</f>
        <v>43.78</v>
      </c>
      <c r="CK24" s="466">
        <f>CJ24*(1+CK26)</f>
        <v>42.028799999999997</v>
      </c>
      <c r="CL24" s="466">
        <f>CK24*(1+CL26)</f>
        <v>39.999823448275862</v>
      </c>
      <c r="CM24" s="466">
        <f>CL24*(1+CM26)</f>
        <v>38.068797488703922</v>
      </c>
      <c r="CN24" s="467">
        <f>SUM(CJ24:CM24)</f>
        <v>163.87742093697977</v>
      </c>
      <c r="CO24" s="466">
        <f>CM24*(1+CO26)</f>
        <v>38.225962248978391</v>
      </c>
      <c r="CP24" s="466">
        <f>CO24*(1+CP26)</f>
        <v>36.696923759019256</v>
      </c>
      <c r="CQ24" s="466">
        <f>CP24*(1+CQ26)</f>
        <v>34.925348129273502</v>
      </c>
      <c r="CR24" s="466">
        <f>CQ24*(1+CR26)</f>
        <v>33.239296840274093</v>
      </c>
      <c r="CS24" s="467">
        <f>SUM(CO24:CR24)</f>
        <v>143.08753097754524</v>
      </c>
      <c r="CT24" s="466">
        <f>CR24*(1+CT26)</f>
        <v>33.376523295119263</v>
      </c>
      <c r="CU24" s="466">
        <f>CT24*(1+CU26)</f>
        <v>32.041462363314494</v>
      </c>
      <c r="CV24" s="466">
        <f>CU24*(1+CV26)</f>
        <v>30.494633145775175</v>
      </c>
      <c r="CW24" s="466">
        <f>CV24*(1+CW26)</f>
        <v>29.022478442186028</v>
      </c>
      <c r="CX24" s="467">
        <f>SUM(CT24:CW24)</f>
        <v>124.93509724639496</v>
      </c>
      <c r="CY24" s="466"/>
      <c r="DA24" s="126"/>
      <c r="DB24" s="460"/>
      <c r="DC24" s="460"/>
    </row>
    <row r="25" spans="1:107" ht="11.25" customHeight="1">
      <c r="A25" s="1913" t="s">
        <v>219</v>
      </c>
      <c r="B25" s="652"/>
      <c r="C25" s="1280"/>
      <c r="D25" s="653"/>
      <c r="E25" s="653"/>
      <c r="F25" s="1281"/>
      <c r="G25" s="870"/>
      <c r="H25" s="653"/>
      <c r="I25" s="653"/>
      <c r="J25" s="653"/>
      <c r="K25" s="1281"/>
      <c r="L25" s="1280"/>
      <c r="M25" s="1280"/>
      <c r="N25" s="653"/>
      <c r="O25" s="653"/>
      <c r="P25" s="1281"/>
      <c r="Q25" s="870"/>
      <c r="R25" s="653"/>
      <c r="S25" s="653"/>
      <c r="T25" s="653"/>
      <c r="U25" s="653"/>
      <c r="V25" s="870"/>
      <c r="W25" s="653"/>
      <c r="X25" s="653"/>
      <c r="Y25" s="653"/>
      <c r="Z25" s="653"/>
      <c r="AA25" s="870"/>
      <c r="AB25" s="653"/>
      <c r="AC25" s="653"/>
      <c r="AD25" s="653"/>
      <c r="AE25" s="653"/>
      <c r="AF25" s="870"/>
      <c r="AG25" s="1282"/>
      <c r="AH25" s="1282"/>
      <c r="AI25" s="1282"/>
      <c r="AJ25" s="1282"/>
      <c r="AK25" s="870"/>
      <c r="AL25" s="1282"/>
      <c r="AM25" s="1282"/>
      <c r="AN25" s="1282"/>
      <c r="AO25" s="1282"/>
      <c r="AP25" s="870"/>
      <c r="AQ25" s="507"/>
      <c r="AR25" s="507"/>
      <c r="AS25" s="507"/>
      <c r="AT25" s="507"/>
      <c r="AU25" s="1137"/>
      <c r="AV25" s="507">
        <f t="shared" ref="AV25:BX25" si="86">AV24/AQ24-1</f>
        <v>2.4344569288389684E-2</v>
      </c>
      <c r="AW25" s="507">
        <f t="shared" si="86"/>
        <v>5.4003724394785735E-2</v>
      </c>
      <c r="AX25" s="507">
        <f t="shared" si="86"/>
        <v>0.21298174442190665</v>
      </c>
      <c r="AY25" s="507">
        <f t="shared" si="86"/>
        <v>7.2124756335282703E-2</v>
      </c>
      <c r="AZ25" s="1266">
        <f t="shared" si="86"/>
        <v>8.858931150698135E-2</v>
      </c>
      <c r="BA25" s="507">
        <f t="shared" si="86"/>
        <v>-1.8281535648994485E-2</v>
      </c>
      <c r="BB25" s="507">
        <f t="shared" si="86"/>
        <v>-4.5936395759717308E-2</v>
      </c>
      <c r="BC25" s="507">
        <f t="shared" si="86"/>
        <v>-7.0234113712374535E-2</v>
      </c>
      <c r="BD25" s="507">
        <f t="shared" si="86"/>
        <v>1.8181818181819409E-3</v>
      </c>
      <c r="BE25" s="1266">
        <f t="shared" si="86"/>
        <v>-3.4055727554179627E-2</v>
      </c>
      <c r="BF25" s="469">
        <f t="shared" si="86"/>
        <v>2.4208566108007368E-2</v>
      </c>
      <c r="BG25" s="507">
        <f t="shared" si="86"/>
        <v>2.0370370370370372E-2</v>
      </c>
      <c r="BH25" s="507">
        <f t="shared" si="86"/>
        <v>-2.6978417266187105E-2</v>
      </c>
      <c r="BI25" s="507">
        <f t="shared" si="86"/>
        <v>-5.0816696914700588E-2</v>
      </c>
      <c r="BJ25" s="1266">
        <f t="shared" si="86"/>
        <v>-8.6996336996337797E-3</v>
      </c>
      <c r="BK25" s="469">
        <f t="shared" si="86"/>
        <v>-5.8181818181818223E-2</v>
      </c>
      <c r="BL25" s="507">
        <f t="shared" si="86"/>
        <v>0</v>
      </c>
      <c r="BM25" s="507">
        <f t="shared" si="86"/>
        <v>-0.13678373382624764</v>
      </c>
      <c r="BN25" s="507">
        <f t="shared" si="86"/>
        <v>-0.10516252390057357</v>
      </c>
      <c r="BO25" s="1266">
        <f t="shared" si="86"/>
        <v>-7.4364896073902842E-2</v>
      </c>
      <c r="BP25" s="469">
        <f t="shared" si="86"/>
        <v>-0.13899613899613894</v>
      </c>
      <c r="BQ25" s="469">
        <f t="shared" si="86"/>
        <v>-0.1597096188747732</v>
      </c>
      <c r="BR25" s="469">
        <f t="shared" si="86"/>
        <v>1.4989293361884259E-2</v>
      </c>
      <c r="BS25" s="469">
        <f t="shared" si="86"/>
        <v>7.6923076923076872E-2</v>
      </c>
      <c r="BT25" s="1266">
        <f t="shared" si="86"/>
        <v>-5.8383233532934176E-2</v>
      </c>
      <c r="BU25" s="469">
        <f t="shared" ref="BU25:CG25" si="87">BU24/BP24-1</f>
        <v>0.10313901345291487</v>
      </c>
      <c r="BV25" s="469">
        <f t="shared" si="86"/>
        <v>4.103671706263512E-2</v>
      </c>
      <c r="BW25" s="469">
        <f t="shared" si="86"/>
        <v>-3.7974683544303778E-2</v>
      </c>
      <c r="BX25" s="469">
        <f t="shared" si="86"/>
        <v>-3.9682539682539653E-2</v>
      </c>
      <c r="BY25" s="1266">
        <f t="shared" si="87"/>
        <v>1.4308426073131875E-2</v>
      </c>
      <c r="BZ25" s="469">
        <f t="shared" si="87"/>
        <v>-7.7235772357723609E-2</v>
      </c>
      <c r="CA25" s="469">
        <f t="shared" si="87"/>
        <v>-9.9585062240663991E-2</v>
      </c>
      <c r="CB25" s="469">
        <f t="shared" si="87"/>
        <v>-2.6315789473684292E-2</v>
      </c>
      <c r="CC25" s="469">
        <f t="shared" si="87"/>
        <v>-9.710743801652888E-2</v>
      </c>
      <c r="CD25" s="472">
        <f t="shared" si="87"/>
        <v>-7.5757575757575912E-2</v>
      </c>
      <c r="CE25" s="507">
        <f t="shared" si="87"/>
        <v>-6.607929515418498E-2</v>
      </c>
      <c r="CF25" s="469">
        <f t="shared" si="87"/>
        <v>2.3041474654377225E-3</v>
      </c>
      <c r="CG25" s="469">
        <f t="shared" si="87"/>
        <v>-6.7567567567567544E-2</v>
      </c>
      <c r="CH25" s="469">
        <f t="shared" ref="CH25" si="88">CH24/CC24-1</f>
        <v>-2.2883295194507935E-3</v>
      </c>
      <c r="CI25" s="472">
        <f t="shared" ref="CI25:CN25" si="89">CI24/CD24-1</f>
        <v>-3.391746749576019E-2</v>
      </c>
      <c r="CJ25" s="507">
        <f t="shared" si="89"/>
        <v>3.2547169811320886E-2</v>
      </c>
      <c r="CK25" s="475">
        <f t="shared" si="89"/>
        <v>-3.3820689655172487E-2</v>
      </c>
      <c r="CL25" s="475">
        <f t="shared" si="89"/>
        <v>-3.3820689655172376E-2</v>
      </c>
      <c r="CM25" s="475">
        <f t="shared" si="89"/>
        <v>-0.12686244291963489</v>
      </c>
      <c r="CN25" s="476">
        <f t="shared" si="89"/>
        <v>-4.1091744078526782E-2</v>
      </c>
      <c r="CO25" s="475">
        <f t="shared" ref="CO25:CX25" si="90">CO24/CJ24-1</f>
        <v>-0.12686244291963478</v>
      </c>
      <c r="CP25" s="475">
        <f t="shared" si="90"/>
        <v>-0.12686244291963467</v>
      </c>
      <c r="CQ25" s="475">
        <f t="shared" si="90"/>
        <v>-0.12686244291963467</v>
      </c>
      <c r="CR25" s="475">
        <f t="shared" si="90"/>
        <v>-0.12686244291963455</v>
      </c>
      <c r="CS25" s="476">
        <f t="shared" si="90"/>
        <v>-0.12686244291963467</v>
      </c>
      <c r="CT25" s="475">
        <f t="shared" si="90"/>
        <v>-0.12686244291963455</v>
      </c>
      <c r="CU25" s="475">
        <f t="shared" si="90"/>
        <v>-0.12686244291963455</v>
      </c>
      <c r="CV25" s="475">
        <f t="shared" si="90"/>
        <v>-0.12686244291963455</v>
      </c>
      <c r="CW25" s="475">
        <f t="shared" si="90"/>
        <v>-0.12686244291963467</v>
      </c>
      <c r="CX25" s="476">
        <f t="shared" si="90"/>
        <v>-0.12686244291963455</v>
      </c>
      <c r="CY25" s="475"/>
      <c r="DA25" s="871"/>
      <c r="DB25" s="653"/>
      <c r="DC25" s="653"/>
    </row>
    <row r="26" spans="1:107" ht="11.25" customHeight="1">
      <c r="A26" s="1913" t="s">
        <v>220</v>
      </c>
      <c r="B26" s="652"/>
      <c r="C26" s="1280"/>
      <c r="D26" s="653"/>
      <c r="E26" s="653"/>
      <c r="F26" s="1281"/>
      <c r="G26" s="870"/>
      <c r="H26" s="653"/>
      <c r="I26" s="653"/>
      <c r="J26" s="653"/>
      <c r="K26" s="1281"/>
      <c r="L26" s="1280"/>
      <c r="M26" s="1280"/>
      <c r="N26" s="653"/>
      <c r="O26" s="653"/>
      <c r="P26" s="1281"/>
      <c r="Q26" s="870"/>
      <c r="R26" s="653"/>
      <c r="S26" s="653"/>
      <c r="T26" s="653"/>
      <c r="U26" s="653"/>
      <c r="V26" s="870"/>
      <c r="W26" s="653"/>
      <c r="X26" s="653"/>
      <c r="Y26" s="653"/>
      <c r="Z26" s="653"/>
      <c r="AA26" s="870"/>
      <c r="AB26" s="653"/>
      <c r="AC26" s="653"/>
      <c r="AD26" s="653"/>
      <c r="AE26" s="653"/>
      <c r="AF26" s="870"/>
      <c r="AG26" s="1282"/>
      <c r="AH26" s="1282"/>
      <c r="AI26" s="1282"/>
      <c r="AJ26" s="1282"/>
      <c r="AK26" s="870"/>
      <c r="AL26" s="1282"/>
      <c r="AM26" s="1282"/>
      <c r="AN26" s="1282"/>
      <c r="AO26" s="1282"/>
      <c r="AP26" s="870"/>
      <c r="AQ26" s="507"/>
      <c r="AR26" s="507"/>
      <c r="AS26" s="507"/>
      <c r="AT26" s="507"/>
      <c r="AU26" s="1137"/>
      <c r="AV26" s="507">
        <f>AV24/AT24-1</f>
        <v>6.6276803118908489E-2</v>
      </c>
      <c r="AW26" s="507">
        <f>AW24/AV24-1</f>
        <v>3.4734917733089565E-2</v>
      </c>
      <c r="AX26" s="507">
        <f>AX24/AW24-1</f>
        <v>5.6537102473498191E-2</v>
      </c>
      <c r="AY26" s="507">
        <f>AY24/AX24-1</f>
        <v>-8.026755852842804E-2</v>
      </c>
      <c r="AZ26" s="1266"/>
      <c r="BA26" s="507">
        <f>BA24/AY24-1</f>
        <v>-2.3636363636363567E-2</v>
      </c>
      <c r="BB26" s="507">
        <f>BB24/BA24-1</f>
        <v>5.5865921787709993E-3</v>
      </c>
      <c r="BC26" s="469">
        <f>BC24/BB24-1</f>
        <v>2.9629629629629672E-2</v>
      </c>
      <c r="BD26" s="507">
        <f>BD24/BC24-1</f>
        <v>-8.9928057553957386E-3</v>
      </c>
      <c r="BE26" s="1266"/>
      <c r="BF26" s="469">
        <f>BF24/BD24-1</f>
        <v>-1.8148820326678861E-3</v>
      </c>
      <c r="BG26" s="507">
        <f>BG24/BF24-1</f>
        <v>1.8181818181819409E-3</v>
      </c>
      <c r="BH26" s="507">
        <f>BH24/BG24-1</f>
        <v>-1.814882032667875E-2</v>
      </c>
      <c r="BI26" s="507">
        <f>BI24/BH24-1</f>
        <v>-3.3271719038817094E-2</v>
      </c>
      <c r="BJ26" s="1266"/>
      <c r="BK26" s="469">
        <f>BK24/BI24-1</f>
        <v>-9.5602294455067183E-3</v>
      </c>
      <c r="BL26" s="507">
        <f>BL24/BK24-1</f>
        <v>6.370656370656369E-2</v>
      </c>
      <c r="BM26" s="507">
        <f>BM24/BL24-1</f>
        <v>-0.15245009074410165</v>
      </c>
      <c r="BN26" s="507">
        <f>BN24/BM24-1</f>
        <v>2.1413276231261325E-3</v>
      </c>
      <c r="BO26" s="1266"/>
      <c r="BP26" s="469">
        <f>BP24/BN24-1</f>
        <v>-4.7008547008546953E-2</v>
      </c>
      <c r="BQ26" s="469">
        <f>BQ24/BP24-1</f>
        <v>3.811659192825112E-2</v>
      </c>
      <c r="BR26" s="469">
        <f>BR24/BQ24-1</f>
        <v>2.3758099352051865E-2</v>
      </c>
      <c r="BS26" s="469">
        <f>BS24/BR24-1</f>
        <v>6.3291139240506222E-2</v>
      </c>
      <c r="BT26" s="1266"/>
      <c r="BU26" s="469">
        <f>BU24/BS24-1</f>
        <v>-2.3809523809523725E-2</v>
      </c>
      <c r="BV26" s="469">
        <f>BV24/BU24-1</f>
        <v>-2.0325203252032464E-2</v>
      </c>
      <c r="BW26" s="469">
        <f>BW24/BV24-1</f>
        <v>-5.3941908713692976E-2</v>
      </c>
      <c r="BX26" s="469">
        <f>BX24/BW24-1</f>
        <v>6.1403508771929793E-2</v>
      </c>
      <c r="BY26" s="1266"/>
      <c r="BZ26" s="469">
        <f>BZ24/BX24-1</f>
        <v>-6.1983471074380181E-2</v>
      </c>
      <c r="CA26" s="469">
        <f>CA24/BZ24-1</f>
        <v>-4.4052863436123357E-2</v>
      </c>
      <c r="CB26" s="469">
        <f>CB24/CA24-1</f>
        <v>2.3041474654377891E-2</v>
      </c>
      <c r="CC26" s="469">
        <f>CC24/CB24-1</f>
        <v>-1.5765765765765716E-2</v>
      </c>
      <c r="CD26" s="508"/>
      <c r="CE26" s="507">
        <f>CE24/CC24-1</f>
        <v>-2.9748283752860538E-2</v>
      </c>
      <c r="CF26" s="469">
        <f>CF24/CE24-1</f>
        <v>2.5943396226415061E-2</v>
      </c>
      <c r="CG26" s="469">
        <f>CG24/CF24-1</f>
        <v>-4.8275862068965503E-2</v>
      </c>
      <c r="CH26" s="469">
        <f>CG26</f>
        <v>-4.8275862068965503E-2</v>
      </c>
      <c r="CI26" s="508"/>
      <c r="CJ26" s="507">
        <f>CJ24/CH24-1</f>
        <v>4.1284403669725744E-3</v>
      </c>
      <c r="CK26" s="475">
        <v>-0.04</v>
      </c>
      <c r="CL26" s="475">
        <f>CG26</f>
        <v>-4.8275862068965503E-2</v>
      </c>
      <c r="CM26" s="475">
        <f>CH26</f>
        <v>-4.8275862068965503E-2</v>
      </c>
      <c r="CN26" s="1267"/>
      <c r="CO26" s="475">
        <f>CJ26</f>
        <v>4.1284403669725744E-3</v>
      </c>
      <c r="CP26" s="475">
        <f t="shared" ref="CP26:CR26" si="91">CK26</f>
        <v>-0.04</v>
      </c>
      <c r="CQ26" s="475">
        <f t="shared" si="91"/>
        <v>-4.8275862068965503E-2</v>
      </c>
      <c r="CR26" s="475">
        <f t="shared" si="91"/>
        <v>-4.8275862068965503E-2</v>
      </c>
      <c r="CS26" s="1267"/>
      <c r="CT26" s="475">
        <f>CO26</f>
        <v>4.1284403669725744E-3</v>
      </c>
      <c r="CU26" s="475">
        <f t="shared" ref="CU26" si="92">CP26</f>
        <v>-0.04</v>
      </c>
      <c r="CV26" s="475">
        <f t="shared" ref="CV26" si="93">CQ26</f>
        <v>-4.8275862068965503E-2</v>
      </c>
      <c r="CW26" s="475">
        <f t="shared" ref="CW26" si="94">CR26</f>
        <v>-4.8275862068965503E-2</v>
      </c>
      <c r="CX26" s="1267"/>
      <c r="CY26" s="1283"/>
      <c r="DA26" s="871"/>
      <c r="DB26" s="653"/>
      <c r="DC26" s="653"/>
    </row>
    <row r="27" spans="1:107" ht="11.25" customHeight="1">
      <c r="A27" s="1914" t="s">
        <v>20</v>
      </c>
      <c r="B27" s="458"/>
      <c r="C27" s="459"/>
      <c r="D27" s="460"/>
      <c r="E27" s="460"/>
      <c r="F27" s="461"/>
      <c r="G27" s="462"/>
      <c r="H27" s="460"/>
      <c r="I27" s="460"/>
      <c r="J27" s="460"/>
      <c r="K27" s="461"/>
      <c r="L27" s="459"/>
      <c r="M27" s="459"/>
      <c r="N27" s="460"/>
      <c r="O27" s="460"/>
      <c r="P27" s="461"/>
      <c r="Q27" s="462"/>
      <c r="R27" s="460"/>
      <c r="S27" s="460"/>
      <c r="T27" s="460"/>
      <c r="U27" s="460"/>
      <c r="V27" s="463"/>
      <c r="W27" s="464"/>
      <c r="X27" s="464"/>
      <c r="Y27" s="464"/>
      <c r="Z27" s="458"/>
      <c r="AA27" s="465"/>
      <c r="AB27" s="464"/>
      <c r="AC27" s="464"/>
      <c r="AD27" s="464"/>
      <c r="AE27" s="464"/>
      <c r="AF27" s="465"/>
      <c r="AG27" s="458"/>
      <c r="AH27" s="458"/>
      <c r="AI27" s="458"/>
      <c r="AJ27" s="458"/>
      <c r="AK27" s="465"/>
      <c r="AL27" s="458"/>
      <c r="AM27" s="458"/>
      <c r="AN27" s="458"/>
      <c r="AO27" s="458"/>
      <c r="AP27" s="465"/>
      <c r="AQ27" s="458"/>
      <c r="AR27" s="458"/>
      <c r="AS27" s="458"/>
      <c r="AT27" s="458"/>
      <c r="AU27" s="465"/>
      <c r="AV27" s="458">
        <v>77.099999999999994</v>
      </c>
      <c r="AW27" s="458">
        <v>73.3</v>
      </c>
      <c r="AX27" s="458">
        <v>91.1</v>
      </c>
      <c r="AY27" s="458">
        <v>95.8</v>
      </c>
      <c r="AZ27" s="465">
        <f>SUM(AV27:AY27)</f>
        <v>337.29999999999995</v>
      </c>
      <c r="BA27" s="458">
        <f>BA83-BA17</f>
        <v>82.100000000000023</v>
      </c>
      <c r="BB27" s="458">
        <f>BB83-BB17</f>
        <v>74.400000000000006</v>
      </c>
      <c r="BC27" s="458">
        <f>BC83-BC17</f>
        <v>73.800000000000011</v>
      </c>
      <c r="BD27" s="458">
        <f>BD83-BD17</f>
        <v>102.70000000000002</v>
      </c>
      <c r="BE27" s="465">
        <f>SUM(BA27:BD27)</f>
        <v>333.00000000000006</v>
      </c>
      <c r="BF27" s="458">
        <f>BF83-BF17</f>
        <v>85.600000000000023</v>
      </c>
      <c r="BG27" s="458">
        <f>BG83-BG17</f>
        <v>61</v>
      </c>
      <c r="BH27" s="458">
        <f>BH83-BH17</f>
        <v>64.699999999999989</v>
      </c>
      <c r="BI27" s="458">
        <f>BI83-BI17</f>
        <v>70</v>
      </c>
      <c r="BJ27" s="465">
        <f>SUM(BF27:BI27)</f>
        <v>281.3</v>
      </c>
      <c r="BK27" s="458">
        <f>BK83-BK17</f>
        <v>52.299999999999983</v>
      </c>
      <c r="BL27" s="458">
        <f>BL83-BL17</f>
        <v>55.799999999999983</v>
      </c>
      <c r="BM27" s="458">
        <v>56.8</v>
      </c>
      <c r="BN27" s="458">
        <v>47.9</v>
      </c>
      <c r="BO27" s="465">
        <f>SUM(BK27:BN27)</f>
        <v>212.79999999999998</v>
      </c>
      <c r="BP27" s="458">
        <v>47.4</v>
      </c>
      <c r="BQ27" s="458">
        <v>47.4</v>
      </c>
      <c r="BR27" s="458">
        <v>46.5</v>
      </c>
      <c r="BS27" s="458">
        <v>43.6</v>
      </c>
      <c r="BT27" s="465">
        <f>SUM(BP27:BS27)</f>
        <v>184.9</v>
      </c>
      <c r="BU27" s="458">
        <v>45.7</v>
      </c>
      <c r="BV27" s="458">
        <v>39.9</v>
      </c>
      <c r="BW27" s="458">
        <v>34.100000000000023</v>
      </c>
      <c r="BX27" s="458">
        <v>30.5</v>
      </c>
      <c r="BY27" s="465">
        <f>SUM(BU27:BX27)</f>
        <v>150.20000000000002</v>
      </c>
      <c r="BZ27" s="458">
        <v>28.9</v>
      </c>
      <c r="CA27" s="458">
        <v>26.8</v>
      </c>
      <c r="CB27" s="458">
        <v>25.6</v>
      </c>
      <c r="CC27" s="458">
        <v>23.8</v>
      </c>
      <c r="CD27" s="465">
        <f>SUM(BZ27:CC27)</f>
        <v>105.10000000000001</v>
      </c>
      <c r="CE27" s="458">
        <v>23.8</v>
      </c>
      <c r="CF27" s="458">
        <v>21.3</v>
      </c>
      <c r="CG27" s="458">
        <v>21.7</v>
      </c>
      <c r="CH27" s="458">
        <v>22.8</v>
      </c>
      <c r="CI27" s="465">
        <f>SUM(CE27:CH27)</f>
        <v>89.6</v>
      </c>
      <c r="CJ27" s="458">
        <f>CH27*(1+CJ29)</f>
        <v>20.52</v>
      </c>
      <c r="CK27" s="466">
        <f>CJ27*(1+CK29)</f>
        <v>18.365400000000001</v>
      </c>
      <c r="CL27" s="466">
        <f>CK27*(1+CL29)</f>
        <v>16.437033</v>
      </c>
      <c r="CM27" s="466">
        <f>CL27*(1+CM29)</f>
        <v>14.711144535000001</v>
      </c>
      <c r="CN27" s="467">
        <f>SUM(CJ27:CM27)</f>
        <v>70.033577535000006</v>
      </c>
      <c r="CO27" s="466">
        <f>CM27*(1+CO29)</f>
        <v>13.902031585575001</v>
      </c>
      <c r="CP27" s="466">
        <f>CO27*(1+CP29)</f>
        <v>13.137419848368376</v>
      </c>
      <c r="CQ27" s="466">
        <f>CP27*(1+CQ29)</f>
        <v>12.414861756708117</v>
      </c>
      <c r="CR27" s="466">
        <f>CQ27*(1+CR29)</f>
        <v>11.732044360089171</v>
      </c>
      <c r="CS27" s="467">
        <f>SUM(CO27:CR27)</f>
        <v>51.186357550740659</v>
      </c>
      <c r="CT27" s="466">
        <f>CR27*(1+CT29)</f>
        <v>11.086781920284267</v>
      </c>
      <c r="CU27" s="466">
        <f>CT27*(1+CU29)</f>
        <v>10.477008914668632</v>
      </c>
      <c r="CV27" s="466">
        <f>CU27*(1+CV29)</f>
        <v>9.9007734243618586</v>
      </c>
      <c r="CW27" s="466">
        <f>CV27*(1+CW29)</f>
        <v>9.3562308860219563</v>
      </c>
      <c r="CX27" s="467">
        <f>SUM(CT27:CW27)</f>
        <v>40.82079514533671</v>
      </c>
      <c r="CY27" s="466"/>
      <c r="DA27" s="1334"/>
      <c r="DB27" s="460"/>
      <c r="DC27" s="460"/>
    </row>
    <row r="28" spans="1:107" ht="11.25" customHeight="1">
      <c r="A28" s="1913" t="s">
        <v>219</v>
      </c>
      <c r="B28" s="652"/>
      <c r="C28" s="1280"/>
      <c r="D28" s="653"/>
      <c r="E28" s="653"/>
      <c r="F28" s="1281"/>
      <c r="G28" s="870"/>
      <c r="H28" s="653"/>
      <c r="I28" s="653"/>
      <c r="J28" s="653"/>
      <c r="K28" s="1281"/>
      <c r="L28" s="1280"/>
      <c r="M28" s="1280"/>
      <c r="N28" s="653"/>
      <c r="O28" s="653"/>
      <c r="P28" s="1281"/>
      <c r="Q28" s="870"/>
      <c r="R28" s="653"/>
      <c r="S28" s="653"/>
      <c r="T28" s="653"/>
      <c r="U28" s="653"/>
      <c r="V28" s="870"/>
      <c r="W28" s="653"/>
      <c r="X28" s="653"/>
      <c r="Y28" s="653"/>
      <c r="Z28" s="653"/>
      <c r="AA28" s="870"/>
      <c r="AB28" s="653"/>
      <c r="AC28" s="653"/>
      <c r="AD28" s="653"/>
      <c r="AE28" s="653"/>
      <c r="AF28" s="870"/>
      <c r="AG28" s="1282"/>
      <c r="AH28" s="1282"/>
      <c r="AI28" s="1282"/>
      <c r="AJ28" s="1282"/>
      <c r="AK28" s="870"/>
      <c r="AL28" s="1282"/>
      <c r="AM28" s="1282"/>
      <c r="AN28" s="1282"/>
      <c r="AO28" s="1282"/>
      <c r="AP28" s="870"/>
      <c r="AQ28" s="507"/>
      <c r="AR28" s="507"/>
      <c r="AS28" s="507"/>
      <c r="AT28" s="507"/>
      <c r="AU28" s="1137"/>
      <c r="AV28" s="507"/>
      <c r="AW28" s="507"/>
      <c r="AX28" s="507"/>
      <c r="AY28" s="507"/>
      <c r="AZ28" s="1266"/>
      <c r="BA28" s="507">
        <f t="shared" ref="BA28:BX28" si="95">BA27/AV27-1</f>
        <v>6.4850843060960228E-2</v>
      </c>
      <c r="BB28" s="507">
        <f t="shared" si="95"/>
        <v>1.5006821282401273E-2</v>
      </c>
      <c r="BC28" s="507">
        <f t="shared" si="95"/>
        <v>-0.18990120746432471</v>
      </c>
      <c r="BD28" s="507">
        <f t="shared" si="95"/>
        <v>7.2025052192067118E-2</v>
      </c>
      <c r="BE28" s="1266">
        <f t="shared" si="95"/>
        <v>-1.2748295286095113E-2</v>
      </c>
      <c r="BF28" s="469">
        <f t="shared" si="95"/>
        <v>4.2630937880633324E-2</v>
      </c>
      <c r="BG28" s="507">
        <f t="shared" si="95"/>
        <v>-0.18010752688172049</v>
      </c>
      <c r="BH28" s="507">
        <f t="shared" si="95"/>
        <v>-0.12330623306233091</v>
      </c>
      <c r="BI28" s="507">
        <f t="shared" si="95"/>
        <v>-0.31840311587147041</v>
      </c>
      <c r="BJ28" s="1266">
        <f t="shared" si="95"/>
        <v>-0.15525525525525541</v>
      </c>
      <c r="BK28" s="469">
        <f t="shared" si="95"/>
        <v>-0.38901869158878544</v>
      </c>
      <c r="BL28" s="507">
        <f t="shared" si="95"/>
        <v>-8.5245901639344535E-2</v>
      </c>
      <c r="BM28" s="507">
        <f t="shared" si="95"/>
        <v>-0.12210200927357018</v>
      </c>
      <c r="BN28" s="507">
        <f t="shared" si="95"/>
        <v>-0.31571428571428573</v>
      </c>
      <c r="BO28" s="1266">
        <f t="shared" si="95"/>
        <v>-0.24351226448631369</v>
      </c>
      <c r="BP28" s="469">
        <f t="shared" si="95"/>
        <v>-9.3690248565965306E-2</v>
      </c>
      <c r="BQ28" s="469">
        <f t="shared" si="95"/>
        <v>-0.15053763440860191</v>
      </c>
      <c r="BR28" s="469">
        <f t="shared" si="95"/>
        <v>-0.18133802816901401</v>
      </c>
      <c r="BS28" s="469">
        <f t="shared" si="95"/>
        <v>-8.9770354906054228E-2</v>
      </c>
      <c r="BT28" s="1266">
        <f t="shared" si="95"/>
        <v>-0.1311090225563909</v>
      </c>
      <c r="BU28" s="469">
        <f t="shared" ref="BU28:CH28" si="96">BU27/BP27-1</f>
        <v>-3.5864978902953482E-2</v>
      </c>
      <c r="BV28" s="469">
        <f t="shared" si="95"/>
        <v>-0.15822784810126578</v>
      </c>
      <c r="BW28" s="469">
        <f t="shared" si="95"/>
        <v>-0.26666666666666616</v>
      </c>
      <c r="BX28" s="469">
        <f t="shared" si="95"/>
        <v>-0.30045871559633031</v>
      </c>
      <c r="BY28" s="1266">
        <f t="shared" si="96"/>
        <v>-0.18766901027582472</v>
      </c>
      <c r="BZ28" s="469">
        <f t="shared" si="96"/>
        <v>-0.3676148796498907</v>
      </c>
      <c r="CA28" s="469">
        <f t="shared" si="96"/>
        <v>-0.32832080200501246</v>
      </c>
      <c r="CB28" s="469">
        <f t="shared" si="96"/>
        <v>-0.24926686217008842</v>
      </c>
      <c r="CC28" s="469">
        <f t="shared" si="96"/>
        <v>-0.21967213114754092</v>
      </c>
      <c r="CD28" s="472">
        <f t="shared" si="96"/>
        <v>-0.30026631158455397</v>
      </c>
      <c r="CE28" s="507">
        <f t="shared" si="96"/>
        <v>-0.17647058823529405</v>
      </c>
      <c r="CF28" s="469">
        <f t="shared" si="96"/>
        <v>-0.20522388059701491</v>
      </c>
      <c r="CG28" s="469">
        <f t="shared" si="96"/>
        <v>-0.15234375000000011</v>
      </c>
      <c r="CH28" s="469">
        <f t="shared" si="96"/>
        <v>-4.2016806722689037E-2</v>
      </c>
      <c r="CI28" s="472">
        <f t="shared" ref="CI28:CN28" si="97">CI27/CD27-1</f>
        <v>-0.14747859181731693</v>
      </c>
      <c r="CJ28" s="507">
        <f t="shared" si="97"/>
        <v>-0.13781512605042023</v>
      </c>
      <c r="CK28" s="475">
        <f t="shared" si="97"/>
        <v>-0.13777464788732396</v>
      </c>
      <c r="CL28" s="475">
        <f t="shared" si="97"/>
        <v>-0.24253304147465438</v>
      </c>
      <c r="CM28" s="475">
        <f t="shared" si="97"/>
        <v>-0.35477436249999994</v>
      </c>
      <c r="CN28" s="476">
        <f t="shared" si="97"/>
        <v>-0.21837525072544628</v>
      </c>
      <c r="CO28" s="475">
        <f t="shared" ref="CO28:CX28" si="98">CO27/CJ27-1</f>
        <v>-0.32251308062499995</v>
      </c>
      <c r="CP28" s="475">
        <f t="shared" si="98"/>
        <v>-0.28466464937500002</v>
      </c>
      <c r="CQ28" s="475">
        <f t="shared" si="98"/>
        <v>-0.24470178062499981</v>
      </c>
      <c r="CR28" s="475">
        <f t="shared" si="98"/>
        <v>-0.20250634937499978</v>
      </c>
      <c r="CS28" s="476">
        <f t="shared" si="98"/>
        <v>-0.26911691002562665</v>
      </c>
      <c r="CT28" s="475">
        <f t="shared" si="98"/>
        <v>-0.20250634937499989</v>
      </c>
      <c r="CU28" s="475">
        <f t="shared" si="98"/>
        <v>-0.20250634937499989</v>
      </c>
      <c r="CV28" s="475">
        <f t="shared" si="98"/>
        <v>-0.20250634937499989</v>
      </c>
      <c r="CW28" s="475">
        <f t="shared" si="98"/>
        <v>-0.20250634937499989</v>
      </c>
      <c r="CX28" s="476">
        <f t="shared" si="98"/>
        <v>-0.20250634937499989</v>
      </c>
      <c r="CY28" s="475"/>
      <c r="DA28" s="871"/>
      <c r="DB28" s="653"/>
      <c r="DC28" s="653"/>
    </row>
    <row r="29" spans="1:107" ht="11.25" customHeight="1">
      <c r="A29" s="1913" t="s">
        <v>220</v>
      </c>
      <c r="B29" s="652"/>
      <c r="C29" s="1280"/>
      <c r="D29" s="653"/>
      <c r="E29" s="653"/>
      <c r="F29" s="1281"/>
      <c r="G29" s="870"/>
      <c r="H29" s="653"/>
      <c r="I29" s="653"/>
      <c r="J29" s="653"/>
      <c r="K29" s="1281"/>
      <c r="L29" s="1280"/>
      <c r="M29" s="1280"/>
      <c r="N29" s="653"/>
      <c r="O29" s="653"/>
      <c r="P29" s="1281"/>
      <c r="Q29" s="870"/>
      <c r="R29" s="653"/>
      <c r="S29" s="653"/>
      <c r="T29" s="653"/>
      <c r="U29" s="653"/>
      <c r="V29" s="870"/>
      <c r="W29" s="653"/>
      <c r="X29" s="653"/>
      <c r="Y29" s="653"/>
      <c r="Z29" s="653"/>
      <c r="AA29" s="870"/>
      <c r="AB29" s="653"/>
      <c r="AC29" s="653"/>
      <c r="AD29" s="653"/>
      <c r="AE29" s="653"/>
      <c r="AF29" s="870"/>
      <c r="AG29" s="1282"/>
      <c r="AH29" s="1282"/>
      <c r="AI29" s="1282"/>
      <c r="AJ29" s="1282"/>
      <c r="AK29" s="870"/>
      <c r="AL29" s="1282"/>
      <c r="AM29" s="1282"/>
      <c r="AN29" s="1282"/>
      <c r="AO29" s="1282"/>
      <c r="AP29" s="870"/>
      <c r="AQ29" s="507"/>
      <c r="AR29" s="507"/>
      <c r="AS29" s="507"/>
      <c r="AT29" s="507"/>
      <c r="AU29" s="1137"/>
      <c r="AV29" s="507"/>
      <c r="AW29" s="507">
        <f>AW27/AV27-1</f>
        <v>-4.9286640726329378E-2</v>
      </c>
      <c r="AX29" s="507">
        <f>AX27/AW27-1</f>
        <v>0.24283765347885389</v>
      </c>
      <c r="AY29" s="507">
        <f>AY27/AX27-1</f>
        <v>5.1591657519209688E-2</v>
      </c>
      <c r="AZ29" s="1266"/>
      <c r="BA29" s="507">
        <f>BA27/AY27-1</f>
        <v>-0.14300626304801645</v>
      </c>
      <c r="BB29" s="507">
        <f>BB27/BA27-1</f>
        <v>-9.3788063337393646E-2</v>
      </c>
      <c r="BC29" s="469">
        <f>BC27/BB27-1</f>
        <v>-8.0645161290321399E-3</v>
      </c>
      <c r="BD29" s="507">
        <f>BD27/BC27-1</f>
        <v>0.39159891598915997</v>
      </c>
      <c r="BE29" s="1266"/>
      <c r="BF29" s="469">
        <f>BF27/BD27-1</f>
        <v>-0.16650438169425508</v>
      </c>
      <c r="BG29" s="507">
        <f>BG27/BF27-1</f>
        <v>-0.28738317757009368</v>
      </c>
      <c r="BH29" s="507">
        <f>BH27/BG27-1</f>
        <v>6.0655737704917945E-2</v>
      </c>
      <c r="BI29" s="507">
        <f>BI27/BH27-1</f>
        <v>8.1916537867078976E-2</v>
      </c>
      <c r="BJ29" s="1266"/>
      <c r="BK29" s="469">
        <f>BK27/BI27-1</f>
        <v>-0.25285714285714311</v>
      </c>
      <c r="BL29" s="507">
        <f>BL27/BK27-1</f>
        <v>6.6921606118546917E-2</v>
      </c>
      <c r="BM29" s="507">
        <f>BM27/BL27-1</f>
        <v>1.7921146953405298E-2</v>
      </c>
      <c r="BN29" s="507">
        <f>BN27/BM27-1</f>
        <v>-0.15669014084507038</v>
      </c>
      <c r="BO29" s="1266"/>
      <c r="BP29" s="469">
        <f>BP27/BN27-1</f>
        <v>-1.043841336116913E-2</v>
      </c>
      <c r="BQ29" s="469">
        <f>BQ27/BP27-1</f>
        <v>0</v>
      </c>
      <c r="BR29" s="469">
        <f>BR27/BQ27-1</f>
        <v>-1.8987341772151889E-2</v>
      </c>
      <c r="BS29" s="469">
        <f>BS27/BR27-1</f>
        <v>-6.2365591397849474E-2</v>
      </c>
      <c r="BT29" s="1266"/>
      <c r="BU29" s="469">
        <f>BU27/BS27-1</f>
        <v>4.8165137614678999E-2</v>
      </c>
      <c r="BV29" s="469">
        <f>BV27/BU27-1</f>
        <v>-0.12691466083150993</v>
      </c>
      <c r="BW29" s="469">
        <f>BW27/BV27-1</f>
        <v>-0.14536340852130269</v>
      </c>
      <c r="BX29" s="469">
        <f>BX27/BW27-1</f>
        <v>-0.10557184750733195</v>
      </c>
      <c r="BY29" s="1266"/>
      <c r="BZ29" s="469">
        <f>BZ27/BX27-1</f>
        <v>-5.2459016393442637E-2</v>
      </c>
      <c r="CA29" s="469">
        <f>CA27/BZ27-1</f>
        <v>-7.2664359861591588E-2</v>
      </c>
      <c r="CB29" s="469">
        <f>CB27/CA27-1</f>
        <v>-4.4776119402985093E-2</v>
      </c>
      <c r="CC29" s="469">
        <f>CC27/CB27-1</f>
        <v>-7.03125E-2</v>
      </c>
      <c r="CD29" s="508"/>
      <c r="CE29" s="507">
        <f>CE27/CC27-1</f>
        <v>0</v>
      </c>
      <c r="CF29" s="469">
        <f>CF27/CE27-1</f>
        <v>-0.10504201680672265</v>
      </c>
      <c r="CG29" s="469">
        <f>CG27/CF27-1</f>
        <v>1.8779342723004522E-2</v>
      </c>
      <c r="CH29" s="469">
        <f>CH27/CG27-1</f>
        <v>5.069124423963145E-2</v>
      </c>
      <c r="CI29" s="508"/>
      <c r="CJ29" s="507">
        <v>-0.1</v>
      </c>
      <c r="CK29" s="475">
        <v>-0.105</v>
      </c>
      <c r="CL29" s="475">
        <f>CK29</f>
        <v>-0.105</v>
      </c>
      <c r="CM29" s="475">
        <f>CL29</f>
        <v>-0.105</v>
      </c>
      <c r="CN29" s="1267"/>
      <c r="CO29" s="475">
        <f>CM29+0.05</f>
        <v>-5.4999999999999993E-2</v>
      </c>
      <c r="CP29" s="475">
        <f>CO29</f>
        <v>-5.4999999999999993E-2</v>
      </c>
      <c r="CQ29" s="475">
        <f>CP29</f>
        <v>-5.4999999999999993E-2</v>
      </c>
      <c r="CR29" s="475">
        <f>CQ29</f>
        <v>-5.4999999999999993E-2</v>
      </c>
      <c r="CS29" s="1267"/>
      <c r="CT29" s="475">
        <f>CR29</f>
        <v>-5.4999999999999993E-2</v>
      </c>
      <c r="CU29" s="475">
        <f>CT29</f>
        <v>-5.4999999999999993E-2</v>
      </c>
      <c r="CV29" s="475">
        <f>CU29</f>
        <v>-5.4999999999999993E-2</v>
      </c>
      <c r="CW29" s="475">
        <f>CV29</f>
        <v>-5.4999999999999993E-2</v>
      </c>
      <c r="CX29" s="1267"/>
      <c r="CY29" s="1283"/>
      <c r="DA29" s="871"/>
      <c r="DC29" s="653"/>
    </row>
    <row r="30" spans="1:107" ht="5.25" customHeight="1">
      <c r="A30" s="1845"/>
      <c r="B30" s="114"/>
      <c r="C30" s="116"/>
      <c r="D30" s="117"/>
      <c r="E30" s="117"/>
      <c r="F30" s="118"/>
      <c r="G30" s="119"/>
      <c r="H30" s="116"/>
      <c r="I30" s="117"/>
      <c r="J30" s="117"/>
      <c r="K30" s="118"/>
      <c r="L30" s="116"/>
      <c r="M30" s="116"/>
      <c r="N30" s="117"/>
      <c r="O30" s="117"/>
      <c r="P30" s="118"/>
      <c r="Q30" s="119"/>
      <c r="R30" s="117"/>
      <c r="S30" s="117"/>
      <c r="T30" s="117"/>
      <c r="U30" s="117"/>
      <c r="V30" s="119"/>
      <c r="W30" s="117"/>
      <c r="X30" s="117"/>
      <c r="Y30" s="117"/>
      <c r="Z30" s="117"/>
      <c r="AA30" s="119"/>
      <c r="AB30" s="117"/>
      <c r="AC30" s="117"/>
      <c r="AD30" s="117"/>
      <c r="AE30" s="117"/>
      <c r="AF30" s="119"/>
      <c r="AG30" s="121"/>
      <c r="AH30" s="121"/>
      <c r="AI30" s="121"/>
      <c r="AJ30" s="121"/>
      <c r="AK30" s="119"/>
      <c r="AL30" s="121"/>
      <c r="AM30" s="121"/>
      <c r="AN30" s="121"/>
      <c r="AO30" s="121"/>
      <c r="AP30" s="119"/>
      <c r="AQ30" s="121"/>
      <c r="AR30" s="121"/>
      <c r="AS30" s="121"/>
      <c r="AT30" s="121"/>
      <c r="AU30" s="120"/>
      <c r="AV30" s="121"/>
      <c r="AW30" s="121"/>
      <c r="AX30" s="121"/>
      <c r="AY30" s="121"/>
      <c r="AZ30" s="120"/>
      <c r="BA30" s="123"/>
      <c r="BB30" s="123"/>
      <c r="BC30" s="121"/>
      <c r="BD30" s="121"/>
      <c r="BE30" s="120"/>
      <c r="BF30" s="121"/>
      <c r="BG30" s="123"/>
      <c r="BH30" s="123"/>
      <c r="BI30" s="121"/>
      <c r="BJ30" s="120"/>
      <c r="BK30" s="121"/>
      <c r="BL30" s="123"/>
      <c r="BM30" s="123"/>
      <c r="BN30" s="123"/>
      <c r="BO30" s="120"/>
      <c r="BP30" s="123"/>
      <c r="BQ30" s="123"/>
      <c r="BR30" s="123"/>
      <c r="BS30" s="123"/>
      <c r="BT30" s="120"/>
      <c r="BU30" s="123"/>
      <c r="BV30" s="123"/>
      <c r="BW30" s="123"/>
      <c r="BX30" s="123"/>
      <c r="BY30" s="120"/>
      <c r="BZ30" s="123"/>
      <c r="CA30" s="123"/>
      <c r="CB30" s="121"/>
      <c r="CC30" s="121"/>
      <c r="CD30" s="120"/>
      <c r="CE30" s="121"/>
      <c r="CF30" s="121"/>
      <c r="CG30" s="121"/>
      <c r="CH30" s="121"/>
      <c r="CI30" s="120"/>
      <c r="CJ30" s="121"/>
      <c r="CK30" s="123"/>
      <c r="CL30" s="123"/>
      <c r="CM30" s="123"/>
      <c r="CN30" s="125"/>
      <c r="CO30" s="123"/>
      <c r="CP30" s="123"/>
      <c r="CQ30" s="123"/>
      <c r="CR30" s="123"/>
      <c r="CS30" s="125"/>
      <c r="CT30" s="123"/>
      <c r="CU30" s="123"/>
      <c r="CV30" s="123"/>
      <c r="CW30" s="123"/>
      <c r="CX30" s="125"/>
      <c r="CY30" s="123"/>
      <c r="DA30" s="126"/>
      <c r="DB30" s="117"/>
      <c r="DC30" s="117"/>
    </row>
    <row r="31" spans="1:107" ht="11.25" customHeight="1">
      <c r="A31" s="1916" t="s">
        <v>445</v>
      </c>
      <c r="B31" s="954"/>
      <c r="C31" s="955"/>
      <c r="D31" s="956"/>
      <c r="E31" s="956"/>
      <c r="F31" s="957"/>
      <c r="G31" s="958"/>
      <c r="H31" s="955"/>
      <c r="I31" s="956"/>
      <c r="J31" s="956"/>
      <c r="K31" s="957"/>
      <c r="L31" s="955"/>
      <c r="M31" s="955"/>
      <c r="N31" s="956"/>
      <c r="O31" s="956"/>
      <c r="P31" s="957"/>
      <c r="Q31" s="958"/>
      <c r="R31" s="956"/>
      <c r="S31" s="956"/>
      <c r="T31" s="956"/>
      <c r="U31" s="956"/>
      <c r="V31" s="959"/>
      <c r="W31" s="954"/>
      <c r="X31" s="954"/>
      <c r="Y31" s="954"/>
      <c r="Z31" s="954"/>
      <c r="AA31" s="959"/>
      <c r="AB31" s="954"/>
      <c r="AC31" s="954"/>
      <c r="AD31" s="954"/>
      <c r="AE31" s="954"/>
      <c r="AF31" s="959"/>
      <c r="AG31" s="954"/>
      <c r="AH31" s="954"/>
      <c r="AI31" s="954"/>
      <c r="AJ31" s="954"/>
      <c r="AK31" s="959"/>
      <c r="AL31" s="954"/>
      <c r="AM31" s="954"/>
      <c r="AN31" s="954"/>
      <c r="AO31" s="954"/>
      <c r="AP31" s="959"/>
      <c r="AQ31" s="954">
        <f>SUM(AQ24,AQ83,AQ7)</f>
        <v>786.4</v>
      </c>
      <c r="AR31" s="954">
        <f>SUM(AR24,AR83,AR7)</f>
        <v>704.69999999999993</v>
      </c>
      <c r="AS31" s="954">
        <f>SUM(AS24,AS83,AS7)</f>
        <v>697.5</v>
      </c>
      <c r="AT31" s="954">
        <f>SUM(AT24,AT83,AT7)</f>
        <v>757.30000000000007</v>
      </c>
      <c r="AU31" s="1135">
        <f>SUM(AQ31:AT31)</f>
        <v>2945.9</v>
      </c>
      <c r="AV31" s="954">
        <f>SUM(AV24,AV83,AV7)</f>
        <v>858.7</v>
      </c>
      <c r="AW31" s="954">
        <f>SUM(AW24,AW83,AW7)</f>
        <v>943</v>
      </c>
      <c r="AX31" s="954">
        <f>SUM(AX24,AX83,AX7)</f>
        <v>990.3</v>
      </c>
      <c r="AY31" s="954">
        <f>SUM(AY24,AY83,AY7)</f>
        <v>1008</v>
      </c>
      <c r="AZ31" s="1135">
        <f>SUM(AV31:AY31)</f>
        <v>3800</v>
      </c>
      <c r="BA31" s="954">
        <f>SUM(BA24,BA83,BA7)</f>
        <v>1027.7</v>
      </c>
      <c r="BB31" s="954">
        <f>SUM(BB24,BB83,BB7)</f>
        <v>1023.2</v>
      </c>
      <c r="BC31" s="954">
        <f>SUM(BC24,BC83,BC7)</f>
        <v>1013.2</v>
      </c>
      <c r="BD31" s="954">
        <f>SUM(BD24,BD83,BD7)</f>
        <v>1152.2</v>
      </c>
      <c r="BE31" s="1135">
        <f>SUM(BA31:BD31)</f>
        <v>4216.3</v>
      </c>
      <c r="BF31" s="954">
        <f>SUM(BF24,BF83,BF7)</f>
        <v>1045.2</v>
      </c>
      <c r="BG31" s="954">
        <f>SUM(BG24,BG83,BG7)</f>
        <v>1126.4000000000001</v>
      </c>
      <c r="BH31" s="954">
        <f>SUM(BH24,BH83,BH7)</f>
        <v>1080.3</v>
      </c>
      <c r="BI31" s="954">
        <f>SUM(BI24,BI83,BI7)</f>
        <v>1153.4000000000001</v>
      </c>
      <c r="BJ31" s="1135">
        <f>SUM(BF31:BI31)</f>
        <v>4405.3000000000011</v>
      </c>
      <c r="BK31" s="954">
        <f>SUM(BK7,BK17,BK21)</f>
        <v>1007.9</v>
      </c>
      <c r="BL31" s="954">
        <f>SUM(BL7,BL17,BL21)</f>
        <v>1010.5</v>
      </c>
      <c r="BM31" s="954">
        <f>SUM(BM7,BM17,BM21)</f>
        <v>995</v>
      </c>
      <c r="BN31" s="954">
        <f>SUM(BN7,BN17,BN21)</f>
        <v>1041.7</v>
      </c>
      <c r="BO31" s="1135">
        <f>SUM(BK31:BN31)</f>
        <v>4055.1000000000004</v>
      </c>
      <c r="BP31" s="954">
        <f>SUM(BP7,BP17,BP21)</f>
        <v>1000.1</v>
      </c>
      <c r="BQ31" s="954">
        <f>SUM(BQ7,BQ17,BQ21)</f>
        <v>1068.2</v>
      </c>
      <c r="BR31" s="954">
        <f>SUM(BR7,BR17,BR21)</f>
        <v>1005.4</v>
      </c>
      <c r="BS31" s="954">
        <f>SUM(BS7,BS17,BS21)</f>
        <v>1073.3</v>
      </c>
      <c r="BT31" s="1135">
        <f>SUM(BP31:BS31)</f>
        <v>4147</v>
      </c>
      <c r="BU31" s="954">
        <f>SUM(BU7,BU17,BU21)</f>
        <v>1109.2</v>
      </c>
      <c r="BV31" s="954">
        <f>SUM(BV7,BV17,BV21)</f>
        <v>1162.1999999999998</v>
      </c>
      <c r="BW31" s="954">
        <f>SUM(BW7,BW17,BW21)</f>
        <v>1217.8</v>
      </c>
      <c r="BX31" s="954">
        <f>SUM(BX7,BX17,BX21)</f>
        <v>1306.4000000000001</v>
      </c>
      <c r="BY31" s="1135">
        <f>SUM(BU31:BX31)</f>
        <v>4795.6000000000004</v>
      </c>
      <c r="BZ31" s="954">
        <f>SUM(BZ7,BZ17,BZ21)</f>
        <v>1383.3</v>
      </c>
      <c r="CA31" s="954">
        <f>SUM(CA7,CA17,CA21)</f>
        <v>1398.7</v>
      </c>
      <c r="CB31" s="954">
        <f>SUM(CB7,CB17,CB21)</f>
        <v>1464</v>
      </c>
      <c r="CC31" s="954">
        <f>SUM(CC7,CC17,CC21)</f>
        <v>1608.4</v>
      </c>
      <c r="CD31" s="959">
        <f>SUM(BZ31:CC31)</f>
        <v>5854.4</v>
      </c>
      <c r="CE31" s="954">
        <f>SUM(CE7,CE17,CE21)</f>
        <v>1681.6</v>
      </c>
      <c r="CF31" s="954">
        <f>SUM(CF7,CF17,CF21)</f>
        <v>1772.2</v>
      </c>
      <c r="CG31" s="954">
        <f>SUM(CG7,CG17,CG21)</f>
        <v>1841.1</v>
      </c>
      <c r="CH31" s="954">
        <f>SUM(CH7,CH17,CH21)</f>
        <v>2006.6</v>
      </c>
      <c r="CI31" s="959">
        <f>SUM(CE31:CH31)</f>
        <v>7301.5</v>
      </c>
      <c r="CJ31" s="954">
        <f>SUM(CJ7,CJ17,CJ21)</f>
        <v>2078.9</v>
      </c>
      <c r="CK31" s="960">
        <f>SUM(CK7,CK17,CK21)</f>
        <v>2175.0017125198278</v>
      </c>
      <c r="CL31" s="960">
        <f>SUM(CL7,CL17,CL21)</f>
        <v>2261.4757834422894</v>
      </c>
      <c r="CM31" s="960">
        <f>SUM(CM7,CM17,CM21)</f>
        <v>2379.804478255523</v>
      </c>
      <c r="CN31" s="1312">
        <f>SUM(CJ31:CM31)</f>
        <v>8895.1819742176394</v>
      </c>
      <c r="CO31" s="960">
        <f>SUM(CO7,CO17,CO21)</f>
        <v>2468.4531475484737</v>
      </c>
      <c r="CP31" s="960">
        <f>SUM(CP7,CP17,CP21)</f>
        <v>2570.9578231587748</v>
      </c>
      <c r="CQ31" s="960">
        <f>SUM(CQ7,CQ17,CQ21)</f>
        <v>2678.1316066154886</v>
      </c>
      <c r="CR31" s="960">
        <f>SUM(CR7,CR17,CR21)</f>
        <v>2816.7017567979938</v>
      </c>
      <c r="CS31" s="1312">
        <f>SUM(CO31:CR31)</f>
        <v>10534.244334120731</v>
      </c>
      <c r="CT31" s="960">
        <f>SUM(CT7,CT17,CT21)</f>
        <v>2904.455994825903</v>
      </c>
      <c r="CU31" s="960">
        <f>SUM(CU7,CU17,CU21)</f>
        <v>3003.8963441027877</v>
      </c>
      <c r="CV31" s="960">
        <f>SUM(CV7,CV17,CV21)</f>
        <v>3105.0692880368842</v>
      </c>
      <c r="CW31" s="960">
        <f>SUM(CW7,CW17,CW21)</f>
        <v>3241.6785565389209</v>
      </c>
      <c r="CX31" s="1312">
        <f>SUM(CT31:CW31)</f>
        <v>12255.100183504495</v>
      </c>
      <c r="CY31" s="1113">
        <f>(CN31/BY31)^(1/3)-1</f>
        <v>0.22867577372240389</v>
      </c>
      <c r="DA31" s="126"/>
      <c r="DB31" s="496"/>
      <c r="DC31" s="496"/>
    </row>
    <row r="32" spans="1:107" ht="11.25" customHeight="1">
      <c r="A32" s="1847" t="s">
        <v>219</v>
      </c>
      <c r="B32" s="652"/>
      <c r="C32" s="1280"/>
      <c r="D32" s="653"/>
      <c r="E32" s="653"/>
      <c r="F32" s="1281"/>
      <c r="G32" s="870"/>
      <c r="H32" s="1280"/>
      <c r="I32" s="653"/>
      <c r="J32" s="653"/>
      <c r="K32" s="1281"/>
      <c r="L32" s="1280"/>
      <c r="M32" s="1280"/>
      <c r="N32" s="653"/>
      <c r="O32" s="653"/>
      <c r="P32" s="1281"/>
      <c r="Q32" s="870"/>
      <c r="R32" s="653"/>
      <c r="S32" s="653"/>
      <c r="T32" s="653"/>
      <c r="U32" s="653"/>
      <c r="V32" s="870"/>
      <c r="W32" s="653"/>
      <c r="X32" s="653"/>
      <c r="Y32" s="653"/>
      <c r="Z32" s="653"/>
      <c r="AA32" s="870"/>
      <c r="AB32" s="653"/>
      <c r="AC32" s="653"/>
      <c r="AD32" s="653"/>
      <c r="AE32" s="653"/>
      <c r="AF32" s="870"/>
      <c r="AG32" s="1282"/>
      <c r="AH32" s="1282"/>
      <c r="AI32" s="1282"/>
      <c r="AJ32" s="1282"/>
      <c r="AK32" s="870"/>
      <c r="AL32" s="1282"/>
      <c r="AM32" s="1282"/>
      <c r="AN32" s="1282"/>
      <c r="AO32" s="1282"/>
      <c r="AP32" s="870"/>
      <c r="AQ32" s="507"/>
      <c r="AR32" s="507"/>
      <c r="AS32" s="507"/>
      <c r="AT32" s="507"/>
      <c r="AU32" s="1137"/>
      <c r="AV32" s="507">
        <f t="shared" ref="AV32:BT32" si="99">AV31/AQ31-1</f>
        <v>9.1937945066124183E-2</v>
      </c>
      <c r="AW32" s="507">
        <f t="shared" si="99"/>
        <v>0.33815808145310067</v>
      </c>
      <c r="AX32" s="507">
        <f t="shared" si="99"/>
        <v>0.41978494623655904</v>
      </c>
      <c r="AY32" s="507">
        <f t="shared" si="99"/>
        <v>0.33104450019807197</v>
      </c>
      <c r="AZ32" s="1266">
        <f t="shared" si="99"/>
        <v>0.28992837502970237</v>
      </c>
      <c r="BA32" s="507">
        <f t="shared" si="99"/>
        <v>0.19680913008035406</v>
      </c>
      <c r="BB32" s="507">
        <f t="shared" si="99"/>
        <v>8.5047720042417785E-2</v>
      </c>
      <c r="BC32" s="507">
        <f t="shared" si="99"/>
        <v>2.3124305765929609E-2</v>
      </c>
      <c r="BD32" s="507">
        <f t="shared" si="99"/>
        <v>0.14305555555555549</v>
      </c>
      <c r="BE32" s="1266">
        <f t="shared" si="99"/>
        <v>0.10955263157894746</v>
      </c>
      <c r="BF32" s="507">
        <f t="shared" si="99"/>
        <v>1.7028315656320014E-2</v>
      </c>
      <c r="BG32" s="507">
        <f t="shared" si="99"/>
        <v>0.10086004691164985</v>
      </c>
      <c r="BH32" s="507">
        <f t="shared" si="99"/>
        <v>6.6225819186735091E-2</v>
      </c>
      <c r="BI32" s="507">
        <f t="shared" si="99"/>
        <v>1.0414858531504478E-3</v>
      </c>
      <c r="BJ32" s="1266">
        <f t="shared" si="99"/>
        <v>4.4826032303204366E-2</v>
      </c>
      <c r="BK32" s="507">
        <f t="shared" si="99"/>
        <v>-3.5686949866054363E-2</v>
      </c>
      <c r="BL32" s="507">
        <f t="shared" si="99"/>
        <v>-0.10289417613636376</v>
      </c>
      <c r="BM32" s="507">
        <f t="shared" si="99"/>
        <v>-7.8959548273627611E-2</v>
      </c>
      <c r="BN32" s="507">
        <f t="shared" si="99"/>
        <v>-9.6844113057048764E-2</v>
      </c>
      <c r="BO32" s="1266">
        <f t="shared" si="99"/>
        <v>-7.9495153565024124E-2</v>
      </c>
      <c r="BP32" s="507">
        <f t="shared" si="99"/>
        <v>-7.7388629824386435E-3</v>
      </c>
      <c r="BQ32" s="507">
        <f t="shared" si="99"/>
        <v>5.7100445324097082E-2</v>
      </c>
      <c r="BR32" s="507">
        <f t="shared" si="99"/>
        <v>1.045226130653254E-2</v>
      </c>
      <c r="BS32" s="507">
        <f t="shared" si="99"/>
        <v>3.0335029279062953E-2</v>
      </c>
      <c r="BT32" s="1266">
        <f t="shared" si="99"/>
        <v>2.2662819659194477E-2</v>
      </c>
      <c r="BU32" s="507">
        <f t="shared" ref="BU32:CD32" si="100">BU31/BP31-1</f>
        <v>0.10908909109089082</v>
      </c>
      <c r="BV32" s="507">
        <f t="shared" si="100"/>
        <v>8.7998502153154634E-2</v>
      </c>
      <c r="BW32" s="507">
        <f t="shared" si="100"/>
        <v>0.21125920031828116</v>
      </c>
      <c r="BX32" s="507">
        <f t="shared" si="100"/>
        <v>0.21718065778440332</v>
      </c>
      <c r="BY32" s="1266">
        <f t="shared" si="100"/>
        <v>0.15640221847118418</v>
      </c>
      <c r="BZ32" s="507">
        <f t="shared" si="100"/>
        <v>0.2471150378651279</v>
      </c>
      <c r="CA32" s="507">
        <f t="shared" si="100"/>
        <v>0.20349337463431438</v>
      </c>
      <c r="CB32" s="507">
        <f t="shared" si="100"/>
        <v>0.20216784365248808</v>
      </c>
      <c r="CC32" s="507">
        <f t="shared" si="100"/>
        <v>0.23116962645437833</v>
      </c>
      <c r="CD32" s="508">
        <f t="shared" si="100"/>
        <v>0.22078572024355636</v>
      </c>
      <c r="CE32" s="507">
        <f t="shared" ref="CE32:CN32" si="101">CE31/BZ31-1</f>
        <v>0.21564375045181805</v>
      </c>
      <c r="CF32" s="507">
        <f t="shared" si="101"/>
        <v>0.26703367412597401</v>
      </c>
      <c r="CG32" s="507">
        <f t="shared" si="101"/>
        <v>0.25758196721311477</v>
      </c>
      <c r="CH32" s="507">
        <f t="shared" si="101"/>
        <v>0.24757523004227799</v>
      </c>
      <c r="CI32" s="508">
        <f t="shared" si="101"/>
        <v>0.2471816069964472</v>
      </c>
      <c r="CJ32" s="507">
        <f t="shared" si="101"/>
        <v>0.23626308277830654</v>
      </c>
      <c r="CK32" s="1283">
        <f t="shared" si="101"/>
        <v>0.22728908278965565</v>
      </c>
      <c r="CL32" s="1283">
        <f t="shared" si="101"/>
        <v>0.22832859890407331</v>
      </c>
      <c r="CM32" s="1283">
        <f t="shared" si="101"/>
        <v>0.18598847715315614</v>
      </c>
      <c r="CN32" s="1267">
        <f t="shared" si="101"/>
        <v>0.21826774967029228</v>
      </c>
      <c r="CO32" s="1283">
        <f t="shared" ref="CO32:CX32" si="102">CO31/CJ31-1</f>
        <v>0.18738426453820467</v>
      </c>
      <c r="CP32" s="1283">
        <f t="shared" si="102"/>
        <v>0.18204864316185554</v>
      </c>
      <c r="CQ32" s="1283">
        <f t="shared" si="102"/>
        <v>0.18424067426403723</v>
      </c>
      <c r="CR32" s="1283">
        <f t="shared" si="102"/>
        <v>0.18358536700575123</v>
      </c>
      <c r="CS32" s="1267">
        <f t="shared" si="102"/>
        <v>0.18426406167449461</v>
      </c>
      <c r="CT32" s="1283">
        <f t="shared" si="102"/>
        <v>0.17662998696590315</v>
      </c>
      <c r="CU32" s="1283">
        <f t="shared" si="102"/>
        <v>0.16839580838089696</v>
      </c>
      <c r="CV32" s="1283">
        <f t="shared" si="102"/>
        <v>0.15941624390929077</v>
      </c>
      <c r="CW32" s="1283">
        <f t="shared" si="102"/>
        <v>0.15087745754951265</v>
      </c>
      <c r="CX32" s="1267">
        <f t="shared" si="102"/>
        <v>0.16335826233020456</v>
      </c>
      <c r="CY32" s="1283"/>
      <c r="DA32" s="871"/>
      <c r="DB32" s="653"/>
      <c r="DC32" s="653"/>
    </row>
    <row r="33" spans="1:107" ht="11.25" customHeight="1">
      <c r="A33" s="1847" t="s">
        <v>220</v>
      </c>
      <c r="B33" s="652"/>
      <c r="C33" s="1280"/>
      <c r="D33" s="653"/>
      <c r="E33" s="653"/>
      <c r="F33" s="1281"/>
      <c r="G33" s="870"/>
      <c r="H33" s="1280"/>
      <c r="I33" s="653"/>
      <c r="J33" s="653"/>
      <c r="K33" s="1281"/>
      <c r="L33" s="1280"/>
      <c r="M33" s="1280"/>
      <c r="N33" s="653"/>
      <c r="O33" s="653"/>
      <c r="P33" s="1281"/>
      <c r="Q33" s="870"/>
      <c r="R33" s="653"/>
      <c r="S33" s="653"/>
      <c r="T33" s="653"/>
      <c r="U33" s="653"/>
      <c r="V33" s="870"/>
      <c r="W33" s="653"/>
      <c r="X33" s="653"/>
      <c r="Y33" s="653"/>
      <c r="Z33" s="653"/>
      <c r="AA33" s="870"/>
      <c r="AB33" s="653"/>
      <c r="AC33" s="653"/>
      <c r="AD33" s="653"/>
      <c r="AE33" s="653"/>
      <c r="AF33" s="870"/>
      <c r="AG33" s="1282"/>
      <c r="AH33" s="1282"/>
      <c r="AI33" s="1282"/>
      <c r="AJ33" s="1282"/>
      <c r="AK33" s="870"/>
      <c r="AL33" s="1282"/>
      <c r="AM33" s="1282"/>
      <c r="AN33" s="1282"/>
      <c r="AO33" s="1282"/>
      <c r="AP33" s="870"/>
      <c r="AQ33" s="507"/>
      <c r="AR33" s="507"/>
      <c r="AS33" s="507"/>
      <c r="AT33" s="507"/>
      <c r="AU33" s="1137"/>
      <c r="AV33" s="507">
        <f>AV31/AT31-1</f>
        <v>0.13389673841278227</v>
      </c>
      <c r="AW33" s="507">
        <f>AW31/AV31-1</f>
        <v>9.8171654827064136E-2</v>
      </c>
      <c r="AX33" s="507">
        <f>AX31/AW31-1</f>
        <v>5.0159066808059372E-2</v>
      </c>
      <c r="AY33" s="507">
        <f>AY31/AX31-1</f>
        <v>1.7873371705543928E-2</v>
      </c>
      <c r="AZ33" s="1266"/>
      <c r="BA33" s="507">
        <f>BA31/AY31-1</f>
        <v>1.9543650793650835E-2</v>
      </c>
      <c r="BB33" s="507">
        <f>BB31/BA31-1</f>
        <v>-4.3787097401966069E-3</v>
      </c>
      <c r="BC33" s="507">
        <f>BC31/BB31-1</f>
        <v>-9.7732603596559775E-3</v>
      </c>
      <c r="BD33" s="507">
        <f>BD31/BC31-1</f>
        <v>0.13718910382945126</v>
      </c>
      <c r="BE33" s="1266"/>
      <c r="BF33" s="507">
        <f>BF31/BD31-1</f>
        <v>-9.2865821905919077E-2</v>
      </c>
      <c r="BG33" s="507">
        <f>BG31/BF31-1</f>
        <v>7.7688480673555382E-2</v>
      </c>
      <c r="BH33" s="507">
        <f>BH31/BG31-1</f>
        <v>-4.0926846590909172E-2</v>
      </c>
      <c r="BI33" s="507">
        <f>BI31/BH31-1</f>
        <v>6.7666388966028057E-2</v>
      </c>
      <c r="BJ33" s="1266"/>
      <c r="BK33" s="507">
        <f>BK31/BI31-1</f>
        <v>-0.12614877752731068</v>
      </c>
      <c r="BL33" s="507">
        <f>BL31/BK31-1</f>
        <v>2.5796209941462145E-3</v>
      </c>
      <c r="BM33" s="507">
        <f>BM31/BL31-1</f>
        <v>-1.5338941118258287E-2</v>
      </c>
      <c r="BN33" s="507">
        <f>BN31/BM31-1</f>
        <v>4.6934673366834323E-2</v>
      </c>
      <c r="BO33" s="1267"/>
      <c r="BP33" s="507">
        <f>BP31/BN31-1</f>
        <v>-3.9934722088893149E-2</v>
      </c>
      <c r="BQ33" s="507">
        <f>BQ31/BP31-1</f>
        <v>6.8093190680931892E-2</v>
      </c>
      <c r="BR33" s="507">
        <f>BR31/BQ31-1</f>
        <v>-5.8790488672533336E-2</v>
      </c>
      <c r="BS33" s="507">
        <f>BS31/BR31-1</f>
        <v>6.7535309329620041E-2</v>
      </c>
      <c r="BT33" s="1267"/>
      <c r="BU33" s="507">
        <f>BU31/BS31-1</f>
        <v>3.3448243734277572E-2</v>
      </c>
      <c r="BV33" s="507">
        <f>BV31/BU31-1</f>
        <v>4.7782185358816953E-2</v>
      </c>
      <c r="BW33" s="507">
        <f>BW31/BV31-1</f>
        <v>4.7840302873860097E-2</v>
      </c>
      <c r="BX33" s="507">
        <f>BX31/BW31-1</f>
        <v>7.2754146822138432E-2</v>
      </c>
      <c r="BY33" s="1267"/>
      <c r="BZ33" s="507">
        <f>BZ31/BX31-1</f>
        <v>5.886405388854854E-2</v>
      </c>
      <c r="CA33" s="507">
        <f>CA31/BZ31-1</f>
        <v>1.1132798380683928E-2</v>
      </c>
      <c r="CB33" s="507">
        <f>CB31/CA31-1</f>
        <v>4.6686208622292114E-2</v>
      </c>
      <c r="CC33" s="507">
        <f>CC31/CB31-1</f>
        <v>9.8633879781420797E-2</v>
      </c>
      <c r="CD33" s="508"/>
      <c r="CE33" s="507">
        <f>CE31/CC31-1</f>
        <v>4.5511066898781261E-2</v>
      </c>
      <c r="CF33" s="507">
        <f>CF31/CE31-1</f>
        <v>5.3877259752616702E-2</v>
      </c>
      <c r="CG33" s="507">
        <f>CG31/CF31-1</f>
        <v>3.8878230448030626E-2</v>
      </c>
      <c r="CH33" s="507">
        <f>CH31/CG31-1</f>
        <v>8.9891912443647914E-2</v>
      </c>
      <c r="CI33" s="508"/>
      <c r="CJ33" s="507">
        <f>CJ31/CH31-1</f>
        <v>3.6031097378650623E-2</v>
      </c>
      <c r="CK33" s="1283">
        <f>CK31/CJ31-1</f>
        <v>4.6227193477236916E-2</v>
      </c>
      <c r="CL33" s="1283">
        <f>CL31/CK31-1</f>
        <v>3.9758162223365812E-2</v>
      </c>
      <c r="CM33" s="1283">
        <f>CM31/CL31-1</f>
        <v>5.2323662132309101E-2</v>
      </c>
      <c r="CN33" s="1267"/>
      <c r="CO33" s="1283">
        <f>CO31/CM31-1</f>
        <v>3.7250400233691972E-2</v>
      </c>
      <c r="CP33" s="1283">
        <f>CP31/CO31-1</f>
        <v>4.1525874498409276E-2</v>
      </c>
      <c r="CQ33" s="1283">
        <f>CQ31/CP31-1</f>
        <v>4.1686325030815263E-2</v>
      </c>
      <c r="CR33" s="1283">
        <f>CR31/CQ31-1</f>
        <v>5.1741352008322083E-2</v>
      </c>
      <c r="CS33" s="1267"/>
      <c r="CT33" s="1283">
        <f>CT31/CR31-1</f>
        <v>3.115496264953066E-2</v>
      </c>
      <c r="CU33" s="1283">
        <f>CU31/CT31-1</f>
        <v>3.4237168493525427E-2</v>
      </c>
      <c r="CV33" s="1283">
        <f>CV31/CU31-1</f>
        <v>3.3680570946703181E-2</v>
      </c>
      <c r="CW33" s="1283">
        <f>CW31/CV31-1</f>
        <v>4.3995562040551217E-2</v>
      </c>
      <c r="CX33" s="1267"/>
      <c r="DA33" s="871"/>
      <c r="DB33" s="653"/>
      <c r="DC33" s="653"/>
    </row>
    <row r="34" spans="1:107">
      <c r="A34" s="205"/>
      <c r="B34" s="206"/>
      <c r="C34" s="206"/>
      <c r="D34" s="206"/>
      <c r="E34" s="206"/>
      <c r="F34" s="206"/>
      <c r="G34" s="206"/>
      <c r="H34" s="206"/>
      <c r="I34" s="206"/>
      <c r="J34" s="206"/>
      <c r="K34" s="206"/>
      <c r="L34" s="206"/>
      <c r="M34" s="205"/>
      <c r="N34" s="206"/>
      <c r="O34" s="206"/>
      <c r="P34" s="207"/>
      <c r="Q34" s="208"/>
      <c r="R34" s="206"/>
      <c r="S34" s="206"/>
      <c r="T34" s="206"/>
      <c r="U34" s="206"/>
      <c r="V34" s="208"/>
      <c r="W34" s="206"/>
      <c r="X34" s="206"/>
      <c r="Y34" s="206"/>
      <c r="Z34" s="206"/>
      <c r="AA34" s="208"/>
      <c r="AB34" s="206"/>
      <c r="AC34" s="206"/>
      <c r="AD34" s="206"/>
      <c r="AE34" s="206"/>
      <c r="AF34" s="208"/>
      <c r="AG34" s="363"/>
      <c r="AH34" s="363"/>
      <c r="AI34" s="363"/>
      <c r="AJ34" s="363"/>
      <c r="AK34" s="522"/>
      <c r="AL34" s="363"/>
      <c r="AM34" s="363"/>
      <c r="AN34" s="363"/>
      <c r="AO34" s="363"/>
      <c r="AP34" s="522"/>
      <c r="AQ34" s="363"/>
      <c r="AR34" s="1348"/>
      <c r="AS34" s="1348"/>
      <c r="AT34" s="1348"/>
      <c r="AU34" s="523"/>
      <c r="AV34" s="363"/>
      <c r="AW34" s="363"/>
      <c r="AX34" s="1348"/>
      <c r="AY34" s="1348"/>
      <c r="AZ34" s="523"/>
      <c r="BA34" s="1348"/>
      <c r="BB34" s="1348"/>
      <c r="BC34" s="1348"/>
      <c r="BD34" s="1348"/>
      <c r="BE34" s="523"/>
      <c r="BF34" s="1850"/>
      <c r="BG34" s="1348"/>
      <c r="BH34" s="1724"/>
      <c r="BI34" s="1851"/>
      <c r="BJ34" s="523"/>
      <c r="BK34" s="363"/>
      <c r="BL34" s="1348"/>
      <c r="BM34" s="1724"/>
      <c r="BN34" s="1348"/>
      <c r="BO34" s="523"/>
      <c r="BP34" s="1348"/>
      <c r="BQ34" s="1348"/>
      <c r="BR34" s="1348"/>
      <c r="BS34" s="1348"/>
      <c r="BT34" s="523"/>
      <c r="BU34" s="1348"/>
      <c r="BV34" s="1348"/>
      <c r="BW34" s="1348"/>
      <c r="BX34" s="1348"/>
      <c r="BY34" s="523"/>
      <c r="BZ34" s="1348"/>
      <c r="CA34" s="1348"/>
      <c r="CB34" s="1851"/>
      <c r="CC34" s="363"/>
      <c r="CD34" s="522"/>
      <c r="CE34" s="1348"/>
      <c r="CF34" s="1852"/>
      <c r="CG34" s="363"/>
      <c r="CH34" s="363"/>
      <c r="CI34" s="523"/>
      <c r="CJ34" s="1348"/>
      <c r="CK34" s="1348"/>
      <c r="CL34" s="1348"/>
      <c r="CM34" s="1348"/>
      <c r="CN34" s="523"/>
      <c r="CO34" s="1348"/>
      <c r="CP34" s="1348"/>
      <c r="CQ34" s="1348"/>
      <c r="CR34" s="1348"/>
      <c r="CS34" s="523"/>
      <c r="CT34" s="1348"/>
      <c r="CU34" s="1348"/>
      <c r="CV34" s="1348"/>
      <c r="CW34" s="1348"/>
      <c r="CX34" s="523"/>
      <c r="CY34" s="1348"/>
      <c r="DA34" s="201"/>
      <c r="DB34" s="200"/>
      <c r="DC34" s="200"/>
    </row>
    <row r="35" spans="1:107">
      <c r="A35" s="1853" t="s">
        <v>496</v>
      </c>
      <c r="B35" s="206"/>
      <c r="C35" s="206"/>
      <c r="D35" s="206"/>
      <c r="E35" s="206"/>
      <c r="F35" s="206"/>
      <c r="G35" s="206"/>
      <c r="H35" s="206"/>
      <c r="I35" s="206"/>
      <c r="J35" s="206"/>
      <c r="K35" s="206"/>
      <c r="L35" s="206"/>
      <c r="M35" s="205"/>
      <c r="N35" s="206"/>
      <c r="O35" s="206"/>
      <c r="P35" s="207"/>
      <c r="Q35" s="208"/>
      <c r="R35" s="206"/>
      <c r="S35" s="206"/>
      <c r="T35" s="206"/>
      <c r="U35" s="206"/>
      <c r="V35" s="208"/>
      <c r="W35" s="206"/>
      <c r="X35" s="206"/>
      <c r="Y35" s="206"/>
      <c r="Z35" s="206"/>
      <c r="AA35" s="208"/>
      <c r="AB35" s="206"/>
      <c r="AC35" s="206"/>
      <c r="AD35" s="206"/>
      <c r="AE35" s="206"/>
      <c r="AF35" s="208"/>
      <c r="AG35" s="363"/>
      <c r="AH35" s="363"/>
      <c r="AI35" s="363"/>
      <c r="AJ35" s="363"/>
      <c r="AK35" s="522"/>
      <c r="AL35" s="363"/>
      <c r="AM35" s="363"/>
      <c r="AN35" s="363"/>
      <c r="AO35" s="363"/>
      <c r="AP35" s="522"/>
      <c r="AQ35" s="363"/>
      <c r="AR35" s="1348"/>
      <c r="AS35" s="1348"/>
      <c r="AT35" s="1348"/>
      <c r="AU35" s="523"/>
      <c r="AV35" s="363"/>
      <c r="AW35" s="363"/>
      <c r="AX35" s="1348"/>
      <c r="AY35" s="1348"/>
      <c r="AZ35" s="523"/>
      <c r="BA35" s="1348"/>
      <c r="BB35" s="1348"/>
      <c r="BC35" s="1348"/>
      <c r="BD35" s="1348"/>
      <c r="BE35" s="523"/>
      <c r="BF35" s="363"/>
      <c r="BG35" s="1724"/>
      <c r="BH35" s="1851"/>
      <c r="BI35" s="1348"/>
      <c r="BJ35" s="523"/>
      <c r="BK35" s="363"/>
      <c r="BL35" s="1724"/>
      <c r="BM35" s="1851"/>
      <c r="BN35" s="1348"/>
      <c r="BO35" s="523"/>
      <c r="BP35" s="1348"/>
      <c r="BQ35" s="1348"/>
      <c r="BR35" s="1348"/>
      <c r="BS35" s="1348"/>
      <c r="BT35" s="523"/>
      <c r="BU35" s="1348"/>
      <c r="BV35" s="1348"/>
      <c r="BW35" s="1348"/>
      <c r="BX35" s="1348"/>
      <c r="BY35" s="523"/>
      <c r="BZ35" s="1348"/>
      <c r="CA35" s="1348"/>
      <c r="CB35" s="1851"/>
      <c r="CC35" s="363"/>
      <c r="CD35" s="522"/>
      <c r="CE35" s="1348"/>
      <c r="CF35" s="363"/>
      <c r="CG35" s="363"/>
      <c r="CH35" s="1348"/>
      <c r="CI35" s="523"/>
      <c r="CJ35" s="1348"/>
      <c r="CK35" s="1348"/>
      <c r="CL35" s="1348"/>
      <c r="CM35" s="1348"/>
      <c r="CN35" s="387"/>
      <c r="CO35" s="1348"/>
      <c r="CP35" s="1348"/>
      <c r="CQ35" s="1348"/>
      <c r="CR35" s="1348"/>
      <c r="CS35" s="523"/>
      <c r="CT35" s="1348"/>
      <c r="CU35" s="1348"/>
      <c r="CV35" s="1348"/>
      <c r="CW35" s="1348"/>
      <c r="CX35" s="523"/>
      <c r="CY35" s="1348"/>
      <c r="DA35" s="201"/>
      <c r="DB35" s="200"/>
      <c r="DC35" s="200"/>
    </row>
    <row r="36" spans="1:107">
      <c r="A36" s="205" t="s">
        <v>497</v>
      </c>
      <c r="B36" s="206"/>
      <c r="C36" s="206"/>
      <c r="D36" s="206"/>
      <c r="E36" s="206"/>
      <c r="F36" s="206"/>
      <c r="G36" s="206"/>
      <c r="H36" s="206"/>
      <c r="I36" s="206"/>
      <c r="J36" s="206"/>
      <c r="K36" s="206"/>
      <c r="L36" s="206"/>
      <c r="M36" s="205"/>
      <c r="N36" s="206"/>
      <c r="O36" s="206"/>
      <c r="P36" s="207"/>
      <c r="Q36" s="208"/>
      <c r="R36" s="206"/>
      <c r="S36" s="206"/>
      <c r="T36" s="206"/>
      <c r="U36" s="206"/>
      <c r="V36" s="208"/>
      <c r="W36" s="206"/>
      <c r="X36" s="206"/>
      <c r="Y36" s="206"/>
      <c r="Z36" s="206"/>
      <c r="AA36" s="208"/>
      <c r="AB36" s="206"/>
      <c r="AC36" s="206"/>
      <c r="AD36" s="206"/>
      <c r="AE36" s="206"/>
      <c r="AF36" s="208"/>
      <c r="AG36" s="363"/>
      <c r="AH36" s="363"/>
      <c r="AI36" s="363"/>
      <c r="AJ36" s="363"/>
      <c r="AK36" s="522"/>
      <c r="AL36" s="363"/>
      <c r="AM36" s="363"/>
      <c r="AN36" s="363"/>
      <c r="AO36" s="363"/>
      <c r="AP36" s="522"/>
      <c r="AQ36" s="363"/>
      <c r="AR36" s="1348"/>
      <c r="AS36" s="1348"/>
      <c r="AT36" s="1348"/>
      <c r="AU36" s="523"/>
      <c r="AV36" s="363"/>
      <c r="AW36" s="363"/>
      <c r="AX36" s="1348"/>
      <c r="AY36" s="1348"/>
      <c r="AZ36" s="523"/>
      <c r="BA36" s="1348"/>
      <c r="BB36" s="1348"/>
      <c r="BC36" s="1348"/>
      <c r="BD36" s="1348"/>
      <c r="BE36" s="523"/>
      <c r="BF36" s="1854">
        <f>Metrics!BE15</f>
        <v>9.6</v>
      </c>
      <c r="BG36" s="1854">
        <f>Metrics!BF15</f>
        <v>17</v>
      </c>
      <c r="BH36" s="1854">
        <f>Metrics!BG15</f>
        <v>20</v>
      </c>
      <c r="BI36" s="1854">
        <f>Metrics!BH15</f>
        <v>25</v>
      </c>
      <c r="BJ36" s="1475">
        <f>SUM(BF36:BI36)</f>
        <v>71.599999999999994</v>
      </c>
      <c r="BK36" s="1854">
        <f>Metrics!BJ15</f>
        <v>20</v>
      </c>
      <c r="BL36" s="1855"/>
      <c r="BM36" s="1855"/>
      <c r="BN36" s="1348"/>
      <c r="BO36" s="523"/>
      <c r="BP36" s="1348"/>
      <c r="BQ36" s="1348"/>
      <c r="BR36" s="1348"/>
      <c r="BS36" s="1348"/>
      <c r="BT36" s="523"/>
      <c r="BU36" s="1348"/>
      <c r="BV36" s="1348"/>
      <c r="BW36" s="1348"/>
      <c r="BX36" s="1348"/>
      <c r="BY36" s="523"/>
      <c r="BZ36" s="1348"/>
      <c r="CA36" s="1348"/>
      <c r="CB36" s="1348"/>
      <c r="CC36" s="363"/>
      <c r="CD36" s="522"/>
      <c r="CE36" s="1348"/>
      <c r="CF36" s="363"/>
      <c r="CG36" s="363"/>
      <c r="CH36" s="1348"/>
      <c r="CI36" s="1718"/>
      <c r="CJ36" s="1348"/>
      <c r="CK36" s="1348"/>
      <c r="CL36" s="1348"/>
      <c r="CM36" s="1125"/>
      <c r="CN36" s="523"/>
      <c r="CO36" s="1348"/>
      <c r="CP36" s="1348"/>
      <c r="CQ36" s="1348"/>
      <c r="CR36" s="1348"/>
      <c r="CS36" s="523"/>
      <c r="CT36" s="1348"/>
      <c r="CU36" s="1348"/>
      <c r="CV36" s="1348"/>
      <c r="CW36" s="1348"/>
      <c r="CX36" s="523"/>
      <c r="CY36" s="1348"/>
      <c r="DA36" s="201"/>
      <c r="DB36" s="200"/>
      <c r="DC36" s="200"/>
    </row>
    <row r="37" spans="1:107">
      <c r="A37" s="205" t="s">
        <v>680</v>
      </c>
      <c r="B37" s="206"/>
      <c r="C37" s="206"/>
      <c r="D37" s="206"/>
      <c r="E37" s="206"/>
      <c r="F37" s="206"/>
      <c r="G37" s="206"/>
      <c r="H37" s="206"/>
      <c r="I37" s="206"/>
      <c r="J37" s="206"/>
      <c r="K37" s="206"/>
      <c r="L37" s="206"/>
      <c r="M37" s="205"/>
      <c r="N37" s="206"/>
      <c r="O37" s="206"/>
      <c r="P37" s="207"/>
      <c r="Q37" s="208"/>
      <c r="R37" s="206"/>
      <c r="S37" s="206"/>
      <c r="T37" s="206"/>
      <c r="U37" s="206"/>
      <c r="V37" s="208"/>
      <c r="W37" s="206"/>
      <c r="X37" s="206"/>
      <c r="Y37" s="206"/>
      <c r="Z37" s="206"/>
      <c r="AA37" s="208"/>
      <c r="AB37" s="206"/>
      <c r="AC37" s="206"/>
      <c r="AD37" s="206"/>
      <c r="AE37" s="206"/>
      <c r="AF37" s="208"/>
      <c r="AG37" s="363"/>
      <c r="AH37" s="363"/>
      <c r="AI37" s="363"/>
      <c r="AJ37" s="363"/>
      <c r="AK37" s="522"/>
      <c r="AL37" s="363"/>
      <c r="AM37" s="363"/>
      <c r="AN37" s="363"/>
      <c r="AO37" s="363"/>
      <c r="AP37" s="522"/>
      <c r="AQ37" s="363"/>
      <c r="AR37" s="1348"/>
      <c r="AS37" s="1348"/>
      <c r="AT37" s="1348"/>
      <c r="AU37" s="523"/>
      <c r="AV37" s="363"/>
      <c r="AW37" s="363"/>
      <c r="AX37" s="1348"/>
      <c r="AY37" s="1348"/>
      <c r="AZ37" s="523"/>
      <c r="BA37" s="1348"/>
      <c r="BB37" s="1348"/>
      <c r="BC37" s="1348"/>
      <c r="BD37" s="1348"/>
      <c r="BE37" s="523"/>
      <c r="BF37" s="1854"/>
      <c r="BG37" s="1854"/>
      <c r="BH37" s="1854"/>
      <c r="BI37" s="1854"/>
      <c r="BJ37" s="1475"/>
      <c r="BK37" s="1854"/>
      <c r="BL37" s="1855"/>
      <c r="BM37" s="1855">
        <f>Metrics!BL16</f>
        <v>6</v>
      </c>
      <c r="BN37" s="1348">
        <f>Metrics!BM16</f>
        <v>23</v>
      </c>
      <c r="BO37" s="523">
        <f>SUM(BK37:BN37)</f>
        <v>29</v>
      </c>
      <c r="BP37" s="1856">
        <f>Metrics!BO16</f>
        <v>24.610000000000003</v>
      </c>
      <c r="BQ37" s="1856">
        <f>Metrics!BP16</f>
        <v>26.332700000000006</v>
      </c>
      <c r="BR37" s="1856">
        <f>Metrics!BQ16</f>
        <v>22.175989000000008</v>
      </c>
      <c r="BS37" s="1856"/>
      <c r="BT37" s="1498">
        <f>SUM(BP37:BS37)</f>
        <v>73.118689000000018</v>
      </c>
      <c r="BU37" s="1856"/>
      <c r="BV37" s="1856"/>
      <c r="BW37" s="1856"/>
      <c r="BX37" s="1348"/>
      <c r="BY37" s="1498"/>
      <c r="BZ37" s="1856"/>
      <c r="CA37" s="1348"/>
      <c r="CB37" s="1348"/>
      <c r="CC37" s="363"/>
      <c r="CD37" s="522"/>
      <c r="CE37" s="1348"/>
      <c r="CF37" s="363"/>
      <c r="CG37" s="363"/>
      <c r="CH37" s="363"/>
      <c r="CI37" s="523"/>
      <c r="CJ37" s="1348"/>
      <c r="CK37" s="1348"/>
      <c r="CL37" s="1348"/>
      <c r="CM37" s="1348"/>
      <c r="CN37" s="523"/>
      <c r="CO37" s="1348"/>
      <c r="CP37" s="1348"/>
      <c r="CQ37" s="1348"/>
      <c r="CR37" s="1348"/>
      <c r="CS37" s="523"/>
      <c r="CT37" s="1348"/>
      <c r="CU37" s="1348"/>
      <c r="CV37" s="1348"/>
      <c r="CW37" s="1348"/>
      <c r="CX37" s="523"/>
      <c r="CY37" s="1348"/>
      <c r="DA37" s="201"/>
      <c r="DB37" s="200"/>
      <c r="DC37" s="200"/>
    </row>
    <row r="38" spans="1:107">
      <c r="A38" s="205" t="s">
        <v>180</v>
      </c>
      <c r="B38" s="206"/>
      <c r="C38" s="206"/>
      <c r="D38" s="206"/>
      <c r="E38" s="206"/>
      <c r="F38" s="206"/>
      <c r="G38" s="206"/>
      <c r="H38" s="206"/>
      <c r="I38" s="206"/>
      <c r="J38" s="206"/>
      <c r="K38" s="206"/>
      <c r="L38" s="206"/>
      <c r="M38" s="205"/>
      <c r="N38" s="206"/>
      <c r="O38" s="206"/>
      <c r="P38" s="207"/>
      <c r="Q38" s="208"/>
      <c r="R38" s="206"/>
      <c r="S38" s="206"/>
      <c r="T38" s="206"/>
      <c r="U38" s="206"/>
      <c r="V38" s="208"/>
      <c r="W38" s="206"/>
      <c r="X38" s="206"/>
      <c r="Y38" s="206"/>
      <c r="Z38" s="206"/>
      <c r="AA38" s="208"/>
      <c r="AB38" s="206"/>
      <c r="AC38" s="206"/>
      <c r="AD38" s="206"/>
      <c r="AE38" s="206"/>
      <c r="AF38" s="208"/>
      <c r="AG38" s="363"/>
      <c r="AH38" s="363"/>
      <c r="AI38" s="363"/>
      <c r="AJ38" s="363"/>
      <c r="AK38" s="522"/>
      <c r="AL38" s="363"/>
      <c r="AM38" s="363"/>
      <c r="AN38" s="363"/>
      <c r="AO38" s="363"/>
      <c r="AP38" s="522"/>
      <c r="AQ38" s="363"/>
      <c r="AR38" s="1348"/>
      <c r="AS38" s="1348"/>
      <c r="AT38" s="1348"/>
      <c r="AU38" s="523"/>
      <c r="AV38" s="363"/>
      <c r="AW38" s="363"/>
      <c r="AX38" s="1348"/>
      <c r="AY38" s="1348"/>
      <c r="AZ38" s="523"/>
      <c r="BA38" s="1348"/>
      <c r="BB38" s="1348"/>
      <c r="BC38" s="1348"/>
      <c r="BD38" s="1348"/>
      <c r="BE38" s="523"/>
      <c r="BF38" s="1854"/>
      <c r="BG38" s="1854"/>
      <c r="BH38" s="1854"/>
      <c r="BI38" s="1854"/>
      <c r="BJ38" s="1475"/>
      <c r="BK38" s="1854"/>
      <c r="BL38" s="1855"/>
      <c r="BM38" s="1855"/>
      <c r="BN38" s="1348"/>
      <c r="BO38" s="523"/>
      <c r="BP38" s="1348"/>
      <c r="BQ38" s="1348"/>
      <c r="BR38" s="1348"/>
      <c r="BS38" s="1348"/>
      <c r="BT38" s="523"/>
      <c r="BU38" s="1348">
        <f>Metrics!BT17</f>
        <v>7</v>
      </c>
      <c r="BV38" s="1348">
        <f>Metrics!BU17</f>
        <v>20</v>
      </c>
      <c r="BW38" s="1348">
        <f>Metrics!BV17</f>
        <v>23</v>
      </c>
      <c r="BX38" s="1348">
        <f>Metrics!BW17</f>
        <v>25</v>
      </c>
      <c r="BY38" s="523">
        <f>SUM(BU38:BX38)</f>
        <v>75</v>
      </c>
      <c r="BZ38" s="1348"/>
      <c r="CA38" s="1348"/>
      <c r="CB38" s="1348"/>
      <c r="CC38" s="363"/>
      <c r="CD38" s="522"/>
      <c r="CE38" s="1348"/>
      <c r="CF38" s="363"/>
      <c r="CG38" s="363"/>
      <c r="CH38" s="363"/>
      <c r="CI38" s="523"/>
      <c r="CJ38" s="1348"/>
      <c r="CK38" s="1348"/>
      <c r="CL38" s="1348"/>
      <c r="CM38" s="1348"/>
      <c r="CN38" s="523"/>
      <c r="CO38" s="1348"/>
      <c r="CP38" s="1348"/>
      <c r="CQ38" s="1348"/>
      <c r="CR38" s="1348"/>
      <c r="CS38" s="523"/>
      <c r="CT38" s="1348"/>
      <c r="CU38" s="1348"/>
      <c r="CV38" s="1348"/>
      <c r="CW38" s="1348"/>
      <c r="CX38" s="523"/>
      <c r="CY38" s="1348"/>
      <c r="DA38" s="201"/>
      <c r="DB38" s="200"/>
      <c r="DC38" s="200"/>
    </row>
    <row r="39" spans="1:107">
      <c r="A39" s="205" t="s">
        <v>863</v>
      </c>
      <c r="B39" s="206"/>
      <c r="C39" s="206"/>
      <c r="D39" s="206"/>
      <c r="E39" s="206"/>
      <c r="F39" s="206"/>
      <c r="G39" s="206"/>
      <c r="H39" s="206"/>
      <c r="I39" s="206"/>
      <c r="J39" s="206"/>
      <c r="K39" s="206"/>
      <c r="L39" s="206"/>
      <c r="M39" s="205"/>
      <c r="N39" s="206"/>
      <c r="O39" s="206"/>
      <c r="P39" s="207"/>
      <c r="Q39" s="208"/>
      <c r="R39" s="206"/>
      <c r="S39" s="206"/>
      <c r="T39" s="206"/>
      <c r="U39" s="206"/>
      <c r="V39" s="208"/>
      <c r="W39" s="206"/>
      <c r="X39" s="206"/>
      <c r="Y39" s="206"/>
      <c r="Z39" s="206"/>
      <c r="AA39" s="208"/>
      <c r="AB39" s="206"/>
      <c r="AC39" s="206"/>
      <c r="AD39" s="206"/>
      <c r="AE39" s="206"/>
      <c r="AF39" s="208"/>
      <c r="AG39" s="363"/>
      <c r="AH39" s="363"/>
      <c r="AI39" s="363"/>
      <c r="AJ39" s="363"/>
      <c r="AK39" s="522"/>
      <c r="AL39" s="363"/>
      <c r="AM39" s="363"/>
      <c r="AN39" s="363"/>
      <c r="AO39" s="363"/>
      <c r="AP39" s="522"/>
      <c r="AQ39" s="363"/>
      <c r="AR39" s="1348"/>
      <c r="AS39" s="1348"/>
      <c r="AT39" s="1348"/>
      <c r="AU39" s="523"/>
      <c r="AV39" s="363"/>
      <c r="AW39" s="363"/>
      <c r="AX39" s="1348"/>
      <c r="AY39" s="1348"/>
      <c r="AZ39" s="523"/>
      <c r="BA39" s="1348"/>
      <c r="BB39" s="1348"/>
      <c r="BC39" s="1348"/>
      <c r="BD39" s="1348"/>
      <c r="BE39" s="523"/>
      <c r="BF39" s="1854"/>
      <c r="BG39" s="1854"/>
      <c r="BH39" s="1854"/>
      <c r="BI39" s="1854"/>
      <c r="BJ39" s="1475"/>
      <c r="BK39" s="1854"/>
      <c r="BL39" s="1855"/>
      <c r="BM39" s="1855"/>
      <c r="BN39" s="1348"/>
      <c r="BO39" s="523"/>
      <c r="BP39" s="1348"/>
      <c r="BQ39" s="1348"/>
      <c r="BR39" s="1348"/>
      <c r="BS39" s="1348"/>
      <c r="BT39" s="523"/>
      <c r="BU39" s="1348"/>
      <c r="BV39" s="1348"/>
      <c r="BW39" s="1348"/>
      <c r="BX39" s="1348"/>
      <c r="BY39" s="523"/>
      <c r="BZ39" s="1348"/>
      <c r="CA39" s="1348"/>
      <c r="CB39" s="1348"/>
      <c r="CC39" s="363"/>
      <c r="CD39" s="522"/>
      <c r="CE39" s="1856">
        <f>Metrics!CD18</f>
        <v>32</v>
      </c>
      <c r="CF39" s="363"/>
      <c r="CG39" s="363"/>
      <c r="CH39" s="363"/>
      <c r="CI39" s="523"/>
      <c r="CJ39" s="1348"/>
      <c r="CK39" s="1348"/>
      <c r="CL39" s="1348"/>
      <c r="CM39" s="1348"/>
      <c r="CN39" s="523"/>
      <c r="CO39" s="1348"/>
      <c r="CP39" s="1348"/>
      <c r="CQ39" s="1348"/>
      <c r="CR39" s="1348"/>
      <c r="CS39" s="523"/>
      <c r="CT39" s="1348"/>
      <c r="CU39" s="1348"/>
      <c r="CV39" s="1348"/>
      <c r="CW39" s="1348"/>
      <c r="CX39" s="523"/>
      <c r="CY39" s="1348"/>
      <c r="DA39" s="201"/>
      <c r="DB39" s="200"/>
      <c r="DC39" s="200"/>
    </row>
    <row r="40" spans="1:107" ht="11.25" customHeight="1">
      <c r="A40" s="1849" t="s">
        <v>9</v>
      </c>
      <c r="B40" s="954"/>
      <c r="C40" s="955"/>
      <c r="D40" s="956"/>
      <c r="E40" s="956"/>
      <c r="F40" s="957"/>
      <c r="G40" s="958"/>
      <c r="H40" s="955"/>
      <c r="I40" s="956"/>
      <c r="J40" s="956"/>
      <c r="K40" s="957"/>
      <c r="L40" s="955"/>
      <c r="M40" s="955"/>
      <c r="N40" s="956"/>
      <c r="O40" s="956"/>
      <c r="P40" s="957"/>
      <c r="Q40" s="958"/>
      <c r="R40" s="956"/>
      <c r="S40" s="956"/>
      <c r="T40" s="956"/>
      <c r="U40" s="956"/>
      <c r="V40" s="959"/>
      <c r="W40" s="954"/>
      <c r="X40" s="954"/>
      <c r="Y40" s="954"/>
      <c r="Z40" s="954"/>
      <c r="AA40" s="959"/>
      <c r="AB40" s="954"/>
      <c r="AC40" s="954"/>
      <c r="AD40" s="954"/>
      <c r="AE40" s="954"/>
      <c r="AF40" s="959"/>
      <c r="AG40" s="954"/>
      <c r="AH40" s="954"/>
      <c r="AI40" s="954"/>
      <c r="AJ40" s="954"/>
      <c r="AK40" s="959"/>
      <c r="AL40" s="954"/>
      <c r="AM40" s="954"/>
      <c r="AN40" s="954"/>
      <c r="AO40" s="954"/>
      <c r="AP40" s="959"/>
      <c r="AQ40" s="954">
        <f>AQ31-AQ36</f>
        <v>786.4</v>
      </c>
      <c r="AR40" s="954">
        <f>AR31-AR36</f>
        <v>704.69999999999993</v>
      </c>
      <c r="AS40" s="954">
        <f>AS31-AS36</f>
        <v>697.5</v>
      </c>
      <c r="AT40" s="954">
        <f>AT31-AT36</f>
        <v>757.30000000000007</v>
      </c>
      <c r="AU40" s="1135">
        <f>SUM(AQ40:AT40)</f>
        <v>2945.9</v>
      </c>
      <c r="AV40" s="954">
        <f>AV31-AV36</f>
        <v>858.7</v>
      </c>
      <c r="AW40" s="954">
        <f>AW31-AW36</f>
        <v>943</v>
      </c>
      <c r="AX40" s="954">
        <f>AX31-AX36</f>
        <v>990.3</v>
      </c>
      <c r="AY40" s="954">
        <f>AY31-AY36</f>
        <v>1008</v>
      </c>
      <c r="AZ40" s="1135">
        <f>SUM(AV40:AY40)</f>
        <v>3800</v>
      </c>
      <c r="BA40" s="954">
        <f>BA31-BA36</f>
        <v>1027.7</v>
      </c>
      <c r="BB40" s="954">
        <f>BB31-BB36</f>
        <v>1023.2</v>
      </c>
      <c r="BC40" s="954">
        <f>BC31-BC36</f>
        <v>1013.2</v>
      </c>
      <c r="BD40" s="954">
        <f>BD31-BD36</f>
        <v>1152.2</v>
      </c>
      <c r="BE40" s="1135">
        <f>SUM(BA40:BD40)</f>
        <v>4216.3</v>
      </c>
      <c r="BF40" s="954">
        <f>BF31-BF36</f>
        <v>1035.6000000000001</v>
      </c>
      <c r="BG40" s="954">
        <f>BG31-BG36</f>
        <v>1109.4000000000001</v>
      </c>
      <c r="BH40" s="954">
        <f>BH31-BH36</f>
        <v>1060.3</v>
      </c>
      <c r="BI40" s="954">
        <f>BI31-BI36</f>
        <v>1128.4000000000001</v>
      </c>
      <c r="BJ40" s="1135">
        <f>SUM(BF40:BI40)</f>
        <v>4333.7000000000007</v>
      </c>
      <c r="BK40" s="954">
        <f>BK31-BK36</f>
        <v>987.9</v>
      </c>
      <c r="BL40" s="954">
        <f>BL31-BL36</f>
        <v>1010.5</v>
      </c>
      <c r="BM40" s="954">
        <f>BM31-BM36-BM37</f>
        <v>989</v>
      </c>
      <c r="BN40" s="954">
        <f>BN31-BN36-BN37</f>
        <v>1018.7</v>
      </c>
      <c r="BO40" s="1135">
        <f>SUM(BK40:BN40)</f>
        <v>4006.1000000000004</v>
      </c>
      <c r="BP40" s="954">
        <f>BP31-BP36-BP37</f>
        <v>975.49</v>
      </c>
      <c r="BQ40" s="954">
        <f>BQ31-BQ36-BQ37</f>
        <v>1041.8673000000001</v>
      </c>
      <c r="BR40" s="954">
        <f>BR31-BR36-BR37</f>
        <v>983.22401100000002</v>
      </c>
      <c r="BS40" s="954">
        <f>BS31-BS36-BS37</f>
        <v>1073.3</v>
      </c>
      <c r="BT40" s="1135">
        <f>SUM(BP40:BS40)</f>
        <v>4073.8813110000001</v>
      </c>
      <c r="BU40" s="954">
        <f>BU31-SUM(BU36:BU38)</f>
        <v>1102.2</v>
      </c>
      <c r="BV40" s="954">
        <f>BV31-SUM(BV36:BV38)</f>
        <v>1142.1999999999998</v>
      </c>
      <c r="BW40" s="954">
        <f>BW31-SUM(BW36:BW38)</f>
        <v>1194.8</v>
      </c>
      <c r="BX40" s="954">
        <f>BX31-SUM(BX36:BX38)</f>
        <v>1281.4000000000001</v>
      </c>
      <c r="BY40" s="1135">
        <f>SUM(BU40:BX40)</f>
        <v>4720.6000000000004</v>
      </c>
      <c r="BZ40" s="954">
        <f>BZ31-BZ36</f>
        <v>1383.3</v>
      </c>
      <c r="CA40" s="954">
        <f>CA31-CA36</f>
        <v>1398.7</v>
      </c>
      <c r="CB40" s="954">
        <f>CB31-CB36</f>
        <v>1464</v>
      </c>
      <c r="CC40" s="954">
        <f>CC31-CC36</f>
        <v>1608.4</v>
      </c>
      <c r="CD40" s="1135">
        <f>SUM(BZ40:CC40)</f>
        <v>5854.4</v>
      </c>
      <c r="CE40" s="954">
        <f>CE31-SUM(CE36:CE39)</f>
        <v>1649.6</v>
      </c>
      <c r="CF40" s="954">
        <f>CF31-SUM(CF36:CF39)</f>
        <v>1772.2</v>
      </c>
      <c r="CG40" s="954">
        <f>CG31-SUM(CG36:CG39)</f>
        <v>1841.1</v>
      </c>
      <c r="CH40" s="954">
        <f>CH31-SUM(CH36:CH39)</f>
        <v>2006.6</v>
      </c>
      <c r="CI40" s="1135">
        <f>SUM(CE40:CH40)</f>
        <v>7269.5</v>
      </c>
      <c r="CJ40" s="954">
        <f>CJ31-SUM(CJ36:CJ39)</f>
        <v>2078.9</v>
      </c>
      <c r="CK40" s="954">
        <f>CK31-CK36</f>
        <v>2175.0017125198278</v>
      </c>
      <c r="CL40" s="954">
        <f>CL31-CL36</f>
        <v>2261.4757834422894</v>
      </c>
      <c r="CM40" s="954">
        <f>CM31-CM36</f>
        <v>2379.804478255523</v>
      </c>
      <c r="CN40" s="1135">
        <f>SUM(CJ40:CM40)</f>
        <v>8895.1819742176394</v>
      </c>
      <c r="CO40" s="954">
        <f>CO31-CO36</f>
        <v>2468.4531475484737</v>
      </c>
      <c r="CP40" s="954">
        <f>CP31-CP36</f>
        <v>2570.9578231587748</v>
      </c>
      <c r="CQ40" s="954">
        <f>CQ31-CQ36</f>
        <v>2678.1316066154886</v>
      </c>
      <c r="CR40" s="954">
        <f>CR31-CR36</f>
        <v>2816.7017567979938</v>
      </c>
      <c r="CS40" s="1135">
        <f>SUM(CO40:CR40)</f>
        <v>10534.244334120731</v>
      </c>
      <c r="CT40" s="954">
        <f>CT31-CT36</f>
        <v>2904.455994825903</v>
      </c>
      <c r="CU40" s="954">
        <f>CU31-CU36</f>
        <v>3003.8963441027877</v>
      </c>
      <c r="CV40" s="954">
        <f>CV31-CV36</f>
        <v>3105.0692880368842</v>
      </c>
      <c r="CW40" s="954">
        <f>CW31-CW36</f>
        <v>3241.6785565389209</v>
      </c>
      <c r="CX40" s="959">
        <f>SUM(CT40:CW40)</f>
        <v>12255.100183504495</v>
      </c>
      <c r="CY40" s="458"/>
      <c r="DA40" s="201"/>
      <c r="DB40" s="496"/>
      <c r="DC40" s="496"/>
    </row>
    <row r="41" spans="1:107" ht="11.25" customHeight="1">
      <c r="A41" s="1847" t="s">
        <v>219</v>
      </c>
      <c r="B41" s="652"/>
      <c r="C41" s="1280"/>
      <c r="D41" s="653"/>
      <c r="E41" s="653"/>
      <c r="F41" s="1281"/>
      <c r="G41" s="870"/>
      <c r="H41" s="1280"/>
      <c r="I41" s="653"/>
      <c r="J41" s="653"/>
      <c r="K41" s="1281"/>
      <c r="L41" s="1280"/>
      <c r="M41" s="1280"/>
      <c r="N41" s="653"/>
      <c r="O41" s="653"/>
      <c r="P41" s="1281"/>
      <c r="Q41" s="870"/>
      <c r="R41" s="653"/>
      <c r="S41" s="653"/>
      <c r="T41" s="653"/>
      <c r="U41" s="653"/>
      <c r="V41" s="870"/>
      <c r="W41" s="653"/>
      <c r="X41" s="653"/>
      <c r="Y41" s="653"/>
      <c r="Z41" s="653"/>
      <c r="AA41" s="870"/>
      <c r="AB41" s="653"/>
      <c r="AC41" s="653"/>
      <c r="AD41" s="653"/>
      <c r="AE41" s="653"/>
      <c r="AF41" s="870"/>
      <c r="AG41" s="1282"/>
      <c r="AH41" s="1282"/>
      <c r="AI41" s="1282"/>
      <c r="AJ41" s="1282"/>
      <c r="AK41" s="870"/>
      <c r="AL41" s="1282"/>
      <c r="AM41" s="1282"/>
      <c r="AN41" s="1282"/>
      <c r="AO41" s="1282"/>
      <c r="AP41" s="870"/>
      <c r="AQ41" s="507"/>
      <c r="AR41" s="507"/>
      <c r="AS41" s="507"/>
      <c r="AT41" s="507"/>
      <c r="AU41" s="1137"/>
      <c r="AV41" s="507">
        <f t="shared" ref="AV41:BE41" si="103">AV40/AQ40-1</f>
        <v>9.1937945066124183E-2</v>
      </c>
      <c r="AW41" s="507">
        <f t="shared" si="103"/>
        <v>0.33815808145310067</v>
      </c>
      <c r="AX41" s="507">
        <f t="shared" si="103"/>
        <v>0.41978494623655904</v>
      </c>
      <c r="AY41" s="507">
        <f t="shared" si="103"/>
        <v>0.33104450019807197</v>
      </c>
      <c r="AZ41" s="1137">
        <f t="shared" si="103"/>
        <v>0.28992837502970237</v>
      </c>
      <c r="BA41" s="507">
        <f t="shared" si="103"/>
        <v>0.19680913008035406</v>
      </c>
      <c r="BB41" s="507">
        <f t="shared" si="103"/>
        <v>8.5047720042417785E-2</v>
      </c>
      <c r="BC41" s="507">
        <f t="shared" si="103"/>
        <v>2.3124305765929609E-2</v>
      </c>
      <c r="BD41" s="507">
        <f t="shared" si="103"/>
        <v>0.14305555555555549</v>
      </c>
      <c r="BE41" s="1137">
        <f t="shared" si="103"/>
        <v>0.10955263157894746</v>
      </c>
      <c r="BF41" s="507">
        <f>BF40/BA31-1</f>
        <v>7.687068210567416E-3</v>
      </c>
      <c r="BG41" s="507">
        <f t="shared" ref="BG41:BT41" si="104">BG40/BB31-1</f>
        <v>8.4245504300234586E-2</v>
      </c>
      <c r="BH41" s="507">
        <f t="shared" si="104"/>
        <v>4.6486379786814025E-2</v>
      </c>
      <c r="BI41" s="507">
        <f t="shared" si="104"/>
        <v>-2.0656136087484733E-2</v>
      </c>
      <c r="BJ41" s="1137">
        <f t="shared" si="104"/>
        <v>2.7844318478286834E-2</v>
      </c>
      <c r="BK41" s="507">
        <f t="shared" si="104"/>
        <v>-5.4822043628013795E-2</v>
      </c>
      <c r="BL41" s="507">
        <f t="shared" si="104"/>
        <v>-0.10289417613636376</v>
      </c>
      <c r="BM41" s="507">
        <f t="shared" si="104"/>
        <v>-8.4513561047857011E-2</v>
      </c>
      <c r="BN41" s="507">
        <f t="shared" si="104"/>
        <v>-0.11678515692734526</v>
      </c>
      <c r="BO41" s="508">
        <f t="shared" si="104"/>
        <v>-9.0618119083830995E-2</v>
      </c>
      <c r="BP41" s="507">
        <f t="shared" si="104"/>
        <v>-3.2155967853953693E-2</v>
      </c>
      <c r="BQ41" s="507">
        <f t="shared" si="104"/>
        <v>3.1041365660564146E-2</v>
      </c>
      <c r="BR41" s="507">
        <f t="shared" si="104"/>
        <v>-1.1835164824120614E-2</v>
      </c>
      <c r="BS41" s="507">
        <f t="shared" si="104"/>
        <v>3.0335029279062953E-2</v>
      </c>
      <c r="BT41" s="508">
        <f t="shared" si="104"/>
        <v>4.6315284456610595E-3</v>
      </c>
      <c r="BU41" s="507">
        <f t="shared" ref="BU41:CE41" si="105">BU40/BP31-1</f>
        <v>0.10208979102089799</v>
      </c>
      <c r="BV41" s="507">
        <f t="shared" si="105"/>
        <v>6.9275416588653549E-2</v>
      </c>
      <c r="BW41" s="507">
        <f t="shared" si="105"/>
        <v>0.18838273324050125</v>
      </c>
      <c r="BX41" s="507">
        <f t="shared" si="105"/>
        <v>0.1938880089443773</v>
      </c>
      <c r="BY41" s="508">
        <f t="shared" si="105"/>
        <v>0.13831685555823503</v>
      </c>
      <c r="BZ41" s="507">
        <f t="shared" si="105"/>
        <v>0.2471150378651279</v>
      </c>
      <c r="CA41" s="507">
        <f t="shared" si="105"/>
        <v>0.20349337463431438</v>
      </c>
      <c r="CB41" s="507">
        <f t="shared" si="105"/>
        <v>0.20216784365248808</v>
      </c>
      <c r="CC41" s="507">
        <f t="shared" si="105"/>
        <v>0.23116962645437833</v>
      </c>
      <c r="CD41" s="508">
        <f t="shared" si="105"/>
        <v>0.22078572024355636</v>
      </c>
      <c r="CE41" s="507">
        <f t="shared" si="105"/>
        <v>0.19251066290753993</v>
      </c>
      <c r="CF41" s="507">
        <f t="shared" ref="CF41:CN41" si="106">CF40/CA31-1</f>
        <v>0.26703367412597401</v>
      </c>
      <c r="CG41" s="507">
        <f t="shared" si="106"/>
        <v>0.25758196721311477</v>
      </c>
      <c r="CH41" s="507">
        <f t="shared" si="106"/>
        <v>0.24757523004227799</v>
      </c>
      <c r="CI41" s="508">
        <f t="shared" si="106"/>
        <v>0.2417156326865264</v>
      </c>
      <c r="CJ41" s="507">
        <f t="shared" si="106"/>
        <v>0.23626308277830654</v>
      </c>
      <c r="CK41" s="1283">
        <f t="shared" si="106"/>
        <v>0.22728908278965565</v>
      </c>
      <c r="CL41" s="1283">
        <f t="shared" si="106"/>
        <v>0.22832859890407331</v>
      </c>
      <c r="CM41" s="1283">
        <f t="shared" si="106"/>
        <v>0.18598847715315614</v>
      </c>
      <c r="CN41" s="1267">
        <f t="shared" si="106"/>
        <v>0.21826774967029228</v>
      </c>
      <c r="CO41" s="1283">
        <f t="shared" ref="CO41:CX41" si="107">CO40/CJ31-1</f>
        <v>0.18738426453820467</v>
      </c>
      <c r="CP41" s="1283">
        <f t="shared" si="107"/>
        <v>0.18204864316185554</v>
      </c>
      <c r="CQ41" s="1283">
        <f t="shared" si="107"/>
        <v>0.18424067426403723</v>
      </c>
      <c r="CR41" s="1283">
        <f t="shared" si="107"/>
        <v>0.18358536700575123</v>
      </c>
      <c r="CS41" s="1267">
        <f t="shared" si="107"/>
        <v>0.18426406167449461</v>
      </c>
      <c r="CT41" s="1283">
        <f t="shared" si="107"/>
        <v>0.17662998696590315</v>
      </c>
      <c r="CU41" s="1283">
        <f t="shared" si="107"/>
        <v>0.16839580838089696</v>
      </c>
      <c r="CV41" s="1283">
        <f t="shared" si="107"/>
        <v>0.15941624390929077</v>
      </c>
      <c r="CW41" s="1283">
        <f t="shared" si="107"/>
        <v>0.15087745754951265</v>
      </c>
      <c r="CX41" s="1267">
        <f t="shared" si="107"/>
        <v>0.16335826233020456</v>
      </c>
      <c r="CY41" s="1283"/>
      <c r="DA41" s="871"/>
      <c r="DB41" s="653"/>
      <c r="DC41" s="653"/>
    </row>
    <row r="42" spans="1:107" ht="11.25" customHeight="1">
      <c r="A42" s="1847" t="s">
        <v>220</v>
      </c>
      <c r="B42" s="652"/>
      <c r="C42" s="1280"/>
      <c r="D42" s="653"/>
      <c r="E42" s="653"/>
      <c r="F42" s="1281"/>
      <c r="G42" s="870"/>
      <c r="H42" s="1280"/>
      <c r="I42" s="653"/>
      <c r="J42" s="653"/>
      <c r="K42" s="1281"/>
      <c r="L42" s="1280"/>
      <c r="M42" s="1280"/>
      <c r="N42" s="653"/>
      <c r="O42" s="653"/>
      <c r="P42" s="1281"/>
      <c r="Q42" s="870"/>
      <c r="R42" s="653"/>
      <c r="S42" s="653"/>
      <c r="T42" s="653"/>
      <c r="U42" s="653"/>
      <c r="V42" s="870"/>
      <c r="W42" s="653"/>
      <c r="X42" s="653"/>
      <c r="Y42" s="653"/>
      <c r="Z42" s="653"/>
      <c r="AA42" s="870"/>
      <c r="AB42" s="653"/>
      <c r="AC42" s="653"/>
      <c r="AD42" s="653"/>
      <c r="AE42" s="653"/>
      <c r="AF42" s="870"/>
      <c r="AG42" s="1282"/>
      <c r="AH42" s="1282"/>
      <c r="AI42" s="1282"/>
      <c r="AJ42" s="1282"/>
      <c r="AK42" s="870"/>
      <c r="AL42" s="1282"/>
      <c r="AM42" s="1282"/>
      <c r="AN42" s="1282"/>
      <c r="AO42" s="1282"/>
      <c r="AP42" s="870"/>
      <c r="AQ42" s="507"/>
      <c r="AR42" s="507"/>
      <c r="AS42" s="507"/>
      <c r="AT42" s="507"/>
      <c r="AU42" s="1137"/>
      <c r="AV42" s="507">
        <f>AV40/AT40-1</f>
        <v>0.13389673841278227</v>
      </c>
      <c r="AW42" s="507">
        <f>AW40/AV40-1</f>
        <v>9.8171654827064136E-2</v>
      </c>
      <c r="AX42" s="507">
        <f>AX40/AW40-1</f>
        <v>5.0159066808059372E-2</v>
      </c>
      <c r="AY42" s="507">
        <f>AY40/AX40-1</f>
        <v>1.7873371705543928E-2</v>
      </c>
      <c r="AZ42" s="1266"/>
      <c r="BA42" s="507">
        <f>BA40/AY40-1</f>
        <v>1.9543650793650835E-2</v>
      </c>
      <c r="BB42" s="507">
        <f>BB40/BA40-1</f>
        <v>-4.3787097401966069E-3</v>
      </c>
      <c r="BC42" s="507">
        <f>BC40/BB40-1</f>
        <v>-9.7732603596559775E-3</v>
      </c>
      <c r="BD42" s="507">
        <f>BD40/BC40-1</f>
        <v>0.13718910382945126</v>
      </c>
      <c r="BE42" s="1266"/>
      <c r="BF42" s="507">
        <f>BF40/BD40-1</f>
        <v>-0.10119770873112299</v>
      </c>
      <c r="BG42" s="507">
        <f>BG40/BF40-1</f>
        <v>7.1263035921204976E-2</v>
      </c>
      <c r="BH42" s="507">
        <f>BH40/BG40-1</f>
        <v>-4.4258157562646616E-2</v>
      </c>
      <c r="BI42" s="507">
        <f>BI40/BH40-1</f>
        <v>6.4227105536169171E-2</v>
      </c>
      <c r="BJ42" s="1266"/>
      <c r="BK42" s="507">
        <f>BK40/BI40-1</f>
        <v>-0.12451258419000366</v>
      </c>
      <c r="BL42" s="507">
        <f>BL40/BK40-1</f>
        <v>2.2876809393663322E-2</v>
      </c>
      <c r="BM42" s="507">
        <f>BM40/BL40-1</f>
        <v>-2.1276595744680882E-2</v>
      </c>
      <c r="BN42" s="507">
        <f>BN40/BM40-1</f>
        <v>3.0030333670374221E-2</v>
      </c>
      <c r="BO42" s="1267"/>
      <c r="BP42" s="507">
        <f>BP40/BN40-1</f>
        <v>-4.2416805732796714E-2</v>
      </c>
      <c r="BQ42" s="507">
        <f>BQ40/BP40-1</f>
        <v>6.8045085034188046E-2</v>
      </c>
      <c r="BR42" s="507">
        <f>BR40/BQ40-1</f>
        <v>-5.6286716168172379E-2</v>
      </c>
      <c r="BS42" s="507">
        <f>BS40/BR40-1</f>
        <v>9.1612885763832308E-2</v>
      </c>
      <c r="BT42" s="1267"/>
      <c r="BU42" s="507">
        <f>BU40/BS40-1</f>
        <v>2.6926302059070206E-2</v>
      </c>
      <c r="BV42" s="507">
        <f>BV40/BU40-1</f>
        <v>3.6291054255125799E-2</v>
      </c>
      <c r="BW42" s="507">
        <f>BW40/BV40-1</f>
        <v>4.6051479600770495E-2</v>
      </c>
      <c r="BX42" s="507">
        <f>BX40/BW40-1</f>
        <v>7.2480749916304044E-2</v>
      </c>
      <c r="BY42" s="1267"/>
      <c r="BZ42" s="507">
        <f>BZ40/BX40-1</f>
        <v>7.9522397377867815E-2</v>
      </c>
      <c r="CA42" s="507">
        <f>CA40/BZ40-1</f>
        <v>1.1132798380683928E-2</v>
      </c>
      <c r="CB42" s="507">
        <f>CB40/CA40-1</f>
        <v>4.6686208622292114E-2</v>
      </c>
      <c r="CC42" s="507">
        <f>CC40/CB40-1</f>
        <v>9.8633879781420797E-2</v>
      </c>
      <c r="CD42" s="508"/>
      <c r="CE42" s="507">
        <f>CE40/CC40-1</f>
        <v>2.5615518527729364E-2</v>
      </c>
      <c r="CF42" s="507">
        <f>CF40/CE40-1</f>
        <v>7.4321047526673123E-2</v>
      </c>
      <c r="CG42" s="507">
        <f>CG40/CF40-1</f>
        <v>3.8878230448030626E-2</v>
      </c>
      <c r="CH42" s="507">
        <f>CH40/CG40-1</f>
        <v>8.9891912443647914E-2</v>
      </c>
      <c r="CI42" s="1267"/>
      <c r="CJ42" s="507">
        <f>CJ40/CH40-1</f>
        <v>3.6031097378650623E-2</v>
      </c>
      <c r="CK42" s="1283">
        <f>CK40/CJ40-1</f>
        <v>4.6227193477236916E-2</v>
      </c>
      <c r="CL42" s="1283">
        <f>CL40/CK40-1</f>
        <v>3.9758162223365812E-2</v>
      </c>
      <c r="CM42" s="1283">
        <f>CM40/CL40-1</f>
        <v>5.2323662132309101E-2</v>
      </c>
      <c r="CN42" s="1267"/>
      <c r="CO42" s="1283">
        <f>CO40/CM40-1</f>
        <v>3.7250400233691972E-2</v>
      </c>
      <c r="CP42" s="1283">
        <f>CP40/CO40-1</f>
        <v>4.1525874498409276E-2</v>
      </c>
      <c r="CQ42" s="1283">
        <f>CQ40/CP40-1</f>
        <v>4.1686325030815263E-2</v>
      </c>
      <c r="CR42" s="1283">
        <f>CR40/CQ40-1</f>
        <v>5.1741352008322083E-2</v>
      </c>
      <c r="CS42" s="1267"/>
      <c r="CT42" s="1283">
        <f>CT40/CR40-1</f>
        <v>3.115496264953066E-2</v>
      </c>
      <c r="CU42" s="1283">
        <f>CU40/CT40-1</f>
        <v>3.4237168493525427E-2</v>
      </c>
      <c r="CV42" s="1283">
        <f>CV40/CU40-1</f>
        <v>3.3680570946703181E-2</v>
      </c>
      <c r="CW42" s="1283">
        <f>CW40/CV40-1</f>
        <v>4.3995562040551217E-2</v>
      </c>
      <c r="CX42" s="1267"/>
      <c r="CY42" s="1283"/>
      <c r="DA42" s="871"/>
      <c r="DB42" s="653"/>
      <c r="DC42" s="653"/>
    </row>
    <row r="43" spans="1:107" ht="11.25" customHeight="1">
      <c r="A43" s="1857" t="s">
        <v>460</v>
      </c>
      <c r="B43" s="652"/>
      <c r="C43" s="1280"/>
      <c r="D43" s="653"/>
      <c r="E43" s="653"/>
      <c r="F43" s="1281"/>
      <c r="G43" s="870"/>
      <c r="H43" s="1280"/>
      <c r="I43" s="653"/>
      <c r="J43" s="653"/>
      <c r="K43" s="1281"/>
      <c r="L43" s="1280"/>
      <c r="M43" s="1280"/>
      <c r="N43" s="653"/>
      <c r="O43" s="653"/>
      <c r="P43" s="1281"/>
      <c r="Q43" s="870"/>
      <c r="R43" s="653"/>
      <c r="S43" s="653"/>
      <c r="T43" s="653"/>
      <c r="U43" s="653"/>
      <c r="V43" s="870"/>
      <c r="W43" s="653"/>
      <c r="X43" s="653"/>
      <c r="Y43" s="653"/>
      <c r="Z43" s="653"/>
      <c r="AA43" s="870"/>
      <c r="AB43" s="653"/>
      <c r="AC43" s="653"/>
      <c r="AD43" s="653"/>
      <c r="AE43" s="653"/>
      <c r="AF43" s="870"/>
      <c r="AG43" s="1282"/>
      <c r="AH43" s="1282"/>
      <c r="AI43" s="1282"/>
      <c r="AJ43" s="1282"/>
      <c r="AK43" s="870"/>
      <c r="AL43" s="1282"/>
      <c r="AM43" s="1282"/>
      <c r="AN43" s="1282"/>
      <c r="AO43" s="1282"/>
      <c r="AP43" s="870"/>
      <c r="AQ43" s="507"/>
      <c r="AR43" s="507"/>
      <c r="AS43" s="507"/>
      <c r="AT43" s="507"/>
      <c r="AU43" s="1137"/>
      <c r="AV43" s="507"/>
      <c r="AW43" s="507"/>
      <c r="AX43" s="507"/>
      <c r="AY43" s="507"/>
      <c r="AZ43" s="1266"/>
      <c r="BA43" s="507"/>
      <c r="BB43" s="507"/>
      <c r="BC43" s="507"/>
      <c r="BD43" s="507"/>
      <c r="BE43" s="1266"/>
      <c r="BF43" s="458">
        <f>BF17-SUM(BF36:BF37)</f>
        <v>170.6</v>
      </c>
      <c r="BG43" s="458">
        <f>BG17-SUM(BG36:BG37)</f>
        <v>178.8</v>
      </c>
      <c r="BH43" s="458">
        <f>BH17-SUM(BH36:BH37)</f>
        <v>179</v>
      </c>
      <c r="BI43" s="458">
        <f>BI17-SUM(BI36:BI37)</f>
        <v>203.8</v>
      </c>
      <c r="BJ43" s="465">
        <f>SUM(BF43:BI43)</f>
        <v>732.2</v>
      </c>
      <c r="BK43" s="458">
        <f>BK17-SUM(BK36:BK37)</f>
        <v>195.4</v>
      </c>
      <c r="BL43" s="458">
        <f>BL17-SUM(BL36:BL37)</f>
        <v>229.6</v>
      </c>
      <c r="BM43" s="458">
        <f>BM17-SUM(BM36:BM37)</f>
        <v>248.8</v>
      </c>
      <c r="BN43" s="458">
        <f>BN17-SUM(BN36:BN37)</f>
        <v>293.2</v>
      </c>
      <c r="BO43" s="465">
        <f>SUM(BK43:BN43)</f>
        <v>967</v>
      </c>
      <c r="BP43" s="458">
        <f>BP17-SUM(BP36:BP37)</f>
        <v>242.39</v>
      </c>
      <c r="BQ43" s="458">
        <f>BQ17-SUM(BQ36:BQ37)</f>
        <v>256.56729999999999</v>
      </c>
      <c r="BR43" s="458">
        <f>BR17-SUM(BR36:BR37)</f>
        <v>267.92401100000001</v>
      </c>
      <c r="BS43" s="458">
        <f>BS17-SUM(BS36:BS37)</f>
        <v>330.3</v>
      </c>
      <c r="BT43" s="465">
        <f>SUM(BP43:BS43)</f>
        <v>1097.1813110000001</v>
      </c>
      <c r="BU43" s="458">
        <f>BU17-SUM(BU36:BU37)</f>
        <v>311.5</v>
      </c>
      <c r="BV43" s="458">
        <f>BV17-SUM(BV36:BV37)</f>
        <v>326.60000000000002</v>
      </c>
      <c r="BW43" s="458">
        <f>BW17-SUM(BW36:BW37)</f>
        <v>368.4</v>
      </c>
      <c r="BX43" s="458">
        <f>BX17-SUM(BX36:BX37)</f>
        <v>352.2</v>
      </c>
      <c r="BY43" s="465">
        <f>SUM(BU43:BX43)</f>
        <v>1358.7</v>
      </c>
      <c r="BZ43" s="458">
        <f>BZ17-SUM(BZ36:BZ37)</f>
        <v>377.3</v>
      </c>
      <c r="CA43" s="458">
        <f>CA17-SUM(CA36:CA37)</f>
        <v>385.4</v>
      </c>
      <c r="CB43" s="458">
        <f>CB17-SUM(CB36:CB37)</f>
        <v>404</v>
      </c>
      <c r="CC43" s="458">
        <f>CC17-SUM(CC36:CC37)</f>
        <v>464.7</v>
      </c>
      <c r="CD43" s="508"/>
      <c r="CE43" s="458">
        <f>CE17-SUM(CE36:CE37)</f>
        <v>477.3</v>
      </c>
      <c r="CF43" s="458">
        <f>CF17-SUM(CF36:CF37)</f>
        <v>495.4</v>
      </c>
      <c r="CG43" s="458">
        <f>CG17-SUM(CG36:CG37)</f>
        <v>507.8</v>
      </c>
      <c r="CH43" s="458">
        <f>CH17-SUM(CH36:CH37)</f>
        <v>549.9</v>
      </c>
      <c r="CI43" s="1267"/>
      <c r="CJ43" s="458">
        <f>CJ17-SUM(CJ36:CJ37)</f>
        <v>554.1</v>
      </c>
      <c r="CK43" s="1283"/>
      <c r="CL43" s="1283"/>
      <c r="CM43" s="1283"/>
      <c r="CN43" s="1267"/>
      <c r="CO43" s="1283"/>
      <c r="CP43" s="1283"/>
      <c r="CQ43" s="1283"/>
      <c r="CR43" s="1283"/>
      <c r="CS43" s="1267"/>
      <c r="CT43" s="1283"/>
      <c r="CU43" s="1283"/>
      <c r="CV43" s="1283"/>
      <c r="CW43" s="1283"/>
      <c r="CX43" s="1267"/>
      <c r="CY43" s="1283"/>
      <c r="DA43" s="871"/>
      <c r="DB43" s="653"/>
      <c r="DC43" s="653"/>
    </row>
    <row r="44" spans="1:107" ht="11.25" customHeight="1">
      <c r="A44" s="1858" t="s">
        <v>219</v>
      </c>
      <c r="B44" s="652"/>
      <c r="C44" s="1280"/>
      <c r="D44" s="653"/>
      <c r="E44" s="653"/>
      <c r="F44" s="1281"/>
      <c r="G44" s="870"/>
      <c r="H44" s="1280"/>
      <c r="I44" s="653"/>
      <c r="J44" s="653"/>
      <c r="K44" s="1281"/>
      <c r="L44" s="1280"/>
      <c r="M44" s="1280"/>
      <c r="N44" s="653"/>
      <c r="O44" s="653"/>
      <c r="P44" s="1281"/>
      <c r="Q44" s="870"/>
      <c r="R44" s="653"/>
      <c r="S44" s="653"/>
      <c r="T44" s="653"/>
      <c r="U44" s="653"/>
      <c r="V44" s="870"/>
      <c r="W44" s="653"/>
      <c r="X44" s="653"/>
      <c r="Y44" s="653"/>
      <c r="Z44" s="653"/>
      <c r="AA44" s="870"/>
      <c r="AB44" s="653"/>
      <c r="AC44" s="653"/>
      <c r="AD44" s="653"/>
      <c r="AE44" s="653"/>
      <c r="AF44" s="870"/>
      <c r="AG44" s="1282"/>
      <c r="AH44" s="1282"/>
      <c r="AI44" s="1282"/>
      <c r="AJ44" s="1282"/>
      <c r="AK44" s="870"/>
      <c r="AL44" s="1282"/>
      <c r="AM44" s="1282"/>
      <c r="AN44" s="1282"/>
      <c r="AO44" s="1282"/>
      <c r="AP44" s="870"/>
      <c r="AQ44" s="507"/>
      <c r="AR44" s="507"/>
      <c r="AS44" s="507"/>
      <c r="AT44" s="507"/>
      <c r="AU44" s="1137"/>
      <c r="AV44" s="507"/>
      <c r="AW44" s="507"/>
      <c r="AX44" s="507"/>
      <c r="AY44" s="507"/>
      <c r="AZ44" s="1266"/>
      <c r="BA44" s="507"/>
      <c r="BB44" s="507"/>
      <c r="BC44" s="507"/>
      <c r="BD44" s="507"/>
      <c r="BE44" s="1266"/>
      <c r="BF44" s="507"/>
      <c r="BG44" s="507"/>
      <c r="BH44" s="507"/>
      <c r="BI44" s="507"/>
      <c r="BJ44" s="508">
        <f t="shared" ref="BJ44:CC44" si="108">BJ43/BE17-1</f>
        <v>0.23120901294770491</v>
      </c>
      <c r="BK44" s="507">
        <f t="shared" si="108"/>
        <v>8.4350721420643815E-2</v>
      </c>
      <c r="BL44" s="507">
        <f t="shared" si="108"/>
        <v>0.17262512768130733</v>
      </c>
      <c r="BM44" s="507">
        <f t="shared" si="108"/>
        <v>0.25025125628140699</v>
      </c>
      <c r="BN44" s="507">
        <f t="shared" si="108"/>
        <v>0.28146853146853146</v>
      </c>
      <c r="BO44" s="508">
        <f t="shared" si="108"/>
        <v>0.20303558099029617</v>
      </c>
      <c r="BP44" s="507">
        <f t="shared" si="108"/>
        <v>0.12530176415970273</v>
      </c>
      <c r="BQ44" s="507">
        <f t="shared" si="108"/>
        <v>0.11745339721254355</v>
      </c>
      <c r="BR44" s="507">
        <f t="shared" si="108"/>
        <v>5.1507107535321728E-2</v>
      </c>
      <c r="BS44" s="507">
        <f t="shared" si="108"/>
        <v>4.4592030360531387E-2</v>
      </c>
      <c r="BT44" s="508">
        <f t="shared" si="108"/>
        <v>7.9902865157480463E-2</v>
      </c>
      <c r="BU44" s="507">
        <f t="shared" si="108"/>
        <v>0.16666666666666674</v>
      </c>
      <c r="BV44" s="507">
        <f t="shared" si="108"/>
        <v>0.15447154471544722</v>
      </c>
      <c r="BW44" s="507">
        <f t="shared" si="108"/>
        <v>0.26990692864529464</v>
      </c>
      <c r="BX44" s="507">
        <f t="shared" si="108"/>
        <v>6.6303360581289716E-2</v>
      </c>
      <c r="BY44" s="508">
        <f t="shared" si="108"/>
        <v>0.16098436298385033</v>
      </c>
      <c r="BZ44" s="507">
        <f t="shared" si="108"/>
        <v>0.21123595505617976</v>
      </c>
      <c r="CA44" s="507">
        <f t="shared" si="108"/>
        <v>0.18003674219228394</v>
      </c>
      <c r="CB44" s="507">
        <f t="shared" si="108"/>
        <v>9.6634093376764429E-2</v>
      </c>
      <c r="CC44" s="507">
        <f t="shared" si="108"/>
        <v>0.31942078364565596</v>
      </c>
      <c r="CD44" s="508"/>
      <c r="CE44" s="507">
        <f>CE43/BZ17-1</f>
        <v>0.26504108136761206</v>
      </c>
      <c r="CF44" s="507">
        <f>CF43/CA17-1</f>
        <v>0.28541774779449924</v>
      </c>
      <c r="CG44" s="507">
        <f>CG43/CB17-1</f>
        <v>0.25693069306930694</v>
      </c>
      <c r="CH44" s="507">
        <f>CH43/CC17-1</f>
        <v>0.18334409296320198</v>
      </c>
      <c r="CI44" s="1267"/>
      <c r="CJ44" s="507">
        <f>CJ43/CE17-1</f>
        <v>0.16090509113764928</v>
      </c>
      <c r="CK44" s="1283"/>
      <c r="CL44" s="1283"/>
      <c r="CM44" s="1283"/>
      <c r="CN44" s="1267"/>
      <c r="CO44" s="1283"/>
      <c r="CP44" s="1283"/>
      <c r="CQ44" s="1283"/>
      <c r="CR44" s="1283"/>
      <c r="CS44" s="1267"/>
      <c r="CT44" s="1283"/>
      <c r="CU44" s="1283"/>
      <c r="CV44" s="1283"/>
      <c r="CW44" s="1283"/>
      <c r="CX44" s="1267"/>
      <c r="CY44" s="1283"/>
      <c r="DA44" s="871"/>
      <c r="DB44" s="653"/>
      <c r="DC44" s="653"/>
    </row>
    <row r="45" spans="1:107" ht="11.25" customHeight="1">
      <c r="A45" s="1858" t="s">
        <v>220</v>
      </c>
      <c r="B45" s="652"/>
      <c r="C45" s="1280"/>
      <c r="D45" s="653"/>
      <c r="E45" s="653"/>
      <c r="F45" s="1281"/>
      <c r="G45" s="870"/>
      <c r="H45" s="1280"/>
      <c r="I45" s="653"/>
      <c r="J45" s="653"/>
      <c r="K45" s="1281"/>
      <c r="L45" s="1280"/>
      <c r="M45" s="1280"/>
      <c r="N45" s="653"/>
      <c r="O45" s="653"/>
      <c r="P45" s="1281"/>
      <c r="Q45" s="870"/>
      <c r="R45" s="653"/>
      <c r="S45" s="653"/>
      <c r="T45" s="653"/>
      <c r="U45" s="653"/>
      <c r="V45" s="870"/>
      <c r="W45" s="653"/>
      <c r="X45" s="653"/>
      <c r="Y45" s="653"/>
      <c r="Z45" s="653"/>
      <c r="AA45" s="870"/>
      <c r="AB45" s="653"/>
      <c r="AC45" s="653"/>
      <c r="AD45" s="653"/>
      <c r="AE45" s="653"/>
      <c r="AF45" s="870"/>
      <c r="AG45" s="1282"/>
      <c r="AH45" s="1282"/>
      <c r="AI45" s="1282"/>
      <c r="AJ45" s="1282"/>
      <c r="AK45" s="870"/>
      <c r="AL45" s="1282"/>
      <c r="AM45" s="1282"/>
      <c r="AN45" s="1282"/>
      <c r="AO45" s="1282"/>
      <c r="AP45" s="870"/>
      <c r="AQ45" s="507"/>
      <c r="AR45" s="507"/>
      <c r="AS45" s="507"/>
      <c r="AT45" s="507"/>
      <c r="AU45" s="1137"/>
      <c r="AV45" s="507"/>
      <c r="AW45" s="507"/>
      <c r="AX45" s="507"/>
      <c r="AY45" s="507"/>
      <c r="AZ45" s="1266"/>
      <c r="BA45" s="507"/>
      <c r="BB45" s="507"/>
      <c r="BC45" s="507"/>
      <c r="BD45" s="507"/>
      <c r="BE45" s="1266"/>
      <c r="BF45" s="507"/>
      <c r="BG45" s="507"/>
      <c r="BH45" s="507"/>
      <c r="BI45" s="507"/>
      <c r="BJ45" s="1266"/>
      <c r="BK45" s="507">
        <f>BK43/BI43-1</f>
        <v>-4.1216879293424991E-2</v>
      </c>
      <c r="BL45" s="507">
        <f>BL43/BK43-1</f>
        <v>0.17502558853633565</v>
      </c>
      <c r="BM45" s="507">
        <f>BM43/BL43-1</f>
        <v>8.362369337979092E-2</v>
      </c>
      <c r="BN45" s="507">
        <f>BN43/BM43-1</f>
        <v>0.17845659163987126</v>
      </c>
      <c r="BO45" s="1267"/>
      <c r="BP45" s="507">
        <f>BP43/BN43-1</f>
        <v>-0.1732946793997272</v>
      </c>
      <c r="BQ45" s="507">
        <f>BQ43/BP43-1</f>
        <v>5.8489624159412612E-2</v>
      </c>
      <c r="BR45" s="507">
        <f>BR43/BQ43-1</f>
        <v>4.4264062489647094E-2</v>
      </c>
      <c r="BS45" s="507">
        <f>BS43/BR43-1</f>
        <v>0.23281223943754714</v>
      </c>
      <c r="BT45" s="1267"/>
      <c r="BU45" s="507">
        <f>BU43/BS43-1</f>
        <v>-5.6917953375719033E-2</v>
      </c>
      <c r="BV45" s="507">
        <f>BV43/BU43-1</f>
        <v>4.8475120385232717E-2</v>
      </c>
      <c r="BW45" s="507">
        <f>BW43/BV43-1</f>
        <v>0.1279853031230862</v>
      </c>
      <c r="BX45" s="507">
        <f>BX43/BW43-1</f>
        <v>-4.3973941368078195E-2</v>
      </c>
      <c r="BY45" s="1267"/>
      <c r="BZ45" s="507">
        <f>BZ43/BX43-1</f>
        <v>7.1266325951164111E-2</v>
      </c>
      <c r="CA45" s="507">
        <f>CA43/BZ43-1</f>
        <v>2.1468327590776548E-2</v>
      </c>
      <c r="CB45" s="507">
        <f>CB43/CA43-1</f>
        <v>4.8261546445251824E-2</v>
      </c>
      <c r="CC45" s="507">
        <f>CC43/CB43-1</f>
        <v>0.15024752475247527</v>
      </c>
      <c r="CD45" s="508"/>
      <c r="CE45" s="507">
        <f>CE43/CC43-1</f>
        <v>2.7114267269205961E-2</v>
      </c>
      <c r="CF45" s="507">
        <f>CF43/CE43-1</f>
        <v>3.7921642572805281E-2</v>
      </c>
      <c r="CG45" s="507">
        <f>CG43/CF43-1</f>
        <v>2.5030278562777619E-2</v>
      </c>
      <c r="CH45" s="507">
        <f>CH43/CG43-1</f>
        <v>8.2906656163844072E-2</v>
      </c>
      <c r="CI45" s="1267"/>
      <c r="CJ45" s="507">
        <f>CJ43/CH43-1</f>
        <v>7.6377523186035301E-3</v>
      </c>
      <c r="CK45" s="1283"/>
      <c r="CL45" s="1283"/>
      <c r="CM45" s="1283"/>
      <c r="CN45" s="1267"/>
      <c r="CO45" s="1283"/>
      <c r="CP45" s="1283"/>
      <c r="CQ45" s="1283"/>
      <c r="CR45" s="1283"/>
      <c r="CS45" s="1267"/>
      <c r="CT45" s="1283"/>
      <c r="CU45" s="1283"/>
      <c r="CV45" s="1283"/>
      <c r="CW45" s="1283"/>
      <c r="CX45" s="1267"/>
      <c r="CY45" s="1283"/>
      <c r="DA45" s="871"/>
      <c r="DB45" s="653"/>
      <c r="DC45" s="653"/>
    </row>
    <row r="46" spans="1:107" ht="11.25" customHeight="1">
      <c r="A46" s="1847"/>
      <c r="B46" s="652"/>
      <c r="C46" s="1280"/>
      <c r="D46" s="653"/>
      <c r="E46" s="653"/>
      <c r="F46" s="1281"/>
      <c r="G46" s="870"/>
      <c r="H46" s="1280"/>
      <c r="I46" s="653"/>
      <c r="J46" s="653"/>
      <c r="K46" s="1281"/>
      <c r="L46" s="1280"/>
      <c r="M46" s="1280"/>
      <c r="N46" s="653"/>
      <c r="O46" s="653"/>
      <c r="P46" s="1281"/>
      <c r="Q46" s="870"/>
      <c r="R46" s="653"/>
      <c r="S46" s="653"/>
      <c r="T46" s="653"/>
      <c r="U46" s="653"/>
      <c r="V46" s="870"/>
      <c r="W46" s="653"/>
      <c r="X46" s="653"/>
      <c r="Y46" s="653"/>
      <c r="Z46" s="653"/>
      <c r="AA46" s="870"/>
      <c r="AB46" s="653"/>
      <c r="AC46" s="653"/>
      <c r="AD46" s="653"/>
      <c r="AE46" s="653"/>
      <c r="AF46" s="870"/>
      <c r="AG46" s="1282"/>
      <c r="AH46" s="1282"/>
      <c r="AI46" s="1282"/>
      <c r="AJ46" s="1282"/>
      <c r="AK46" s="870"/>
      <c r="AL46" s="1282"/>
      <c r="AM46" s="1282"/>
      <c r="AN46" s="1282"/>
      <c r="AO46" s="1282"/>
      <c r="AP46" s="870"/>
      <c r="AQ46" s="507"/>
      <c r="AR46" s="507"/>
      <c r="AS46" s="507"/>
      <c r="AT46" s="507"/>
      <c r="AU46" s="1137"/>
      <c r="AV46" s="507"/>
      <c r="AW46" s="507"/>
      <c r="AX46" s="507"/>
      <c r="AY46" s="507"/>
      <c r="AZ46" s="1266"/>
      <c r="BA46" s="507"/>
      <c r="BB46" s="507"/>
      <c r="BC46" s="507"/>
      <c r="BD46" s="507"/>
      <c r="BE46" s="1266"/>
      <c r="BF46" s="507"/>
      <c r="BG46" s="507"/>
      <c r="BH46" s="1283"/>
      <c r="BI46" s="507"/>
      <c r="BJ46" s="1266"/>
      <c r="BK46" s="507"/>
      <c r="BL46" s="507"/>
      <c r="BM46" s="1283"/>
      <c r="BN46" s="1283"/>
      <c r="BO46" s="1267"/>
      <c r="BP46" s="1283"/>
      <c r="BQ46" s="1283"/>
      <c r="BR46" s="1283"/>
      <c r="BS46" s="1283"/>
      <c r="BT46" s="1267"/>
      <c r="BU46" s="1283"/>
      <c r="BV46" s="1283"/>
      <c r="BW46" s="1283"/>
      <c r="BX46" s="1283"/>
      <c r="BY46" s="1267"/>
      <c r="BZ46" s="1283"/>
      <c r="CA46" s="1283"/>
      <c r="CB46" s="1283"/>
      <c r="CC46" s="507"/>
      <c r="CD46" s="508"/>
      <c r="CE46" s="507"/>
      <c r="CF46" s="507"/>
      <c r="CG46" s="507"/>
      <c r="CH46" s="507"/>
      <c r="CI46" s="1267"/>
      <c r="CJ46" s="1283"/>
      <c r="CK46" s="1283"/>
      <c r="CL46" s="1283"/>
      <c r="CM46" s="1283"/>
      <c r="CN46" s="1267"/>
      <c r="CO46" s="1283"/>
      <c r="CP46" s="1283"/>
      <c r="CQ46" s="1283"/>
      <c r="CR46" s="1283"/>
      <c r="CS46" s="1267"/>
      <c r="CT46" s="1283"/>
      <c r="CU46" s="1283"/>
      <c r="CV46" s="1283"/>
      <c r="CW46" s="1283"/>
      <c r="CX46" s="1267"/>
      <c r="CY46" s="1283"/>
      <c r="DA46" s="871"/>
      <c r="DB46" s="653"/>
      <c r="DC46" s="653"/>
    </row>
    <row r="47" spans="1:107" ht="11.25" hidden="1" customHeight="1" outlineLevel="2">
      <c r="A47" s="1859" t="s">
        <v>446</v>
      </c>
      <c r="B47" s="114"/>
      <c r="C47" s="116"/>
      <c r="D47" s="117"/>
      <c r="E47" s="117"/>
      <c r="F47" s="118"/>
      <c r="G47" s="119"/>
      <c r="H47" s="116"/>
      <c r="I47" s="117"/>
      <c r="J47" s="117"/>
      <c r="K47" s="118"/>
      <c r="L47" s="116"/>
      <c r="M47" s="116"/>
      <c r="N47" s="117"/>
      <c r="O47" s="117"/>
      <c r="P47" s="118"/>
      <c r="Q47" s="119"/>
      <c r="R47" s="117"/>
      <c r="S47" s="117"/>
      <c r="T47" s="117"/>
      <c r="U47" s="117"/>
      <c r="V47" s="119"/>
      <c r="W47" s="117"/>
      <c r="X47" s="117"/>
      <c r="Y47" s="117"/>
      <c r="Z47" s="117"/>
      <c r="AA47" s="119"/>
      <c r="AB47" s="117"/>
      <c r="AC47" s="117"/>
      <c r="AD47" s="117"/>
      <c r="AE47" s="117"/>
      <c r="AF47" s="119"/>
      <c r="AG47" s="121"/>
      <c r="AH47" s="121"/>
      <c r="AI47" s="121"/>
      <c r="AJ47" s="121"/>
      <c r="AK47" s="119"/>
      <c r="AL47" s="121"/>
      <c r="AM47" s="121"/>
      <c r="AN47" s="121"/>
      <c r="AO47" s="121"/>
      <c r="AP47" s="119"/>
      <c r="AQ47" s="1113"/>
      <c r="AR47" s="1113"/>
      <c r="AS47" s="1113"/>
      <c r="AT47" s="1136"/>
      <c r="AU47" s="1137"/>
      <c r="AV47" s="1113"/>
      <c r="AW47" s="1113"/>
      <c r="AX47" s="1113"/>
      <c r="AY47" s="1136"/>
      <c r="AZ47" s="1266"/>
      <c r="BA47" s="1056"/>
      <c r="BB47" s="1265"/>
      <c r="BC47" s="1265"/>
      <c r="BD47" s="1136"/>
      <c r="BE47" s="1137"/>
      <c r="BF47" s="1295"/>
      <c r="BG47" s="1265"/>
      <c r="BH47" s="1056"/>
      <c r="BI47" s="1136"/>
      <c r="BJ47" s="1137"/>
      <c r="BK47" s="1295"/>
      <c r="BL47" s="1265"/>
      <c r="BM47" s="1056"/>
      <c r="BN47" s="1056"/>
      <c r="BO47" s="1343"/>
      <c r="BP47" s="1056"/>
      <c r="BQ47" s="1056"/>
      <c r="BR47" s="1056"/>
      <c r="BS47" s="1056"/>
      <c r="BT47" s="1343"/>
      <c r="BU47" s="1056"/>
      <c r="BV47" s="1056"/>
      <c r="BW47" s="1056"/>
      <c r="BX47" s="1056"/>
      <c r="BY47" s="1343"/>
      <c r="BZ47" s="1056"/>
      <c r="CA47" s="1056"/>
      <c r="CB47" s="1056"/>
      <c r="CC47" s="1295"/>
      <c r="CD47" s="1137"/>
      <c r="CE47" s="1295"/>
      <c r="CF47" s="1295"/>
      <c r="CG47" s="1295"/>
      <c r="CH47" s="1295"/>
      <c r="CI47" s="1268"/>
      <c r="CJ47" s="1056"/>
      <c r="CK47" s="1056"/>
      <c r="CL47" s="1056"/>
      <c r="CM47" s="1056"/>
      <c r="CN47" s="1268"/>
      <c r="CO47" s="1056"/>
      <c r="CP47" s="1056"/>
      <c r="CQ47" s="1056"/>
      <c r="CR47" s="1056"/>
      <c r="CS47" s="1268"/>
      <c r="CT47" s="1056"/>
      <c r="CU47" s="1056"/>
      <c r="CV47" s="1056"/>
      <c r="CW47" s="1056"/>
      <c r="CX47" s="1268"/>
      <c r="CY47" s="1719"/>
      <c r="DA47" s="126"/>
      <c r="DB47" s="117"/>
      <c r="DC47" s="117"/>
    </row>
    <row r="48" spans="1:107" ht="11.25" hidden="1" customHeight="1" outlineLevel="2">
      <c r="A48" s="1846" t="s">
        <v>64</v>
      </c>
      <c r="B48" s="458"/>
      <c r="C48" s="459"/>
      <c r="D48" s="460"/>
      <c r="E48" s="460"/>
      <c r="F48" s="461"/>
      <c r="G48" s="462"/>
      <c r="H48" s="459"/>
      <c r="I48" s="460"/>
      <c r="J48" s="460"/>
      <c r="K48" s="461"/>
      <c r="L48" s="459"/>
      <c r="M48" s="459"/>
      <c r="N48" s="460"/>
      <c r="O48" s="460"/>
      <c r="P48" s="461"/>
      <c r="Q48" s="462"/>
      <c r="R48" s="460"/>
      <c r="S48" s="460"/>
      <c r="T48" s="460"/>
      <c r="U48" s="460"/>
      <c r="V48" s="463"/>
      <c r="W48" s="464"/>
      <c r="X48" s="464"/>
      <c r="Y48" s="464"/>
      <c r="Z48" s="458"/>
      <c r="AA48" s="465"/>
      <c r="AB48" s="464"/>
      <c r="AC48" s="464"/>
      <c r="AD48" s="464"/>
      <c r="AE48" s="464"/>
      <c r="AF48" s="465"/>
      <c r="AG48" s="458"/>
      <c r="AH48" s="458"/>
      <c r="AI48" s="458"/>
      <c r="AJ48" s="458"/>
      <c r="AK48" s="465"/>
      <c r="AL48" s="458"/>
      <c r="AM48" s="458"/>
      <c r="AN48" s="458"/>
      <c r="AO48" s="458"/>
      <c r="AP48" s="465"/>
      <c r="AQ48" s="458">
        <f>AQ120+AQ126</f>
        <v>38.799999999999997</v>
      </c>
      <c r="AR48" s="458">
        <f>AR120+AR126</f>
        <v>32.699999999999996</v>
      </c>
      <c r="AS48" s="458">
        <f>AS120+AS126</f>
        <v>29.799999999999997</v>
      </c>
      <c r="AT48" s="458">
        <f>AT120+AT126</f>
        <v>28.1</v>
      </c>
      <c r="AU48" s="465">
        <f>AU120+AU126</f>
        <v>129.39999999999998</v>
      </c>
      <c r="AV48" s="458">
        <v>25.9</v>
      </c>
      <c r="AW48" s="458">
        <v>41.1</v>
      </c>
      <c r="AX48" s="458">
        <v>31.6</v>
      </c>
      <c r="AY48" s="458">
        <v>36.799999999999997</v>
      </c>
      <c r="AZ48" s="465">
        <f>SUM(AV48:AY48)</f>
        <v>135.39999999999998</v>
      </c>
      <c r="BA48" s="458">
        <v>30.7</v>
      </c>
      <c r="BB48" s="458">
        <v>36.299999999999997</v>
      </c>
      <c r="BC48" s="458">
        <v>26.4</v>
      </c>
      <c r="BD48" s="458">
        <v>35.5</v>
      </c>
      <c r="BE48" s="465">
        <f>SUM(BA48:BD48)</f>
        <v>128.9</v>
      </c>
      <c r="BF48" s="458">
        <v>27</v>
      </c>
      <c r="BG48" s="458">
        <v>43.1</v>
      </c>
      <c r="BH48" s="458">
        <v>30.6</v>
      </c>
      <c r="BI48" s="458">
        <v>33.9</v>
      </c>
      <c r="BJ48" s="465">
        <f>SUM(BF48:BI48)</f>
        <v>134.6</v>
      </c>
      <c r="BK48" s="458">
        <v>53.7</v>
      </c>
      <c r="BL48" s="458">
        <v>34.9</v>
      </c>
      <c r="BM48" s="458">
        <f>41.4</f>
        <v>41.4</v>
      </c>
      <c r="BN48" s="458">
        <v>40.799999999999997</v>
      </c>
      <c r="BO48" s="465">
        <f>SUM(BK48:BN48)</f>
        <v>170.8</v>
      </c>
      <c r="BP48" s="458">
        <v>38.1</v>
      </c>
      <c r="BQ48" s="458">
        <v>36.1</v>
      </c>
      <c r="BR48" s="458">
        <v>38.700000000000003</v>
      </c>
      <c r="BS48" s="458">
        <v>36.1</v>
      </c>
      <c r="BT48" s="465">
        <f>SUM(BP48:BS48)</f>
        <v>149</v>
      </c>
      <c r="BU48" s="458">
        <v>44.3</v>
      </c>
      <c r="BV48" s="458">
        <v>50.7</v>
      </c>
      <c r="BW48" s="458">
        <v>56.5</v>
      </c>
      <c r="BX48" s="458">
        <v>59</v>
      </c>
      <c r="BY48" s="465">
        <f>SUM(BU48:BX48)</f>
        <v>210.5</v>
      </c>
      <c r="BZ48" s="458">
        <v>54.6</v>
      </c>
      <c r="CA48" s="458">
        <v>58.2</v>
      </c>
      <c r="CB48" s="458">
        <v>56.8</v>
      </c>
      <c r="CC48" s="458">
        <v>61.6</v>
      </c>
      <c r="CD48" s="465">
        <f>SUM(BZ48:CC48)</f>
        <v>231.20000000000002</v>
      </c>
      <c r="CE48" s="458">
        <v>55</v>
      </c>
      <c r="CF48" s="458">
        <v>58.4</v>
      </c>
      <c r="CG48" s="458">
        <v>69.5</v>
      </c>
      <c r="CH48" s="1831">
        <v>57.1</v>
      </c>
      <c r="CI48" s="465">
        <f>SUM(CE48:CH48)</f>
        <v>240</v>
      </c>
      <c r="CJ48" s="458">
        <v>55.5</v>
      </c>
      <c r="CK48" s="466">
        <f>CK7*CK49</f>
        <v>74.340488658103794</v>
      </c>
      <c r="CL48" s="466">
        <f>CL7*CL49</f>
        <v>88.425109269015564</v>
      </c>
      <c r="CM48" s="1341">
        <f>CM7*CM49</f>
        <v>69.619319616238059</v>
      </c>
      <c r="CN48" s="465">
        <f>SUM(CJ48:CM48)</f>
        <v>287.8849175433574</v>
      </c>
      <c r="CO48" s="466">
        <f>CO7*CO49</f>
        <v>112.21539667015082</v>
      </c>
      <c r="CP48" s="466">
        <f>CP7*CP49</f>
        <v>89.775610768558394</v>
      </c>
      <c r="CQ48" s="466">
        <f>CQ7*CQ49</f>
        <v>106.77323385716171</v>
      </c>
      <c r="CR48" s="1341">
        <f>CR7*CR49</f>
        <v>83.829552476852271</v>
      </c>
      <c r="CS48" s="465">
        <f>SUM(CO48:CR48)</f>
        <v>392.59379377272319</v>
      </c>
      <c r="CT48" s="466">
        <f>CT7*CT49</f>
        <v>133.918286434084</v>
      </c>
      <c r="CU48" s="466">
        <f>CU7*CU49</f>
        <v>106.21389437994009</v>
      </c>
      <c r="CV48" s="466">
        <f>CV7*CV49</f>
        <v>125.32876312724441</v>
      </c>
      <c r="CW48" s="1341">
        <f>CW7*CW49</f>
        <v>97.687017285342137</v>
      </c>
      <c r="CX48" s="465">
        <f>SUM(CT48:CW48)</f>
        <v>463.14796122661062</v>
      </c>
      <c r="CY48" s="458"/>
      <c r="DA48" s="126"/>
      <c r="DB48" s="460"/>
      <c r="DC48" s="460"/>
    </row>
    <row r="49" spans="1:107" ht="11.25" hidden="1" customHeight="1" outlineLevel="2">
      <c r="A49" s="1847" t="s">
        <v>275</v>
      </c>
      <c r="B49" s="652"/>
      <c r="C49" s="1280"/>
      <c r="D49" s="653"/>
      <c r="E49" s="653"/>
      <c r="F49" s="1281"/>
      <c r="G49" s="870"/>
      <c r="H49" s="1280"/>
      <c r="I49" s="653"/>
      <c r="J49" s="653"/>
      <c r="K49" s="1281"/>
      <c r="L49" s="1280"/>
      <c r="M49" s="1280"/>
      <c r="N49" s="653"/>
      <c r="O49" s="653"/>
      <c r="P49" s="1281"/>
      <c r="Q49" s="870"/>
      <c r="R49" s="653"/>
      <c r="S49" s="653"/>
      <c r="T49" s="653"/>
      <c r="U49" s="653"/>
      <c r="V49" s="870"/>
      <c r="W49" s="653"/>
      <c r="X49" s="653"/>
      <c r="Y49" s="653"/>
      <c r="Z49" s="653"/>
      <c r="AA49" s="870"/>
      <c r="AB49" s="653"/>
      <c r="AC49" s="653"/>
      <c r="AD49" s="653"/>
      <c r="AE49" s="653"/>
      <c r="AF49" s="870"/>
      <c r="AG49" s="1282"/>
      <c r="AH49" s="1282"/>
      <c r="AI49" s="1282"/>
      <c r="AJ49" s="1282"/>
      <c r="AK49" s="870"/>
      <c r="AL49" s="1282"/>
      <c r="AM49" s="1282"/>
      <c r="AN49" s="1282"/>
      <c r="AO49" s="1282"/>
      <c r="AP49" s="870"/>
      <c r="AQ49" s="507">
        <f t="shared" ref="AQ49:BY49" si="109">AQ48/AQ7</f>
        <v>5.9738260200153957E-2</v>
      </c>
      <c r="AR49" s="507">
        <f t="shared" si="109"/>
        <v>5.7137864756246722E-2</v>
      </c>
      <c r="AS49" s="507">
        <f t="shared" si="109"/>
        <v>5.2344985069383454E-2</v>
      </c>
      <c r="AT49" s="507">
        <f t="shared" si="109"/>
        <v>4.7410156909060232E-2</v>
      </c>
      <c r="AU49" s="1266">
        <f t="shared" si="109"/>
        <v>5.4283077439382488E-2</v>
      </c>
      <c r="AV49" s="507">
        <f t="shared" si="109"/>
        <v>4.1052464732921221E-2</v>
      </c>
      <c r="AW49" s="507">
        <f t="shared" si="109"/>
        <v>5.6980451961735762E-2</v>
      </c>
      <c r="AX49" s="507">
        <f t="shared" si="109"/>
        <v>4.2725797728501894E-2</v>
      </c>
      <c r="AY49" s="507">
        <f t="shared" si="109"/>
        <v>4.954227248249865E-2</v>
      </c>
      <c r="AZ49" s="508">
        <f t="shared" si="109"/>
        <v>4.7766880688633315E-2</v>
      </c>
      <c r="BA49" s="507">
        <f t="shared" si="109"/>
        <v>4.0544109878499733E-2</v>
      </c>
      <c r="BB49" s="507">
        <f t="shared" si="109"/>
        <v>4.8451681793913501E-2</v>
      </c>
      <c r="BC49" s="507">
        <f t="shared" si="109"/>
        <v>3.5589107576166082E-2</v>
      </c>
      <c r="BD49" s="507">
        <f t="shared" si="109"/>
        <v>4.3187347931873482E-2</v>
      </c>
      <c r="BE49" s="508">
        <f t="shared" si="109"/>
        <v>4.1984235554686992E-2</v>
      </c>
      <c r="BF49" s="507">
        <f t="shared" si="109"/>
        <v>3.7272225289895086E-2</v>
      </c>
      <c r="BG49" s="507">
        <f t="shared" si="109"/>
        <v>5.2915899324739106E-2</v>
      </c>
      <c r="BH49" s="507">
        <f t="shared" si="109"/>
        <v>4.0131147540983611E-2</v>
      </c>
      <c r="BI49" s="507">
        <f t="shared" si="109"/>
        <v>4.2253521126760563E-2</v>
      </c>
      <c r="BJ49" s="508">
        <f t="shared" si="109"/>
        <v>4.3367593517414697E-2</v>
      </c>
      <c r="BK49" s="507">
        <f t="shared" si="109"/>
        <v>7.8006972690296342E-2</v>
      </c>
      <c r="BL49" s="507">
        <f t="shared" si="109"/>
        <v>5.2089552238805965E-2</v>
      </c>
      <c r="BM49" s="507">
        <f t="shared" si="109"/>
        <v>6.502277367677084E-2</v>
      </c>
      <c r="BN49" s="507">
        <f t="shared" si="109"/>
        <v>6.4679771718452753E-2</v>
      </c>
      <c r="BO49" s="508">
        <f t="shared" si="109"/>
        <v>6.5044365741269664E-2</v>
      </c>
      <c r="BP49" s="507">
        <f t="shared" si="109"/>
        <v>5.9429106223678051E-2</v>
      </c>
      <c r="BQ49" s="507">
        <f t="shared" si="109"/>
        <v>5.21978021978022E-2</v>
      </c>
      <c r="BR49" s="507">
        <f t="shared" si="109"/>
        <v>6.2278725458641784E-2</v>
      </c>
      <c r="BS49" s="507">
        <f t="shared" si="109"/>
        <v>5.5624036979969184E-2</v>
      </c>
      <c r="BT49" s="508">
        <f t="shared" si="109"/>
        <v>5.7239445276785372E-2</v>
      </c>
      <c r="BU49" s="507">
        <f t="shared" si="109"/>
        <v>6.3033579965850878E-2</v>
      </c>
      <c r="BV49" s="507">
        <f t="shared" si="109"/>
        <v>6.7826086956521744E-2</v>
      </c>
      <c r="BW49" s="507">
        <f t="shared" si="109"/>
        <v>7.3405222814083404E-2</v>
      </c>
      <c r="BX49" s="507">
        <f t="shared" si="109"/>
        <v>6.740546098480521E-2</v>
      </c>
      <c r="BY49" s="508">
        <f t="shared" si="109"/>
        <v>6.8006332181048679E-2</v>
      </c>
      <c r="BZ49" s="507">
        <f>BU49</f>
        <v>6.3033579965850878E-2</v>
      </c>
      <c r="CA49" s="507">
        <f>CA48/CA7</f>
        <v>6.1711377372494963E-2</v>
      </c>
      <c r="CB49" s="507">
        <f>BW49</f>
        <v>7.3405222814083404E-2</v>
      </c>
      <c r="CC49" s="507">
        <f>BX49</f>
        <v>6.740546098480521E-2</v>
      </c>
      <c r="CD49" s="508">
        <f>CD48/CD7</f>
        <v>5.8665313372240555E-2</v>
      </c>
      <c r="CE49" s="507">
        <f>BZ49</f>
        <v>6.3033579965850878E-2</v>
      </c>
      <c r="CF49" s="507">
        <f>CF48/CF7</f>
        <v>4.8184818481848184E-2</v>
      </c>
      <c r="CG49" s="507">
        <f>CG48/CG7</f>
        <v>5.4715792788537235E-2</v>
      </c>
      <c r="CH49" s="507">
        <f>CH48/CH7</f>
        <v>4.1070272603035321E-2</v>
      </c>
      <c r="CI49" s="508">
        <f>CI48/CI7</f>
        <v>4.7898455274817384E-2</v>
      </c>
      <c r="CJ49" s="507">
        <f>CE49</f>
        <v>6.3033579965850878E-2</v>
      </c>
      <c r="CK49" s="475">
        <f>CF49</f>
        <v>4.8184818481848184E-2</v>
      </c>
      <c r="CL49" s="475">
        <f>CG49</f>
        <v>5.4715792788537235E-2</v>
      </c>
      <c r="CM49" s="1342">
        <f>CH49</f>
        <v>4.1070272603035321E-2</v>
      </c>
      <c r="CN49" s="508">
        <f>CN48/CN7</f>
        <v>4.5590893835686375E-2</v>
      </c>
      <c r="CO49" s="475">
        <f>CJ49</f>
        <v>6.3033579965850878E-2</v>
      </c>
      <c r="CP49" s="475">
        <f>CK49</f>
        <v>4.8184818481848184E-2</v>
      </c>
      <c r="CQ49" s="475">
        <f>CL49</f>
        <v>5.4715792788537235E-2</v>
      </c>
      <c r="CR49" s="1342">
        <f>CM49</f>
        <v>4.1070272603035321E-2</v>
      </c>
      <c r="CS49" s="508">
        <f>CS48/CS7</f>
        <v>5.1413948765379788E-2</v>
      </c>
      <c r="CT49" s="475">
        <f>CO49</f>
        <v>6.3033579965850878E-2</v>
      </c>
      <c r="CU49" s="475">
        <f>CP49</f>
        <v>4.8184818481848184E-2</v>
      </c>
      <c r="CV49" s="475">
        <f>CQ49</f>
        <v>5.4715792788537235E-2</v>
      </c>
      <c r="CW49" s="1342">
        <f>CR49</f>
        <v>4.1070272603035321E-2</v>
      </c>
      <c r="CX49" s="508">
        <f>CX48/CX7</f>
        <v>5.1472716973340493E-2</v>
      </c>
      <c r="CY49" s="507"/>
      <c r="DA49" s="871"/>
      <c r="DB49" s="653"/>
      <c r="DC49" s="653"/>
    </row>
    <row r="50" spans="1:107" ht="11.25" hidden="1" customHeight="1" outlineLevel="2">
      <c r="A50" s="1859"/>
      <c r="B50" s="114"/>
      <c r="C50" s="116"/>
      <c r="D50" s="117"/>
      <c r="E50" s="117"/>
      <c r="F50" s="118"/>
      <c r="G50" s="119"/>
      <c r="H50" s="116"/>
      <c r="I50" s="117"/>
      <c r="J50" s="117"/>
      <c r="K50" s="118"/>
      <c r="L50" s="116"/>
      <c r="M50" s="116"/>
      <c r="N50" s="117"/>
      <c r="O50" s="117"/>
      <c r="P50" s="118"/>
      <c r="Q50" s="119"/>
      <c r="R50" s="117"/>
      <c r="S50" s="117"/>
      <c r="T50" s="117"/>
      <c r="U50" s="117"/>
      <c r="V50" s="119"/>
      <c r="W50" s="117"/>
      <c r="X50" s="117"/>
      <c r="Y50" s="117"/>
      <c r="Z50" s="117"/>
      <c r="AA50" s="119"/>
      <c r="AB50" s="117"/>
      <c r="AC50" s="117"/>
      <c r="AD50" s="117"/>
      <c r="AE50" s="117"/>
      <c r="AF50" s="119"/>
      <c r="AG50" s="121"/>
      <c r="AH50" s="121"/>
      <c r="AI50" s="121"/>
      <c r="AJ50" s="121"/>
      <c r="AK50" s="119"/>
      <c r="AL50" s="121"/>
      <c r="AM50" s="121"/>
      <c r="AN50" s="121"/>
      <c r="AO50" s="121"/>
      <c r="AP50" s="119"/>
      <c r="AQ50" s="1113"/>
      <c r="AR50" s="1113"/>
      <c r="AS50" s="1113"/>
      <c r="AT50" s="1136"/>
      <c r="AU50" s="1137"/>
      <c r="AV50" s="1113"/>
      <c r="AW50" s="1113"/>
      <c r="AX50" s="1113"/>
      <c r="AY50" s="1136"/>
      <c r="AZ50" s="1137"/>
      <c r="BA50" s="1056"/>
      <c r="BB50" s="1265"/>
      <c r="BC50" s="1265"/>
      <c r="BD50" s="1136"/>
      <c r="BE50" s="1137"/>
      <c r="BF50" s="1295"/>
      <c r="BG50" s="1265"/>
      <c r="BH50" s="1265"/>
      <c r="BI50" s="1136"/>
      <c r="BJ50" s="1137"/>
      <c r="BK50" s="1295"/>
      <c r="BL50" s="1265"/>
      <c r="BM50" s="1265"/>
      <c r="BN50" s="1265"/>
      <c r="BO50" s="1343"/>
      <c r="BP50" s="1265"/>
      <c r="BQ50" s="1265"/>
      <c r="BR50" s="1265"/>
      <c r="BS50" s="1265"/>
      <c r="BT50" s="1343"/>
      <c r="BU50" s="1265"/>
      <c r="BV50" s="1265"/>
      <c r="BW50" s="1265"/>
      <c r="BX50" s="1265"/>
      <c r="BY50" s="1343"/>
      <c r="BZ50" s="1265"/>
      <c r="CA50" s="1265"/>
      <c r="CB50" s="1265"/>
      <c r="CC50" s="1265"/>
      <c r="CD50" s="1137"/>
      <c r="CE50" s="1265"/>
      <c r="CF50" s="1295"/>
      <c r="CG50" s="1295"/>
      <c r="CH50" s="1295"/>
      <c r="CI50" s="1268"/>
      <c r="CJ50" s="1265"/>
      <c r="CK50" s="1056"/>
      <c r="CL50" s="1056"/>
      <c r="CM50" s="1056"/>
      <c r="CN50" s="1268"/>
      <c r="CO50" s="1056"/>
      <c r="CP50" s="1056"/>
      <c r="CQ50" s="1056"/>
      <c r="CR50" s="1056"/>
      <c r="CS50" s="1268"/>
      <c r="CT50" s="1056"/>
      <c r="CU50" s="1056"/>
      <c r="CV50" s="1056"/>
      <c r="CW50" s="1056"/>
      <c r="CX50" s="1268"/>
      <c r="CY50" s="1719"/>
      <c r="DA50" s="126"/>
      <c r="DB50" s="117"/>
      <c r="DC50" s="117"/>
    </row>
    <row r="51" spans="1:107" ht="11.25" hidden="1" customHeight="1" outlineLevel="2">
      <c r="A51" s="1846" t="s">
        <v>495</v>
      </c>
      <c r="B51" s="458"/>
      <c r="C51" s="459"/>
      <c r="D51" s="460"/>
      <c r="E51" s="460"/>
      <c r="F51" s="461"/>
      <c r="G51" s="462"/>
      <c r="H51" s="459"/>
      <c r="I51" s="460"/>
      <c r="J51" s="460"/>
      <c r="K51" s="461"/>
      <c r="L51" s="459"/>
      <c r="M51" s="459"/>
      <c r="N51" s="460"/>
      <c r="O51" s="460"/>
      <c r="P51" s="461"/>
      <c r="Q51" s="462"/>
      <c r="R51" s="460"/>
      <c r="S51" s="460"/>
      <c r="T51" s="460"/>
      <c r="U51" s="460"/>
      <c r="V51" s="463"/>
      <c r="W51" s="464"/>
      <c r="X51" s="464"/>
      <c r="Y51" s="464"/>
      <c r="Z51" s="458"/>
      <c r="AA51" s="465"/>
      <c r="AB51" s="464"/>
      <c r="AC51" s="464"/>
      <c r="AD51" s="464"/>
      <c r="AE51" s="464"/>
      <c r="AF51" s="465"/>
      <c r="AG51" s="458"/>
      <c r="AH51" s="458"/>
      <c r="AI51" s="458"/>
      <c r="AJ51" s="458"/>
      <c r="AK51" s="465"/>
      <c r="AL51" s="458"/>
      <c r="AM51" s="458"/>
      <c r="AN51" s="458"/>
      <c r="AO51" s="458"/>
      <c r="AP51" s="465"/>
      <c r="AQ51" s="458">
        <f>AQ129+AQ132+AQ123</f>
        <v>31.699999999999996</v>
      </c>
      <c r="AR51" s="458">
        <f>AR129+AR132+AR123</f>
        <v>32.6</v>
      </c>
      <c r="AS51" s="458">
        <f>AS129+AS132+AS123</f>
        <v>29.3</v>
      </c>
      <c r="AT51" s="458">
        <f>AT129+AT132+AT123</f>
        <v>48.6</v>
      </c>
      <c r="AU51" s="465">
        <f>AU129+AU132+AU123</f>
        <v>142.19999999999999</v>
      </c>
      <c r="AV51" s="458">
        <v>60.6</v>
      </c>
      <c r="AW51" s="458">
        <v>63.4</v>
      </c>
      <c r="AX51" s="458">
        <v>63.7</v>
      </c>
      <c r="AY51" s="458">
        <v>67.2</v>
      </c>
      <c r="AZ51" s="465">
        <f>SUM(AV51:AY51)</f>
        <v>254.89999999999998</v>
      </c>
      <c r="BA51" s="458">
        <v>74.3</v>
      </c>
      <c r="BB51" s="458">
        <v>72.7</v>
      </c>
      <c r="BC51" s="458">
        <v>76</v>
      </c>
      <c r="BD51" s="458">
        <v>78.599999999999994</v>
      </c>
      <c r="BE51" s="465">
        <f>SUM(BA51:BD51)</f>
        <v>301.60000000000002</v>
      </c>
      <c r="BF51" s="458">
        <v>78.3</v>
      </c>
      <c r="BG51" s="458">
        <v>85.9</v>
      </c>
      <c r="BH51" s="458">
        <v>85.6</v>
      </c>
      <c r="BI51" s="458">
        <v>88.8</v>
      </c>
      <c r="BJ51" s="465">
        <f>SUM(BF51:BI51)</f>
        <v>338.59999999999997</v>
      </c>
      <c r="BK51" s="458">
        <v>98.3</v>
      </c>
      <c r="BL51" s="458">
        <v>97.8</v>
      </c>
      <c r="BM51" s="458">
        <f>103.1</f>
        <v>103.1</v>
      </c>
      <c r="BN51" s="458">
        <v>105.6</v>
      </c>
      <c r="BO51" s="465">
        <f>SUM(BK51:BN51)</f>
        <v>404.79999999999995</v>
      </c>
      <c r="BP51" s="458">
        <v>108</v>
      </c>
      <c r="BQ51" s="458">
        <v>115.9</v>
      </c>
      <c r="BR51" s="458">
        <v>117</v>
      </c>
      <c r="BS51" s="458">
        <v>122.8</v>
      </c>
      <c r="BT51" s="465">
        <f>SUM(BP51:BS51)</f>
        <v>463.7</v>
      </c>
      <c r="BU51" s="458">
        <v>120.4</v>
      </c>
      <c r="BV51" s="458">
        <v>131.9</v>
      </c>
      <c r="BW51" s="458">
        <v>132.4</v>
      </c>
      <c r="BX51" s="458">
        <v>140.6</v>
      </c>
      <c r="BY51" s="465">
        <f>SUM(BU51:BX51)</f>
        <v>525.30000000000007</v>
      </c>
      <c r="BZ51" s="458">
        <v>141.9</v>
      </c>
      <c r="CA51" s="458">
        <v>142</v>
      </c>
      <c r="CB51" s="458">
        <v>144.1</v>
      </c>
      <c r="CC51" s="458">
        <v>153.1</v>
      </c>
      <c r="CD51" s="465">
        <f>SUM(BZ51:CC51)</f>
        <v>581.1</v>
      </c>
      <c r="CE51" s="458">
        <v>180.6</v>
      </c>
      <c r="CF51" s="458">
        <v>179.3</v>
      </c>
      <c r="CG51" s="458">
        <v>191.5</v>
      </c>
      <c r="CH51" s="1831">
        <v>212</v>
      </c>
      <c r="CI51" s="465">
        <f>SUM(CE51:CH51)</f>
        <v>763.4</v>
      </c>
      <c r="CJ51" s="458">
        <v>198.8</v>
      </c>
      <c r="CK51" s="466">
        <f>CK83*CK52</f>
        <v>204.78897921312509</v>
      </c>
      <c r="CL51" s="466">
        <f>CL83*CL52</f>
        <v>218.94860874842948</v>
      </c>
      <c r="CM51" s="1341">
        <f>CM83*CM52</f>
        <v>239.35932168720194</v>
      </c>
      <c r="CN51" s="465">
        <f>SUM(CJ51:CM51)</f>
        <v>861.89690964875649</v>
      </c>
      <c r="CO51" s="466">
        <f>CO83*CO52</f>
        <v>219.08597196213032</v>
      </c>
      <c r="CP51" s="466">
        <f>CP83*CP52</f>
        <v>232.88162932804966</v>
      </c>
      <c r="CQ51" s="466">
        <f>CQ83*CQ52</f>
        <v>250.19447261010228</v>
      </c>
      <c r="CR51" s="1341">
        <f>CR83*CR52</f>
        <v>274.79584635240377</v>
      </c>
      <c r="CS51" s="465">
        <f>SUM(CO51:CR51)</f>
        <v>976.95792025268611</v>
      </c>
      <c r="CT51" s="466">
        <f>CT83*CT52</f>
        <v>251.62818191564648</v>
      </c>
      <c r="CU51" s="466">
        <f>CU83*CU52</f>
        <v>266.34840701872673</v>
      </c>
      <c r="CV51" s="466">
        <f>CV83*CV52</f>
        <v>283.5551605660354</v>
      </c>
      <c r="CW51" s="1341">
        <f>CW83*CW52</f>
        <v>308.77247537726095</v>
      </c>
      <c r="CX51" s="465">
        <f>SUM(CT51:CW51)</f>
        <v>1110.3042248776696</v>
      </c>
      <c r="CY51" s="458"/>
      <c r="DA51" s="126"/>
      <c r="DB51" s="460"/>
      <c r="DC51" s="460"/>
    </row>
    <row r="52" spans="1:107" ht="11.25" hidden="1" customHeight="1" outlineLevel="2">
      <c r="A52" s="1847" t="s">
        <v>275</v>
      </c>
      <c r="B52" s="652"/>
      <c r="C52" s="1280"/>
      <c r="D52" s="653"/>
      <c r="E52" s="653"/>
      <c r="F52" s="1281"/>
      <c r="G52" s="870"/>
      <c r="H52" s="1280"/>
      <c r="I52" s="653"/>
      <c r="J52" s="653"/>
      <c r="K52" s="1281"/>
      <c r="L52" s="1280"/>
      <c r="M52" s="1280"/>
      <c r="N52" s="653"/>
      <c r="O52" s="653"/>
      <c r="P52" s="1281"/>
      <c r="Q52" s="870"/>
      <c r="R52" s="653"/>
      <c r="S52" s="653"/>
      <c r="T52" s="653"/>
      <c r="U52" s="653"/>
      <c r="V52" s="870"/>
      <c r="W52" s="653"/>
      <c r="X52" s="653"/>
      <c r="Y52" s="653"/>
      <c r="Z52" s="653"/>
      <c r="AA52" s="870"/>
      <c r="AB52" s="653"/>
      <c r="AC52" s="653"/>
      <c r="AD52" s="653"/>
      <c r="AE52" s="653"/>
      <c r="AF52" s="870"/>
      <c r="AG52" s="1282"/>
      <c r="AH52" s="1282"/>
      <c r="AI52" s="1282"/>
      <c r="AJ52" s="1282"/>
      <c r="AK52" s="870"/>
      <c r="AL52" s="1282"/>
      <c r="AM52" s="1282"/>
      <c r="AN52" s="1282"/>
      <c r="AO52" s="1282"/>
      <c r="AP52" s="870"/>
      <c r="AQ52" s="507">
        <f t="shared" ref="AQ52:BY52" si="110">AQ51/AQ83</f>
        <v>0.37964071856287418</v>
      </c>
      <c r="AR52" s="507">
        <f t="shared" si="110"/>
        <v>0.41423125794155025</v>
      </c>
      <c r="AS52" s="507">
        <f t="shared" si="110"/>
        <v>0.37135614702154623</v>
      </c>
      <c r="AT52" s="507">
        <f t="shared" si="110"/>
        <v>0.42894969108561337</v>
      </c>
      <c r="AU52" s="1266">
        <f t="shared" si="110"/>
        <v>0.40124153498871329</v>
      </c>
      <c r="AV52" s="507">
        <f t="shared" si="110"/>
        <v>0.35008665511265169</v>
      </c>
      <c r="AW52" s="507">
        <f t="shared" si="110"/>
        <v>0.38400969109630528</v>
      </c>
      <c r="AX52" s="507">
        <f t="shared" si="110"/>
        <v>0.33368255631220534</v>
      </c>
      <c r="AY52" s="507">
        <f t="shared" si="110"/>
        <v>0.31969552806850621</v>
      </c>
      <c r="AZ52" s="508">
        <f t="shared" si="110"/>
        <v>0.34478560800757474</v>
      </c>
      <c r="BA52" s="507">
        <f t="shared" si="110"/>
        <v>0.34271217712177121</v>
      </c>
      <c r="BB52" s="507">
        <f t="shared" si="110"/>
        <v>0.33045454545454545</v>
      </c>
      <c r="BC52" s="507">
        <f t="shared" si="110"/>
        <v>0.35217794253938828</v>
      </c>
      <c r="BD52" s="507">
        <f t="shared" si="110"/>
        <v>0.28571428571428564</v>
      </c>
      <c r="BE52" s="508">
        <f t="shared" si="110"/>
        <v>0.32510509863102299</v>
      </c>
      <c r="BF52" s="507">
        <f t="shared" si="110"/>
        <v>0.2945823927765237</v>
      </c>
      <c r="BG52" s="507">
        <f t="shared" si="110"/>
        <v>0.33450155763239875</v>
      </c>
      <c r="BH52" s="507">
        <f t="shared" si="110"/>
        <v>0.32461130072051575</v>
      </c>
      <c r="BI52" s="507">
        <f t="shared" si="110"/>
        <v>0.2971887550200803</v>
      </c>
      <c r="BJ52" s="508">
        <f t="shared" si="110"/>
        <v>0.31204497281356558</v>
      </c>
      <c r="BK52" s="507">
        <f t="shared" si="110"/>
        <v>0.36720209189391112</v>
      </c>
      <c r="BL52" s="507">
        <f t="shared" si="110"/>
        <v>0.34267694463910303</v>
      </c>
      <c r="BM52" s="507">
        <f t="shared" si="110"/>
        <v>0.3307667629130574</v>
      </c>
      <c r="BN52" s="507">
        <f t="shared" si="110"/>
        <v>0.29003021148036251</v>
      </c>
      <c r="BO52" s="508">
        <f t="shared" si="110"/>
        <v>0.32940027667019278</v>
      </c>
      <c r="BP52" s="507">
        <f t="shared" si="110"/>
        <v>0.34351145038167941</v>
      </c>
      <c r="BQ52" s="507">
        <f t="shared" si="110"/>
        <v>0.35089312745988493</v>
      </c>
      <c r="BR52" s="507">
        <f t="shared" si="110"/>
        <v>0.34759358288770054</v>
      </c>
      <c r="BS52" s="507">
        <f t="shared" si="110"/>
        <v>0.32843006151377374</v>
      </c>
      <c r="BT52" s="508">
        <f t="shared" si="110"/>
        <v>0.3421635182998819</v>
      </c>
      <c r="BU52" s="507">
        <f t="shared" si="110"/>
        <v>0.33706606942889139</v>
      </c>
      <c r="BV52" s="507">
        <f t="shared" si="110"/>
        <v>0.35989085948158256</v>
      </c>
      <c r="BW52" s="507">
        <f t="shared" si="110"/>
        <v>0.32894409937888203</v>
      </c>
      <c r="BX52" s="507">
        <f t="shared" si="110"/>
        <v>0.36738960020904105</v>
      </c>
      <c r="BY52" s="508">
        <f t="shared" si="110"/>
        <v>0.3481344025449003</v>
      </c>
      <c r="BZ52" s="507">
        <f>BU52</f>
        <v>0.33706606942889139</v>
      </c>
      <c r="CA52" s="507">
        <f>CA51/CA83</f>
        <v>0.34449296458030082</v>
      </c>
      <c r="CB52" s="507">
        <f>BW52</f>
        <v>0.32894409937888203</v>
      </c>
      <c r="CC52" s="507">
        <f>BX52</f>
        <v>0.36738960020904105</v>
      </c>
      <c r="CD52" s="508">
        <f>CD51/CD83</f>
        <v>0.33463864094442847</v>
      </c>
      <c r="CE52" s="507">
        <f>BZ52</f>
        <v>0.33706606942889139</v>
      </c>
      <c r="CF52" s="507">
        <f>CF51/CF83</f>
        <v>0.34700987033094638</v>
      </c>
      <c r="CG52" s="507">
        <f>CG51/CG83</f>
        <v>0.36166194523135031</v>
      </c>
      <c r="CH52" s="507">
        <f>CH51/CH83</f>
        <v>0.37017635760433032</v>
      </c>
      <c r="CI52" s="508">
        <f>CI51/CI83</f>
        <v>0.36009433962264148</v>
      </c>
      <c r="CJ52" s="507">
        <f>CE52</f>
        <v>0.33706606942889139</v>
      </c>
      <c r="CK52" s="475">
        <f>CF52</f>
        <v>0.34700987033094638</v>
      </c>
      <c r="CL52" s="475">
        <f>CG52</f>
        <v>0.36166194523135031</v>
      </c>
      <c r="CM52" s="1342">
        <f>CH52</f>
        <v>0.37017635760433032</v>
      </c>
      <c r="CN52" s="508">
        <f>CN51/CN83</f>
        <v>0.35663059283853266</v>
      </c>
      <c r="CO52" s="475">
        <f>CJ52</f>
        <v>0.33706606942889139</v>
      </c>
      <c r="CP52" s="475">
        <f>CK52</f>
        <v>0.34700987033094638</v>
      </c>
      <c r="CQ52" s="475">
        <f>CL52</f>
        <v>0.36166194523135031</v>
      </c>
      <c r="CR52" s="1342">
        <f>CM52</f>
        <v>0.37017635760433032</v>
      </c>
      <c r="CS52" s="508">
        <f>CS51/CS83</f>
        <v>0.35458468586896641</v>
      </c>
      <c r="CT52" s="475">
        <f>CO52</f>
        <v>0.33706606942889139</v>
      </c>
      <c r="CU52" s="475">
        <f>CP52</f>
        <v>0.34700987033094638</v>
      </c>
      <c r="CV52" s="475">
        <f>CQ52</f>
        <v>0.36166194523135031</v>
      </c>
      <c r="CW52" s="1342">
        <f>CR52</f>
        <v>0.37017635760433032</v>
      </c>
      <c r="CX52" s="508">
        <f>CX51/CX83</f>
        <v>0.35447678312083264</v>
      </c>
      <c r="CY52" s="507"/>
      <c r="DA52" s="871"/>
      <c r="DB52" s="653"/>
      <c r="DC52" s="653"/>
    </row>
    <row r="53" spans="1:107" ht="11.25" hidden="1" customHeight="1" outlineLevel="2">
      <c r="A53" s="1859"/>
      <c r="B53" s="114"/>
      <c r="C53" s="116"/>
      <c r="D53" s="117"/>
      <c r="E53" s="117"/>
      <c r="F53" s="118"/>
      <c r="G53" s="119"/>
      <c r="H53" s="116"/>
      <c r="I53" s="117"/>
      <c r="J53" s="117"/>
      <c r="K53" s="118"/>
      <c r="L53" s="116"/>
      <c r="M53" s="116"/>
      <c r="N53" s="117"/>
      <c r="O53" s="117"/>
      <c r="P53" s="118"/>
      <c r="Q53" s="119"/>
      <c r="R53" s="117"/>
      <c r="S53" s="117"/>
      <c r="T53" s="117"/>
      <c r="U53" s="117"/>
      <c r="V53" s="119"/>
      <c r="W53" s="117"/>
      <c r="X53" s="117"/>
      <c r="Y53" s="117"/>
      <c r="Z53" s="117"/>
      <c r="AA53" s="119"/>
      <c r="AB53" s="117"/>
      <c r="AC53" s="117"/>
      <c r="AD53" s="117"/>
      <c r="AE53" s="117"/>
      <c r="AF53" s="119"/>
      <c r="AG53" s="121"/>
      <c r="AH53" s="121"/>
      <c r="AI53" s="121"/>
      <c r="AJ53" s="121"/>
      <c r="AK53" s="119"/>
      <c r="AL53" s="121"/>
      <c r="AM53" s="121"/>
      <c r="AN53" s="121"/>
      <c r="AO53" s="121"/>
      <c r="AP53" s="119"/>
      <c r="AQ53" s="1113"/>
      <c r="AR53" s="1113"/>
      <c r="AS53" s="1113"/>
      <c r="AT53" s="1136"/>
      <c r="AU53" s="1137"/>
      <c r="AV53" s="1113"/>
      <c r="AW53" s="1113"/>
      <c r="AX53" s="1113"/>
      <c r="AY53" s="1136"/>
      <c r="AZ53" s="1137"/>
      <c r="BA53" s="1056"/>
      <c r="BB53" s="1265"/>
      <c r="BC53" s="1265"/>
      <c r="BD53" s="1136"/>
      <c r="BE53" s="1137"/>
      <c r="BF53" s="1295"/>
      <c r="BG53" s="1265"/>
      <c r="BH53" s="1265"/>
      <c r="BI53" s="1136"/>
      <c r="BJ53" s="1137"/>
      <c r="BK53" s="1295"/>
      <c r="BL53" s="1265"/>
      <c r="BM53" s="1265"/>
      <c r="BN53" s="1265"/>
      <c r="BO53" s="1343"/>
      <c r="BP53" s="1265"/>
      <c r="BQ53" s="1265"/>
      <c r="BR53" s="1265"/>
      <c r="BS53" s="1265"/>
      <c r="BT53" s="1343"/>
      <c r="BU53" s="1265"/>
      <c r="BV53" s="1265"/>
      <c r="BW53" s="1265"/>
      <c r="BX53" s="1265"/>
      <c r="BY53" s="1343"/>
      <c r="BZ53" s="1265"/>
      <c r="CA53" s="1265"/>
      <c r="CB53" s="1265"/>
      <c r="CC53" s="1265"/>
      <c r="CD53" s="1137"/>
      <c r="CE53" s="1265"/>
      <c r="CF53" s="1295"/>
      <c r="CG53" s="1295"/>
      <c r="CH53" s="1295"/>
      <c r="CI53" s="1268"/>
      <c r="CJ53" s="1265"/>
      <c r="CK53" s="1056"/>
      <c r="CL53" s="1056"/>
      <c r="CM53" s="1056"/>
      <c r="CN53" s="1268"/>
      <c r="CO53" s="1056"/>
      <c r="CP53" s="1056"/>
      <c r="CQ53" s="1056"/>
      <c r="CR53" s="1056"/>
      <c r="CS53" s="1268"/>
      <c r="CT53" s="1056"/>
      <c r="CU53" s="1056"/>
      <c r="CV53" s="1056"/>
      <c r="CW53" s="1056"/>
      <c r="CX53" s="1268"/>
      <c r="CY53" s="1719"/>
      <c r="DA53" s="126"/>
      <c r="DB53" s="117"/>
      <c r="DC53" s="117"/>
    </row>
    <row r="54" spans="1:107" ht="11.25" hidden="1" customHeight="1" outlineLevel="2">
      <c r="A54" s="1846" t="s">
        <v>66</v>
      </c>
      <c r="B54" s="458"/>
      <c r="C54" s="459"/>
      <c r="D54" s="460"/>
      <c r="E54" s="460"/>
      <c r="F54" s="461"/>
      <c r="G54" s="462"/>
      <c r="H54" s="459"/>
      <c r="I54" s="460"/>
      <c r="J54" s="460"/>
      <c r="K54" s="461"/>
      <c r="L54" s="459"/>
      <c r="M54" s="459"/>
      <c r="N54" s="460"/>
      <c r="O54" s="460"/>
      <c r="P54" s="461"/>
      <c r="Q54" s="462"/>
      <c r="R54" s="460"/>
      <c r="S54" s="460"/>
      <c r="T54" s="460"/>
      <c r="U54" s="460"/>
      <c r="V54" s="463"/>
      <c r="W54" s="464"/>
      <c r="X54" s="464"/>
      <c r="Y54" s="464"/>
      <c r="Z54" s="458"/>
      <c r="AA54" s="465"/>
      <c r="AB54" s="464"/>
      <c r="AC54" s="464"/>
      <c r="AD54" s="464"/>
      <c r="AE54" s="464"/>
      <c r="AF54" s="465"/>
      <c r="AG54" s="458"/>
      <c r="AH54" s="458"/>
      <c r="AI54" s="458"/>
      <c r="AJ54" s="458"/>
      <c r="AK54" s="465"/>
      <c r="AL54" s="458"/>
      <c r="AM54" s="458"/>
      <c r="AN54" s="458"/>
      <c r="AO54" s="458"/>
      <c r="AP54" s="465"/>
      <c r="AQ54" s="458">
        <f>AQ135</f>
        <v>6.9</v>
      </c>
      <c r="AR54" s="458">
        <f>AR135</f>
        <v>6.7</v>
      </c>
      <c r="AS54" s="458">
        <f>AS135</f>
        <v>5.9</v>
      </c>
      <c r="AT54" s="458">
        <f>AT135</f>
        <v>5.6</v>
      </c>
      <c r="AU54" s="465">
        <f>SUM(AQ54:AT54)</f>
        <v>25.1</v>
      </c>
      <c r="AV54" s="458">
        <v>2.9</v>
      </c>
      <c r="AW54" s="458">
        <v>3.3</v>
      </c>
      <c r="AX54" s="458">
        <v>3.8</v>
      </c>
      <c r="AY54" s="458">
        <v>3.2</v>
      </c>
      <c r="AZ54" s="465">
        <f>SUM(AV54:AY54)</f>
        <v>13.2</v>
      </c>
      <c r="BA54" s="458">
        <v>2.6</v>
      </c>
      <c r="BB54" s="458">
        <v>0.2</v>
      </c>
      <c r="BC54" s="458">
        <v>2.2999999999999998</v>
      </c>
      <c r="BD54" s="458">
        <v>2.2999999999999998</v>
      </c>
      <c r="BE54" s="465">
        <f>SUM(BA54:BD54)</f>
        <v>7.3999999999999995</v>
      </c>
      <c r="BF54" s="458">
        <v>3</v>
      </c>
      <c r="BG54" s="458">
        <v>1.9</v>
      </c>
      <c r="BH54" s="458">
        <v>3.4</v>
      </c>
      <c r="BI54" s="458">
        <v>2.2999999999999998</v>
      </c>
      <c r="BJ54" s="465">
        <f>SUM(BF54:BI54)</f>
        <v>10.600000000000001</v>
      </c>
      <c r="BK54" s="458">
        <v>4.7</v>
      </c>
      <c r="BL54" s="458">
        <v>2.6</v>
      </c>
      <c r="BM54" s="458">
        <v>2.9</v>
      </c>
      <c r="BN54" s="458">
        <v>1.1000000000000001</v>
      </c>
      <c r="BO54" s="465">
        <v>11</v>
      </c>
      <c r="BP54" s="458">
        <v>2.4</v>
      </c>
      <c r="BQ54" s="458">
        <v>2.9</v>
      </c>
      <c r="BR54" s="458">
        <v>2</v>
      </c>
      <c r="BS54" s="458">
        <v>2</v>
      </c>
      <c r="BT54" s="465">
        <v>9.3000000000000007</v>
      </c>
      <c r="BU54" s="458">
        <v>2.1</v>
      </c>
      <c r="BV54" s="458">
        <v>2.6</v>
      </c>
      <c r="BW54" s="458">
        <v>2.1</v>
      </c>
      <c r="BX54" s="458">
        <v>1.8</v>
      </c>
      <c r="BY54" s="465">
        <f>SUM(BU54:BX54)</f>
        <v>8.6000000000000014</v>
      </c>
      <c r="BZ54" s="458">
        <v>2.1</v>
      </c>
      <c r="CA54" s="458">
        <v>1.9</v>
      </c>
      <c r="CB54" s="458">
        <v>1.8</v>
      </c>
      <c r="CC54" s="458">
        <v>1.9</v>
      </c>
      <c r="CD54" s="465">
        <f>SUM(BZ54:CC54)</f>
        <v>7.6999999999999993</v>
      </c>
      <c r="CE54" s="458">
        <v>1.7</v>
      </c>
      <c r="CF54" s="458">
        <v>1.7</v>
      </c>
      <c r="CG54" s="458">
        <v>1.9</v>
      </c>
      <c r="CH54" s="1831">
        <v>1.8</v>
      </c>
      <c r="CI54" s="465">
        <f>SUM(CE54:CH54)</f>
        <v>7.1</v>
      </c>
      <c r="CJ54" s="458">
        <v>4.5999999999999996</v>
      </c>
      <c r="CK54" s="466">
        <f>CK24*CK55</f>
        <v>1.6425048275862066</v>
      </c>
      <c r="CL54" s="466">
        <f>CL24*CL55</f>
        <v>1.8357406896551725</v>
      </c>
      <c r="CM54" s="1341">
        <f>CM24*CM55</f>
        <v>1.5716476027446573</v>
      </c>
      <c r="CN54" s="465">
        <f>SUM(CJ54:CM54)</f>
        <v>9.6498931199860358</v>
      </c>
      <c r="CO54" s="466">
        <f>CO24*CO55</f>
        <v>1.6315959496515164</v>
      </c>
      <c r="CP54" s="466">
        <f>CP24*CP55</f>
        <v>1.4341326526513272</v>
      </c>
      <c r="CQ54" s="466">
        <f>CQ24*CQ55</f>
        <v>1.6028541411985424</v>
      </c>
      <c r="CR54" s="1341">
        <f>CR24*CR55</f>
        <v>1.3722645484516829</v>
      </c>
      <c r="CS54" s="465">
        <f>SUM(CO54:CR54)</f>
        <v>6.0408472919530682</v>
      </c>
      <c r="CT54" s="466">
        <f>CT24*CT55</f>
        <v>1.424607701620944</v>
      </c>
      <c r="CU54" s="466">
        <f>CU24*CU55</f>
        <v>1.2521950808651641</v>
      </c>
      <c r="CV54" s="466">
        <f>CV24*CV55</f>
        <v>1.3995121492022424</v>
      </c>
      <c r="CW54" s="1341">
        <f>CW24*CW55</f>
        <v>1.198175715503093</v>
      </c>
      <c r="CX54" s="465">
        <f>SUM(CT54:CW54)</f>
        <v>5.2744906471914437</v>
      </c>
      <c r="CY54" s="458"/>
      <c r="DA54" s="126"/>
      <c r="DB54" s="460"/>
      <c r="DC54" s="460"/>
    </row>
    <row r="55" spans="1:107" ht="11.25" hidden="1" customHeight="1" outlineLevel="2">
      <c r="A55" s="1847" t="s">
        <v>275</v>
      </c>
      <c r="B55" s="652"/>
      <c r="C55" s="1280"/>
      <c r="D55" s="653"/>
      <c r="E55" s="653"/>
      <c r="F55" s="1281"/>
      <c r="G55" s="870"/>
      <c r="H55" s="1280"/>
      <c r="I55" s="653"/>
      <c r="J55" s="653"/>
      <c r="K55" s="1281"/>
      <c r="L55" s="1280"/>
      <c r="M55" s="1280"/>
      <c r="N55" s="653"/>
      <c r="O55" s="653"/>
      <c r="P55" s="1281"/>
      <c r="Q55" s="870"/>
      <c r="R55" s="653"/>
      <c r="S55" s="653"/>
      <c r="T55" s="653"/>
      <c r="U55" s="653"/>
      <c r="V55" s="870"/>
      <c r="W55" s="653"/>
      <c r="X55" s="653"/>
      <c r="Y55" s="653"/>
      <c r="Z55" s="653"/>
      <c r="AA55" s="870"/>
      <c r="AB55" s="653"/>
      <c r="AC55" s="653"/>
      <c r="AD55" s="653"/>
      <c r="AE55" s="653"/>
      <c r="AF55" s="870"/>
      <c r="AG55" s="1282"/>
      <c r="AH55" s="1282"/>
      <c r="AI55" s="1282"/>
      <c r="AJ55" s="1282"/>
      <c r="AK55" s="870"/>
      <c r="AL55" s="1282"/>
      <c r="AM55" s="1282"/>
      <c r="AN55" s="1282"/>
      <c r="AO55" s="1282"/>
      <c r="AP55" s="870"/>
      <c r="AQ55" s="507">
        <f t="shared" ref="AQ55:BY55" si="111">AQ54/AQ24</f>
        <v>0.12921348314606743</v>
      </c>
      <c r="AR55" s="507">
        <f t="shared" si="111"/>
        <v>0.12476722532588454</v>
      </c>
      <c r="AS55" s="507">
        <f t="shared" si="111"/>
        <v>0.11967545638945234</v>
      </c>
      <c r="AT55" s="507">
        <f t="shared" si="111"/>
        <v>0.10916179337231968</v>
      </c>
      <c r="AU55" s="1266">
        <f t="shared" si="111"/>
        <v>0.12084737602311027</v>
      </c>
      <c r="AV55" s="507">
        <f t="shared" si="111"/>
        <v>5.3016453382084092E-2</v>
      </c>
      <c r="AW55" s="507">
        <f t="shared" si="111"/>
        <v>5.8303886925795051E-2</v>
      </c>
      <c r="AX55" s="507">
        <f t="shared" si="111"/>
        <v>6.354515050167224E-2</v>
      </c>
      <c r="AY55" s="507">
        <f t="shared" si="111"/>
        <v>5.8181818181818182E-2</v>
      </c>
      <c r="AZ55" s="508">
        <f t="shared" si="111"/>
        <v>5.8381247235736393E-2</v>
      </c>
      <c r="BA55" s="507">
        <f t="shared" si="111"/>
        <v>4.8417132216014895E-2</v>
      </c>
      <c r="BB55" s="507">
        <f t="shared" si="111"/>
        <v>3.7037037037037038E-3</v>
      </c>
      <c r="BC55" s="507">
        <f t="shared" si="111"/>
        <v>4.1366906474820136E-2</v>
      </c>
      <c r="BD55" s="507">
        <f t="shared" si="111"/>
        <v>4.1742286751361157E-2</v>
      </c>
      <c r="BE55" s="508">
        <f t="shared" si="111"/>
        <v>3.388278388278388E-2</v>
      </c>
      <c r="BF55" s="507">
        <f t="shared" si="111"/>
        <v>5.4545454545454543E-2</v>
      </c>
      <c r="BG55" s="507">
        <f t="shared" si="111"/>
        <v>3.4482758620689655E-2</v>
      </c>
      <c r="BH55" s="507">
        <f t="shared" si="111"/>
        <v>6.2846580406654334E-2</v>
      </c>
      <c r="BI55" s="507">
        <f t="shared" si="111"/>
        <v>4.3977055449330782E-2</v>
      </c>
      <c r="BJ55" s="508">
        <f t="shared" si="111"/>
        <v>4.8960739030023098E-2</v>
      </c>
      <c r="BK55" s="507">
        <f t="shared" si="111"/>
        <v>9.0733590733590747E-2</v>
      </c>
      <c r="BL55" s="507">
        <f t="shared" si="111"/>
        <v>4.7186932849364795E-2</v>
      </c>
      <c r="BM55" s="507">
        <f t="shared" si="111"/>
        <v>6.2098501070663809E-2</v>
      </c>
      <c r="BN55" s="507">
        <f t="shared" si="111"/>
        <v>2.3504273504273508E-2</v>
      </c>
      <c r="BO55" s="508">
        <f t="shared" si="111"/>
        <v>5.4890219560878237E-2</v>
      </c>
      <c r="BP55" s="507">
        <f t="shared" si="111"/>
        <v>5.3811659192825108E-2</v>
      </c>
      <c r="BQ55" s="507">
        <f t="shared" si="111"/>
        <v>6.2634989200863939E-2</v>
      </c>
      <c r="BR55" s="507">
        <f t="shared" si="111"/>
        <v>4.2194092827004218E-2</v>
      </c>
      <c r="BS55" s="507">
        <f t="shared" si="111"/>
        <v>3.968253968253968E-2</v>
      </c>
      <c r="BT55" s="508">
        <f t="shared" si="111"/>
        <v>4.9284578696343402E-2</v>
      </c>
      <c r="BU55" s="507">
        <f t="shared" si="111"/>
        <v>4.2682926829268289E-2</v>
      </c>
      <c r="BV55" s="507">
        <f t="shared" si="111"/>
        <v>5.3941908713692942E-2</v>
      </c>
      <c r="BW55" s="507">
        <f t="shared" si="111"/>
        <v>4.6052631578947366E-2</v>
      </c>
      <c r="BX55" s="507">
        <f t="shared" si="111"/>
        <v>3.71900826446281E-2</v>
      </c>
      <c r="BY55" s="508">
        <f t="shared" si="111"/>
        <v>4.4932079414838039E-2</v>
      </c>
      <c r="BZ55" s="507">
        <f>BU55</f>
        <v>4.2682926829268289E-2</v>
      </c>
      <c r="CA55" s="507">
        <f>CA54/CA24</f>
        <v>4.377880184331797E-2</v>
      </c>
      <c r="CB55" s="507">
        <f>BW55</f>
        <v>4.6052631578947366E-2</v>
      </c>
      <c r="CC55" s="507">
        <f>BX55</f>
        <v>3.71900826446281E-2</v>
      </c>
      <c r="CD55" s="508">
        <f>CD54/CD24</f>
        <v>4.3527416619559077E-2</v>
      </c>
      <c r="CE55" s="507">
        <f>BZ55</f>
        <v>4.2682926829268289E-2</v>
      </c>
      <c r="CF55" s="507">
        <f>CF54/CF24</f>
        <v>3.9080459770114942E-2</v>
      </c>
      <c r="CG55" s="507">
        <f>CG54/CG24</f>
        <v>4.5893719806763288E-2</v>
      </c>
      <c r="CH55" s="507">
        <f>CH54/CH24</f>
        <v>4.1284403669724773E-2</v>
      </c>
      <c r="CI55" s="508">
        <f>CI54/CI24</f>
        <v>4.1544763019309532E-2</v>
      </c>
      <c r="CJ55" s="507">
        <f t="shared" ref="CJ55:CM55" si="112">CE55</f>
        <v>4.2682926829268289E-2</v>
      </c>
      <c r="CK55" s="475">
        <f t="shared" si="112"/>
        <v>3.9080459770114942E-2</v>
      </c>
      <c r="CL55" s="475">
        <f t="shared" si="112"/>
        <v>4.5893719806763288E-2</v>
      </c>
      <c r="CM55" s="1342">
        <f t="shared" si="112"/>
        <v>4.1284403669724773E-2</v>
      </c>
      <c r="CN55" s="508">
        <f>CN54/CN24</f>
        <v>5.8884824186347003E-2</v>
      </c>
      <c r="CO55" s="475">
        <f>CJ55</f>
        <v>4.2682926829268289E-2</v>
      </c>
      <c r="CP55" s="475">
        <f>CK55</f>
        <v>3.9080459770114942E-2</v>
      </c>
      <c r="CQ55" s="475">
        <f>CL55</f>
        <v>4.5893719806763288E-2</v>
      </c>
      <c r="CR55" s="1342">
        <f>CM55</f>
        <v>4.1284403669724773E-2</v>
      </c>
      <c r="CS55" s="508">
        <f>CS54/CS24</f>
        <v>4.2217845612983987E-2</v>
      </c>
      <c r="CT55" s="475">
        <f>CO55</f>
        <v>4.2682926829268289E-2</v>
      </c>
      <c r="CU55" s="475">
        <f>CP55</f>
        <v>3.9080459770114942E-2</v>
      </c>
      <c r="CV55" s="475">
        <f>CQ55</f>
        <v>4.5893719806763288E-2</v>
      </c>
      <c r="CW55" s="1342">
        <f>CR55</f>
        <v>4.1284403669724773E-2</v>
      </c>
      <c r="CX55" s="508">
        <f>CX54/CX24</f>
        <v>4.2217845612983987E-2</v>
      </c>
      <c r="CY55" s="507"/>
      <c r="DA55" s="871"/>
      <c r="DB55" s="653"/>
      <c r="DC55" s="653"/>
    </row>
    <row r="56" spans="1:107" ht="11.25" hidden="1" customHeight="1" outlineLevel="2">
      <c r="A56" s="1859"/>
      <c r="B56" s="114"/>
      <c r="C56" s="116"/>
      <c r="D56" s="117"/>
      <c r="E56" s="117"/>
      <c r="F56" s="118"/>
      <c r="G56" s="119"/>
      <c r="H56" s="116"/>
      <c r="I56" s="117"/>
      <c r="J56" s="117"/>
      <c r="K56" s="118"/>
      <c r="L56" s="116"/>
      <c r="M56" s="116"/>
      <c r="N56" s="117"/>
      <c r="O56" s="117"/>
      <c r="P56" s="118"/>
      <c r="Q56" s="119"/>
      <c r="R56" s="117"/>
      <c r="S56" s="117"/>
      <c r="T56" s="117"/>
      <c r="U56" s="117"/>
      <c r="V56" s="119"/>
      <c r="W56" s="117"/>
      <c r="X56" s="117"/>
      <c r="Y56" s="117"/>
      <c r="Z56" s="117"/>
      <c r="AA56" s="119"/>
      <c r="AB56" s="117"/>
      <c r="AC56" s="117"/>
      <c r="AD56" s="117"/>
      <c r="AE56" s="117"/>
      <c r="AF56" s="119"/>
      <c r="AG56" s="121"/>
      <c r="AH56" s="121"/>
      <c r="AI56" s="121"/>
      <c r="AJ56" s="121"/>
      <c r="AK56" s="119"/>
      <c r="AL56" s="121"/>
      <c r="AM56" s="121"/>
      <c r="AN56" s="121"/>
      <c r="AO56" s="121"/>
      <c r="AP56" s="119"/>
      <c r="AQ56" s="1113"/>
      <c r="AR56" s="1113"/>
      <c r="AS56" s="1113"/>
      <c r="AT56" s="1136"/>
      <c r="AU56" s="1137"/>
      <c r="AV56" s="1113"/>
      <c r="AW56" s="1113"/>
      <c r="AX56" s="1113"/>
      <c r="AY56" s="1136"/>
      <c r="AZ56" s="1137"/>
      <c r="BA56" s="1056"/>
      <c r="BB56" s="1265"/>
      <c r="BC56" s="1265"/>
      <c r="BD56" s="1136"/>
      <c r="BE56" s="1137"/>
      <c r="BF56" s="1295"/>
      <c r="BG56" s="1265"/>
      <c r="BH56" s="1265"/>
      <c r="BI56" s="1136"/>
      <c r="BJ56" s="1137"/>
      <c r="BK56" s="1295"/>
      <c r="BL56" s="1265"/>
      <c r="BM56" s="1265"/>
      <c r="BN56" s="1265"/>
      <c r="BO56" s="1344"/>
      <c r="BP56" s="1056"/>
      <c r="BQ56" s="1056"/>
      <c r="BR56" s="1056"/>
      <c r="BS56" s="1056"/>
      <c r="BT56" s="1344"/>
      <c r="BU56" s="1056"/>
      <c r="BV56" s="1056"/>
      <c r="BW56" s="1056"/>
      <c r="BX56" s="1056"/>
      <c r="BY56" s="1344"/>
      <c r="BZ56" s="1056"/>
      <c r="CA56" s="1056"/>
      <c r="CB56" s="1056"/>
      <c r="CC56" s="1295"/>
      <c r="CD56" s="1697"/>
      <c r="CE56" s="1295"/>
      <c r="CF56" s="1295"/>
      <c r="CG56" s="1295"/>
      <c r="CH56" s="1295"/>
      <c r="CI56" s="1340"/>
      <c r="CJ56" s="1295"/>
      <c r="CK56" s="1056"/>
      <c r="CL56" s="1056"/>
      <c r="CM56" s="1056"/>
      <c r="CN56" s="1340"/>
      <c r="CO56" s="1056"/>
      <c r="CP56" s="1056"/>
      <c r="CQ56" s="1056"/>
      <c r="CR56" s="1056"/>
      <c r="CS56" s="1340"/>
      <c r="CT56" s="1056"/>
      <c r="CU56" s="1056"/>
      <c r="CV56" s="1056"/>
      <c r="CW56" s="1056"/>
      <c r="CX56" s="1340"/>
      <c r="CY56" s="1719"/>
      <c r="DA56" s="126"/>
      <c r="DB56" s="117"/>
      <c r="DC56" s="117"/>
    </row>
    <row r="57" spans="1:107" ht="11.25" hidden="1" customHeight="1" outlineLevel="2">
      <c r="A57" s="1860" t="s">
        <v>276</v>
      </c>
      <c r="B57" s="1345"/>
      <c r="C57" s="1346"/>
      <c r="D57" s="496"/>
      <c r="E57" s="496"/>
      <c r="F57" s="1347"/>
      <c r="G57" s="497"/>
      <c r="H57" s="1346"/>
      <c r="I57" s="496"/>
      <c r="J57" s="496"/>
      <c r="K57" s="1347"/>
      <c r="L57" s="1346"/>
      <c r="M57" s="1346"/>
      <c r="N57" s="496"/>
      <c r="O57" s="496"/>
      <c r="P57" s="1347"/>
      <c r="Q57" s="497"/>
      <c r="R57" s="496"/>
      <c r="S57" s="496"/>
      <c r="T57" s="496"/>
      <c r="U57" s="496"/>
      <c r="V57" s="497"/>
      <c r="W57" s="1345"/>
      <c r="X57" s="1345"/>
      <c r="Y57" s="1345"/>
      <c r="Z57" s="1345"/>
      <c r="AA57" s="514"/>
      <c r="AB57" s="1345"/>
      <c r="AC57" s="1345"/>
      <c r="AD57" s="1345"/>
      <c r="AE57" s="1345"/>
      <c r="AF57" s="498"/>
      <c r="AG57" s="1345"/>
      <c r="AH57" s="1345"/>
      <c r="AI57" s="1345"/>
      <c r="AJ57" s="1345"/>
      <c r="AK57" s="498"/>
      <c r="AL57" s="1345"/>
      <c r="AM57" s="1345"/>
      <c r="AN57" s="1345"/>
      <c r="AO57" s="1345"/>
      <c r="AP57" s="498"/>
      <c r="AQ57" s="1345">
        <f t="shared" ref="AQ57:AV57" si="113">AQ48+AQ51+AQ54</f>
        <v>77.400000000000006</v>
      </c>
      <c r="AR57" s="1345">
        <f t="shared" si="113"/>
        <v>72</v>
      </c>
      <c r="AS57" s="1345">
        <f t="shared" si="113"/>
        <v>65</v>
      </c>
      <c r="AT57" s="1345">
        <f t="shared" si="113"/>
        <v>82.3</v>
      </c>
      <c r="AU57" s="498">
        <f t="shared" si="113"/>
        <v>296.7</v>
      </c>
      <c r="AV57" s="1345">
        <f t="shared" si="113"/>
        <v>89.4</v>
      </c>
      <c r="AW57" s="1345">
        <f t="shared" ref="AW57:BT57" si="114">AW48+AW51+AW54</f>
        <v>107.8</v>
      </c>
      <c r="AX57" s="1345">
        <f t="shared" si="114"/>
        <v>99.100000000000009</v>
      </c>
      <c r="AY57" s="1345">
        <f t="shared" si="114"/>
        <v>107.2</v>
      </c>
      <c r="AZ57" s="498">
        <f t="shared" si="114"/>
        <v>403.49999999999994</v>
      </c>
      <c r="BA57" s="1345">
        <f>BA48+BA51+BA54</f>
        <v>107.6</v>
      </c>
      <c r="BB57" s="1345">
        <f t="shared" si="114"/>
        <v>109.2</v>
      </c>
      <c r="BC57" s="1345">
        <f t="shared" si="114"/>
        <v>104.7</v>
      </c>
      <c r="BD57" s="1345">
        <f t="shared" si="114"/>
        <v>116.39999999999999</v>
      </c>
      <c r="BE57" s="498">
        <f t="shared" si="114"/>
        <v>437.9</v>
      </c>
      <c r="BF57" s="1345">
        <f>BF48+BF51+BF54</f>
        <v>108.3</v>
      </c>
      <c r="BG57" s="1345">
        <f t="shared" si="114"/>
        <v>130.9</v>
      </c>
      <c r="BH57" s="1345">
        <f t="shared" si="114"/>
        <v>119.6</v>
      </c>
      <c r="BI57" s="1345">
        <f t="shared" si="114"/>
        <v>124.99999999999999</v>
      </c>
      <c r="BJ57" s="498">
        <f t="shared" si="114"/>
        <v>483.79999999999995</v>
      </c>
      <c r="BK57" s="1345">
        <f>BK48+BK51+BK54</f>
        <v>156.69999999999999</v>
      </c>
      <c r="BL57" s="1345">
        <f t="shared" si="114"/>
        <v>135.29999999999998</v>
      </c>
      <c r="BM57" s="1345">
        <f t="shared" si="114"/>
        <v>147.4</v>
      </c>
      <c r="BN57" s="1345">
        <f t="shared" si="114"/>
        <v>147.49999999999997</v>
      </c>
      <c r="BO57" s="498">
        <f t="shared" si="114"/>
        <v>586.59999999999991</v>
      </c>
      <c r="BP57" s="1345">
        <f>BP48+BP51+BP54</f>
        <v>148.5</v>
      </c>
      <c r="BQ57" s="1345">
        <f t="shared" si="114"/>
        <v>154.9</v>
      </c>
      <c r="BR57" s="1345">
        <f t="shared" si="114"/>
        <v>157.69999999999999</v>
      </c>
      <c r="BS57" s="1345">
        <f t="shared" si="114"/>
        <v>160.9</v>
      </c>
      <c r="BT57" s="498">
        <f t="shared" si="114"/>
        <v>622</v>
      </c>
      <c r="BU57" s="1345">
        <f t="shared" ref="BU57:CD57" si="115">BU48+BU51+BU54</f>
        <v>166.79999999999998</v>
      </c>
      <c r="BV57" s="1345">
        <f t="shared" si="115"/>
        <v>185.20000000000002</v>
      </c>
      <c r="BW57" s="1345">
        <f t="shared" si="115"/>
        <v>191</v>
      </c>
      <c r="BX57" s="1345">
        <f t="shared" si="115"/>
        <v>201.4</v>
      </c>
      <c r="BY57" s="498">
        <f t="shared" si="115"/>
        <v>744.40000000000009</v>
      </c>
      <c r="BZ57" s="1345">
        <f t="shared" si="115"/>
        <v>198.6</v>
      </c>
      <c r="CA57" s="1345">
        <f t="shared" si="115"/>
        <v>202.1</v>
      </c>
      <c r="CB57" s="1345">
        <f t="shared" si="115"/>
        <v>202.7</v>
      </c>
      <c r="CC57" s="1345">
        <f t="shared" si="115"/>
        <v>216.6</v>
      </c>
      <c r="CD57" s="498">
        <f t="shared" si="115"/>
        <v>820.00000000000011</v>
      </c>
      <c r="CE57" s="1345">
        <f t="shared" ref="CE57:CN57" si="116">CE48+CE51+CE54</f>
        <v>237.29999999999998</v>
      </c>
      <c r="CF57" s="1345">
        <f t="shared" si="116"/>
        <v>239.4</v>
      </c>
      <c r="CG57" s="1345">
        <f t="shared" si="116"/>
        <v>262.89999999999998</v>
      </c>
      <c r="CH57" s="1345">
        <f t="shared" si="116"/>
        <v>270.90000000000003</v>
      </c>
      <c r="CI57" s="498">
        <f t="shared" si="116"/>
        <v>1010.5</v>
      </c>
      <c r="CJ57" s="1345">
        <f t="shared" si="116"/>
        <v>258.90000000000003</v>
      </c>
      <c r="CK57" s="1345">
        <f t="shared" si="116"/>
        <v>280.77197269881509</v>
      </c>
      <c r="CL57" s="1345">
        <f t="shared" si="116"/>
        <v>309.20945870710023</v>
      </c>
      <c r="CM57" s="1345">
        <f t="shared" si="116"/>
        <v>310.55028890618462</v>
      </c>
      <c r="CN57" s="498">
        <f t="shared" si="116"/>
        <v>1159.4317203121</v>
      </c>
      <c r="CO57" s="1345">
        <f t="shared" ref="CO57:CX57" si="117">CO48+CO51+CO54</f>
        <v>332.93296458193265</v>
      </c>
      <c r="CP57" s="1345">
        <f t="shared" si="117"/>
        <v>324.09137274925939</v>
      </c>
      <c r="CQ57" s="1345">
        <f t="shared" si="117"/>
        <v>358.57056060846253</v>
      </c>
      <c r="CR57" s="1345">
        <f t="shared" si="117"/>
        <v>359.99766337770774</v>
      </c>
      <c r="CS57" s="498">
        <f t="shared" si="117"/>
        <v>1375.5925613173622</v>
      </c>
      <c r="CT57" s="1345">
        <f t="shared" si="117"/>
        <v>386.97107605135147</v>
      </c>
      <c r="CU57" s="1345">
        <f t="shared" si="117"/>
        <v>373.81449647953201</v>
      </c>
      <c r="CV57" s="1345">
        <f t="shared" si="117"/>
        <v>410.28343584248205</v>
      </c>
      <c r="CW57" s="1345">
        <f t="shared" si="117"/>
        <v>407.65766837810622</v>
      </c>
      <c r="CX57" s="498">
        <f t="shared" si="117"/>
        <v>1578.7266767514718</v>
      </c>
      <c r="CY57" s="458"/>
      <c r="DA57" s="497"/>
      <c r="DB57" s="496"/>
      <c r="DC57" s="496"/>
    </row>
    <row r="58" spans="1:107" ht="11.25" hidden="1" customHeight="1" outlineLevel="2">
      <c r="A58" s="1847" t="s">
        <v>277</v>
      </c>
      <c r="B58" s="469"/>
      <c r="C58" s="470"/>
      <c r="D58" s="469"/>
      <c r="E58" s="469"/>
      <c r="F58" s="471"/>
      <c r="G58" s="472"/>
      <c r="H58" s="470"/>
      <c r="I58" s="469"/>
      <c r="J58" s="469"/>
      <c r="K58" s="471"/>
      <c r="L58" s="470"/>
      <c r="M58" s="470"/>
      <c r="N58" s="469"/>
      <c r="O58" s="469"/>
      <c r="P58" s="471"/>
      <c r="Q58" s="472"/>
      <c r="R58" s="469"/>
      <c r="S58" s="469"/>
      <c r="T58" s="469"/>
      <c r="U58" s="469"/>
      <c r="V58" s="472"/>
      <c r="W58" s="469"/>
      <c r="X58" s="469"/>
      <c r="Y58" s="469"/>
      <c r="Z58" s="469"/>
      <c r="AA58" s="472"/>
      <c r="AB58" s="469"/>
      <c r="AC58" s="469"/>
      <c r="AD58" s="469"/>
      <c r="AE58" s="469"/>
      <c r="AF58" s="472"/>
      <c r="AG58" s="469"/>
      <c r="AH58" s="469"/>
      <c r="AI58" s="469"/>
      <c r="AJ58" s="469"/>
      <c r="AK58" s="472"/>
      <c r="AL58" s="469"/>
      <c r="AM58" s="469"/>
      <c r="AN58" s="469"/>
      <c r="AO58" s="469"/>
      <c r="AP58" s="472"/>
      <c r="AQ58" s="469">
        <f t="shared" ref="AQ58:AV58" si="118">AQ57/AQ31</f>
        <v>9.8423194303153619E-2</v>
      </c>
      <c r="AR58" s="469">
        <f t="shared" si="118"/>
        <v>0.10217113665389528</v>
      </c>
      <c r="AS58" s="469">
        <f t="shared" si="118"/>
        <v>9.3189964157706098E-2</v>
      </c>
      <c r="AT58" s="469">
        <f t="shared" si="118"/>
        <v>0.1086755579030767</v>
      </c>
      <c r="AU58" s="472">
        <f t="shared" si="118"/>
        <v>0.10071624970297702</v>
      </c>
      <c r="AV58" s="469">
        <f t="shared" si="118"/>
        <v>0.10411086526144171</v>
      </c>
      <c r="AW58" s="469">
        <f t="shared" ref="AW58:BT58" si="119">AW57/AW31</f>
        <v>0.11431601272534464</v>
      </c>
      <c r="AX58" s="469">
        <f t="shared" si="119"/>
        <v>0.1000706856508129</v>
      </c>
      <c r="AY58" s="469">
        <f t="shared" si="119"/>
        <v>0.10634920634920635</v>
      </c>
      <c r="AZ58" s="472">
        <f t="shared" si="119"/>
        <v>0.10618421052631577</v>
      </c>
      <c r="BA58" s="469">
        <f t="shared" si="119"/>
        <v>0.10469981512114429</v>
      </c>
      <c r="BB58" s="469">
        <f t="shared" si="119"/>
        <v>0.10672400312744332</v>
      </c>
      <c r="BC58" s="469">
        <f t="shared" si="119"/>
        <v>0.10333596525858665</v>
      </c>
      <c r="BD58" s="469">
        <f t="shared" si="119"/>
        <v>0.10102412775559798</v>
      </c>
      <c r="BE58" s="472">
        <f t="shared" si="119"/>
        <v>0.103858833574461</v>
      </c>
      <c r="BF58" s="469">
        <f t="shared" si="119"/>
        <v>0.10361653272101033</v>
      </c>
      <c r="BG58" s="469">
        <f t="shared" si="119"/>
        <v>0.1162109375</v>
      </c>
      <c r="BH58" s="469">
        <f t="shared" si="119"/>
        <v>0.11070998796630566</v>
      </c>
      <c r="BI58" s="469">
        <f t="shared" si="119"/>
        <v>0.10837523842552452</v>
      </c>
      <c r="BJ58" s="472">
        <f t="shared" si="119"/>
        <v>0.10982225955099535</v>
      </c>
      <c r="BK58" s="469">
        <f>BK57/BK31</f>
        <v>0.15547177299335252</v>
      </c>
      <c r="BL58" s="469">
        <f>BL57/BL31</f>
        <v>0.13389411182582878</v>
      </c>
      <c r="BM58" s="469">
        <f t="shared" si="119"/>
        <v>0.14814070351758796</v>
      </c>
      <c r="BN58" s="469">
        <f t="shared" si="119"/>
        <v>0.14159546894499372</v>
      </c>
      <c r="BO58" s="1430">
        <f t="shared" si="119"/>
        <v>0.14465734507163816</v>
      </c>
      <c r="BP58" s="469">
        <f>BP57/BP31</f>
        <v>0.1484851514848515</v>
      </c>
      <c r="BQ58" s="469">
        <f t="shared" si="119"/>
        <v>0.14501029769706048</v>
      </c>
      <c r="BR58" s="469">
        <f t="shared" si="119"/>
        <v>0.15685299383330017</v>
      </c>
      <c r="BS58" s="469">
        <f t="shared" si="119"/>
        <v>0.14991148793440792</v>
      </c>
      <c r="BT58" s="1430">
        <f t="shared" si="119"/>
        <v>0.14998794309139138</v>
      </c>
      <c r="BU58" s="469">
        <f t="shared" ref="BU58:CF58" si="120">BU57/BU31</f>
        <v>0.15037865128020192</v>
      </c>
      <c r="BV58" s="469">
        <f t="shared" si="120"/>
        <v>0.15935295129926005</v>
      </c>
      <c r="BW58" s="469">
        <f t="shared" si="120"/>
        <v>0.15684020364591889</v>
      </c>
      <c r="BX58" s="469">
        <f t="shared" si="120"/>
        <v>0.15416411512553582</v>
      </c>
      <c r="BY58" s="1430">
        <f t="shared" si="120"/>
        <v>0.15522562348819752</v>
      </c>
      <c r="BZ58" s="469">
        <f t="shared" si="120"/>
        <v>0.14356972457167644</v>
      </c>
      <c r="CA58" s="469">
        <f t="shared" si="120"/>
        <v>0.14449131336240795</v>
      </c>
      <c r="CB58" s="469">
        <f t="shared" si="120"/>
        <v>0.13845628415300545</v>
      </c>
      <c r="CC58" s="469">
        <f t="shared" si="120"/>
        <v>0.13466799303655805</v>
      </c>
      <c r="CD58" s="472">
        <f t="shared" si="120"/>
        <v>0.14006559169171909</v>
      </c>
      <c r="CE58" s="469">
        <f t="shared" ref="CE58:CN58" si="121">CE57/CE31</f>
        <v>0.14111560418648905</v>
      </c>
      <c r="CF58" s="469">
        <f t="shared" si="120"/>
        <v>0.13508633337095136</v>
      </c>
      <c r="CG58" s="469">
        <f t="shared" si="121"/>
        <v>0.14279506816577045</v>
      </c>
      <c r="CH58" s="469">
        <f t="shared" si="121"/>
        <v>0.13500448519884384</v>
      </c>
      <c r="CI58" s="476">
        <f t="shared" si="121"/>
        <v>0.13839621995480381</v>
      </c>
      <c r="CJ58" s="469">
        <f t="shared" si="121"/>
        <v>0.1245370147674251</v>
      </c>
      <c r="CK58" s="475">
        <f t="shared" si="121"/>
        <v>0.12909046051900774</v>
      </c>
      <c r="CL58" s="475">
        <f t="shared" si="121"/>
        <v>0.13672906027604648</v>
      </c>
      <c r="CM58" s="475">
        <f t="shared" si="121"/>
        <v>0.13049403501157728</v>
      </c>
      <c r="CN58" s="476">
        <f t="shared" si="121"/>
        <v>0.13034378876932148</v>
      </c>
      <c r="CO58" s="475">
        <f t="shared" ref="CO58:CX58" si="122">CO57/CO31</f>
        <v>0.13487514029285208</v>
      </c>
      <c r="CP58" s="475">
        <f t="shared" si="122"/>
        <v>0.12605861124204232</v>
      </c>
      <c r="CQ58" s="475">
        <f t="shared" si="122"/>
        <v>0.13388832711683243</v>
      </c>
      <c r="CR58" s="475">
        <f t="shared" si="122"/>
        <v>0.12780822907816497</v>
      </c>
      <c r="CS58" s="476">
        <f t="shared" si="122"/>
        <v>0.13058293672397336</v>
      </c>
      <c r="CT58" s="475">
        <f t="shared" si="122"/>
        <v>0.13323358203419675</v>
      </c>
      <c r="CU58" s="475">
        <f t="shared" si="122"/>
        <v>0.12444320764043673</v>
      </c>
      <c r="CV58" s="475">
        <f t="shared" si="122"/>
        <v>0.13213342369627934</v>
      </c>
      <c r="CW58" s="475">
        <f t="shared" si="122"/>
        <v>0.12575511768611464</v>
      </c>
      <c r="CX58" s="476">
        <f t="shared" si="122"/>
        <v>0.12882201313021135</v>
      </c>
      <c r="CY58" s="475"/>
      <c r="DA58" s="477"/>
      <c r="DB58" s="469"/>
      <c r="DC58" s="469"/>
    </row>
    <row r="59" spans="1:107" ht="11.25" hidden="1" customHeight="1" outlineLevel="2">
      <c r="A59" s="1859"/>
      <c r="B59" s="114"/>
      <c r="C59" s="116"/>
      <c r="D59" s="117"/>
      <c r="E59" s="117"/>
      <c r="F59" s="118"/>
      <c r="G59" s="119"/>
      <c r="H59" s="116"/>
      <c r="I59" s="117"/>
      <c r="J59" s="117"/>
      <c r="K59" s="118"/>
      <c r="L59" s="116"/>
      <c r="M59" s="116"/>
      <c r="N59" s="117"/>
      <c r="O59" s="117"/>
      <c r="P59" s="118"/>
      <c r="Q59" s="119"/>
      <c r="R59" s="117"/>
      <c r="S59" s="117"/>
      <c r="T59" s="117"/>
      <c r="U59" s="117"/>
      <c r="V59" s="119"/>
      <c r="W59" s="117"/>
      <c r="X59" s="117"/>
      <c r="Y59" s="117"/>
      <c r="Z59" s="117"/>
      <c r="AA59" s="119"/>
      <c r="AB59" s="117"/>
      <c r="AC59" s="117"/>
      <c r="AD59" s="117"/>
      <c r="AE59" s="117"/>
      <c r="AF59" s="119"/>
      <c r="AG59" s="121"/>
      <c r="AH59" s="121"/>
      <c r="AI59" s="121"/>
      <c r="AJ59" s="121"/>
      <c r="AK59" s="119"/>
      <c r="AL59" s="121"/>
      <c r="AM59" s="121"/>
      <c r="AN59" s="121"/>
      <c r="AO59" s="121"/>
      <c r="AP59" s="119"/>
      <c r="AQ59" s="1113"/>
      <c r="AR59" s="1113"/>
      <c r="AS59" s="1113"/>
      <c r="AT59" s="1136"/>
      <c r="AU59" s="1137"/>
      <c r="AV59" s="1113"/>
      <c r="AW59" s="1113"/>
      <c r="AX59" s="1113"/>
      <c r="AY59" s="1136"/>
      <c r="AZ59" s="1137"/>
      <c r="BA59" s="1056"/>
      <c r="BB59" s="1265"/>
      <c r="BC59" s="1265"/>
      <c r="BD59" s="1136"/>
      <c r="BE59" s="1137"/>
      <c r="BF59" s="1295"/>
      <c r="BG59" s="1265"/>
      <c r="BH59" s="1056"/>
      <c r="BI59" s="1136"/>
      <c r="BJ59" s="1137"/>
      <c r="BK59" s="1056"/>
      <c r="BL59" s="1265"/>
      <c r="BM59" s="1056"/>
      <c r="BN59" s="1056"/>
      <c r="BO59" s="1268"/>
      <c r="BP59" s="1056"/>
      <c r="BQ59" s="1056"/>
      <c r="BR59" s="1056"/>
      <c r="BS59" s="1056"/>
      <c r="BT59" s="1268"/>
      <c r="BU59" s="1056"/>
      <c r="BV59" s="1056"/>
      <c r="BW59" s="1056"/>
      <c r="BX59" s="1056"/>
      <c r="BY59" s="1268"/>
      <c r="BZ59" s="1056"/>
      <c r="CA59" s="1056"/>
      <c r="CB59" s="1056"/>
      <c r="CC59" s="1740"/>
      <c r="CD59" s="1740"/>
      <c r="CE59" s="1295"/>
      <c r="CF59" s="1295"/>
      <c r="CG59" s="1295"/>
      <c r="CH59" s="1740"/>
      <c r="CI59" s="1740"/>
      <c r="CJ59" s="1056"/>
      <c r="CK59" s="1056"/>
      <c r="CL59" s="1056"/>
      <c r="CM59" s="1740"/>
      <c r="CN59" s="1740"/>
      <c r="CO59" s="1056"/>
      <c r="CP59" s="1056"/>
      <c r="CQ59" s="1056"/>
      <c r="CR59" s="1740"/>
      <c r="CS59" s="1740"/>
      <c r="CT59" s="1056"/>
      <c r="CU59" s="1056"/>
      <c r="CV59" s="1056"/>
      <c r="CW59" s="1740"/>
      <c r="CX59" s="1740"/>
      <c r="CY59" s="1056"/>
      <c r="DA59" s="126"/>
      <c r="DB59" s="117"/>
      <c r="DC59" s="117"/>
    </row>
    <row r="60" spans="1:107" collapsed="1">
      <c r="A60" s="1861" t="s">
        <v>308</v>
      </c>
      <c r="B60" s="363"/>
      <c r="C60" s="551"/>
      <c r="D60" s="363"/>
      <c r="E60" s="363"/>
      <c r="F60" s="552"/>
      <c r="G60" s="522"/>
      <c r="H60" s="551"/>
      <c r="I60" s="363"/>
      <c r="J60" s="363"/>
      <c r="K60" s="552"/>
      <c r="L60" s="551"/>
      <c r="M60" s="551"/>
      <c r="N60" s="363"/>
      <c r="O60" s="363"/>
      <c r="P60" s="552"/>
      <c r="Q60" s="522"/>
      <c r="R60" s="363"/>
      <c r="S60" s="363"/>
      <c r="T60" s="363"/>
      <c r="U60" s="363"/>
      <c r="V60" s="522"/>
      <c r="W60" s="363"/>
      <c r="X60" s="363"/>
      <c r="Y60" s="363"/>
      <c r="Z60" s="363"/>
      <c r="AA60" s="522"/>
      <c r="AB60" s="363"/>
      <c r="AC60" s="1862"/>
      <c r="AD60" s="1862"/>
      <c r="AE60" s="363"/>
      <c r="AF60" s="522"/>
      <c r="AG60" s="363"/>
      <c r="AH60" s="363"/>
      <c r="AI60" s="363"/>
      <c r="AJ60" s="363"/>
      <c r="AK60" s="522"/>
      <c r="AL60" s="363"/>
      <c r="AM60" s="363"/>
      <c r="AN60" s="363"/>
      <c r="AO60" s="363"/>
      <c r="AP60" s="522"/>
      <c r="AQ60" s="363"/>
      <c r="AR60" s="1348"/>
      <c r="AS60" s="1348"/>
      <c r="AT60" s="1348"/>
      <c r="AU60" s="523"/>
      <c r="AV60" s="363"/>
      <c r="AW60" s="363"/>
      <c r="AX60" s="363"/>
      <c r="AY60" s="363"/>
      <c r="AZ60" s="522"/>
      <c r="BA60" s="1348"/>
      <c r="BB60" s="1348"/>
      <c r="BC60" s="363"/>
      <c r="BD60" s="363"/>
      <c r="BE60" s="522"/>
      <c r="BF60" s="363"/>
      <c r="BG60" s="1348"/>
      <c r="BH60" s="1348"/>
      <c r="BI60" s="363"/>
      <c r="BJ60" s="522"/>
      <c r="BK60" s="1348"/>
      <c r="BL60" s="1348"/>
      <c r="BM60" s="1348"/>
      <c r="BN60" s="1348"/>
      <c r="BO60" s="523"/>
      <c r="BP60" s="1348"/>
      <c r="BQ60" s="1348"/>
      <c r="BR60" s="1348"/>
      <c r="BS60" s="1348"/>
      <c r="BT60" s="523"/>
      <c r="BU60" s="1348"/>
      <c r="BV60" s="1348"/>
      <c r="BW60" s="1348"/>
      <c r="BX60" s="1348"/>
      <c r="BY60" s="523"/>
      <c r="BZ60" s="1348"/>
      <c r="CA60" s="1348"/>
      <c r="CB60" s="1348"/>
      <c r="CC60" s="363"/>
      <c r="CD60" s="522"/>
      <c r="CE60" s="363"/>
      <c r="CF60" s="363"/>
      <c r="CG60" s="363"/>
      <c r="CH60" s="363"/>
      <c r="CI60" s="523"/>
      <c r="CJ60" s="1348"/>
      <c r="CK60" s="1348"/>
      <c r="CL60" s="1348"/>
      <c r="CM60" s="1348"/>
      <c r="CN60" s="523"/>
      <c r="CO60" s="1348"/>
      <c r="CP60" s="1348"/>
      <c r="CQ60" s="1348"/>
      <c r="CR60" s="1348"/>
      <c r="CS60" s="523"/>
      <c r="CT60" s="1348"/>
      <c r="CU60" s="1348"/>
      <c r="CV60" s="1348"/>
      <c r="CW60" s="1348"/>
      <c r="CX60" s="523"/>
      <c r="CY60" s="1348"/>
      <c r="DA60" s="201"/>
      <c r="DB60" s="200"/>
      <c r="DC60" s="200"/>
    </row>
    <row r="61" spans="1:107">
      <c r="A61" s="205" t="s">
        <v>307</v>
      </c>
      <c r="B61" s="206"/>
      <c r="C61" s="205"/>
      <c r="D61" s="206"/>
      <c r="E61" s="206"/>
      <c r="F61" s="207"/>
      <c r="G61" s="208"/>
      <c r="H61" s="205"/>
      <c r="I61" s="206"/>
      <c r="J61" s="206"/>
      <c r="K61" s="207"/>
      <c r="L61" s="205"/>
      <c r="M61" s="205"/>
      <c r="N61" s="206"/>
      <c r="O61" s="206"/>
      <c r="P61" s="207"/>
      <c r="Q61" s="208"/>
      <c r="R61" s="206"/>
      <c r="S61" s="206"/>
      <c r="T61" s="206"/>
      <c r="U61" s="206"/>
      <c r="V61" s="208"/>
      <c r="W61" s="206"/>
      <c r="X61" s="206"/>
      <c r="Y61" s="206"/>
      <c r="Z61" s="206"/>
      <c r="AA61" s="208"/>
      <c r="AB61" s="206"/>
      <c r="AC61" s="233"/>
      <c r="AD61" s="233"/>
      <c r="AE61" s="206"/>
      <c r="AF61" s="208"/>
      <c r="AG61" s="363"/>
      <c r="AH61" s="363"/>
      <c r="AI61" s="363"/>
      <c r="AJ61" s="363"/>
      <c r="AK61" s="522"/>
      <c r="AL61" s="363"/>
      <c r="AM61" s="363"/>
      <c r="AN61" s="363"/>
      <c r="AO61" s="363"/>
      <c r="AP61" s="522"/>
      <c r="AQ61" s="363"/>
      <c r="AR61" s="363"/>
      <c r="AS61" s="1348"/>
      <c r="AT61" s="1348"/>
      <c r="AU61" s="523"/>
      <c r="AV61" s="363"/>
      <c r="AW61" s="363"/>
      <c r="AX61" s="363"/>
      <c r="AY61" s="363"/>
      <c r="AZ61" s="523"/>
      <c r="BA61" s="1348"/>
      <c r="BB61" s="1348"/>
      <c r="BC61" s="363"/>
      <c r="BD61" s="363"/>
      <c r="BE61" s="523"/>
      <c r="BF61" s="363"/>
      <c r="BG61" s="1348"/>
      <c r="BH61" s="1348"/>
      <c r="BI61" s="363"/>
      <c r="BJ61" s="523"/>
      <c r="BK61" s="1348"/>
      <c r="BL61" s="1348"/>
      <c r="BM61" s="1348"/>
      <c r="BN61" s="1348"/>
      <c r="BO61" s="523"/>
      <c r="BP61" s="1348"/>
      <c r="BQ61" s="1348"/>
      <c r="BR61" s="1348"/>
      <c r="BS61" s="1348"/>
      <c r="BT61" s="523"/>
      <c r="BU61" s="1348"/>
      <c r="BV61" s="1348"/>
      <c r="BW61" s="1348"/>
      <c r="BX61" s="1348"/>
      <c r="BY61" s="523"/>
      <c r="BZ61" s="1348"/>
      <c r="CA61" s="1348"/>
      <c r="CB61" s="1348"/>
      <c r="CC61" s="363"/>
      <c r="CD61" s="522"/>
      <c r="CE61" s="363"/>
      <c r="CF61" s="363"/>
      <c r="CG61" s="363"/>
      <c r="CH61" s="363"/>
      <c r="CI61" s="523"/>
      <c r="CJ61" s="1348"/>
      <c r="CK61" s="1348"/>
      <c r="CL61" s="1348"/>
      <c r="CM61" s="1348"/>
      <c r="CN61" s="523"/>
      <c r="CO61" s="1348"/>
      <c r="CP61" s="1348"/>
      <c r="CQ61" s="1348"/>
      <c r="CR61" s="1348"/>
      <c r="CS61" s="523"/>
      <c r="CT61" s="1348"/>
      <c r="CU61" s="1348"/>
      <c r="CV61" s="1348"/>
      <c r="CW61" s="1348"/>
      <c r="CX61" s="523"/>
      <c r="CY61" s="1348"/>
      <c r="DA61" s="201"/>
      <c r="DB61" s="200"/>
      <c r="DC61" s="200"/>
    </row>
    <row r="62" spans="1:107">
      <c r="A62" s="205" t="str">
        <f>A7</f>
        <v>Digital Media</v>
      </c>
      <c r="B62" s="206"/>
      <c r="C62" s="205"/>
      <c r="D62" s="206"/>
      <c r="E62" s="206"/>
      <c r="F62" s="207"/>
      <c r="G62" s="208"/>
      <c r="H62" s="205"/>
      <c r="I62" s="206"/>
      <c r="J62" s="206"/>
      <c r="K62" s="207"/>
      <c r="L62" s="205"/>
      <c r="M62" s="205"/>
      <c r="N62" s="206"/>
      <c r="O62" s="206"/>
      <c r="P62" s="207"/>
      <c r="Q62" s="208"/>
      <c r="R62" s="206"/>
      <c r="S62" s="206"/>
      <c r="T62" s="206"/>
      <c r="U62" s="206"/>
      <c r="V62" s="208"/>
      <c r="W62" s="189"/>
      <c r="X62" s="189"/>
      <c r="Y62" s="189"/>
      <c r="Z62" s="189"/>
      <c r="AA62" s="311"/>
      <c r="AB62" s="189"/>
      <c r="AC62" s="189"/>
      <c r="AD62" s="189"/>
      <c r="AE62" s="189"/>
      <c r="AF62" s="311"/>
      <c r="AG62" s="189"/>
      <c r="AH62" s="189"/>
      <c r="AI62" s="189"/>
      <c r="AJ62" s="189"/>
      <c r="AK62" s="311"/>
      <c r="AL62" s="189"/>
      <c r="AM62" s="189"/>
      <c r="AN62" s="189"/>
      <c r="AO62" s="189"/>
      <c r="AP62" s="311"/>
      <c r="AQ62" s="189">
        <f t="shared" ref="AQ62:BV62" si="123">AQ7/AQ$31</f>
        <v>0.82591556459816895</v>
      </c>
      <c r="AR62" s="189">
        <f t="shared" si="123"/>
        <v>0.81211863204200374</v>
      </c>
      <c r="AS62" s="189">
        <f t="shared" si="123"/>
        <v>0.81620071684587803</v>
      </c>
      <c r="AT62" s="189">
        <f t="shared" si="123"/>
        <v>0.78264888419384659</v>
      </c>
      <c r="AU62" s="386">
        <f t="shared" si="123"/>
        <v>0.8091924369462643</v>
      </c>
      <c r="AV62" s="189">
        <f t="shared" si="123"/>
        <v>0.73471526726446945</v>
      </c>
      <c r="AW62" s="189">
        <f t="shared" si="123"/>
        <v>0.76489925768822897</v>
      </c>
      <c r="AX62" s="189">
        <f t="shared" si="123"/>
        <v>0.74684439058871055</v>
      </c>
      <c r="AY62" s="189">
        <f t="shared" si="123"/>
        <v>0.73690476190476184</v>
      </c>
      <c r="AZ62" s="386">
        <f t="shared" si="123"/>
        <v>0.74594736842105247</v>
      </c>
      <c r="BA62" s="189">
        <f t="shared" si="123"/>
        <v>0.7367908922837404</v>
      </c>
      <c r="BB62" s="189">
        <f t="shared" si="123"/>
        <v>0.73221266614542613</v>
      </c>
      <c r="BC62" s="189">
        <f t="shared" si="123"/>
        <v>0.73213580734307138</v>
      </c>
      <c r="BD62" s="189">
        <f t="shared" si="123"/>
        <v>0.71341780940808885</v>
      </c>
      <c r="BE62" s="386">
        <f t="shared" si="123"/>
        <v>0.72817399141427308</v>
      </c>
      <c r="BF62" s="189">
        <f t="shared" si="123"/>
        <v>0.69307309605817058</v>
      </c>
      <c r="BG62" s="189">
        <f t="shared" si="123"/>
        <v>0.72310014204545447</v>
      </c>
      <c r="BH62" s="189">
        <f t="shared" si="123"/>
        <v>0.70582245672498378</v>
      </c>
      <c r="BI62" s="189">
        <f t="shared" si="123"/>
        <v>0.69559563031038663</v>
      </c>
      <c r="BJ62" s="386">
        <f t="shared" si="123"/>
        <v>0.70453771593308034</v>
      </c>
      <c r="BK62" s="189">
        <f t="shared" si="123"/>
        <v>0.68300426629625954</v>
      </c>
      <c r="BL62" s="189">
        <f t="shared" si="123"/>
        <v>0.66303809995051954</v>
      </c>
      <c r="BM62" s="189">
        <f t="shared" si="123"/>
        <v>0.63989949748743724</v>
      </c>
      <c r="BN62" s="189">
        <f t="shared" si="123"/>
        <v>0.6055486224440817</v>
      </c>
      <c r="BO62" s="386">
        <f t="shared" si="123"/>
        <v>0.64755493082784643</v>
      </c>
      <c r="BP62" s="189">
        <f t="shared" si="123"/>
        <v>0.64103589641035896</v>
      </c>
      <c r="BQ62" s="189">
        <f t="shared" si="123"/>
        <v>0.64744429882044563</v>
      </c>
      <c r="BR62" s="189">
        <f t="shared" si="123"/>
        <v>0.61806246270141241</v>
      </c>
      <c r="BS62" s="189">
        <f t="shared" si="123"/>
        <v>0.60467716388707726</v>
      </c>
      <c r="BT62" s="386">
        <f t="shared" si="123"/>
        <v>0.62770677598263802</v>
      </c>
      <c r="BU62" s="189">
        <f t="shared" si="123"/>
        <v>0.63360980887125851</v>
      </c>
      <c r="BV62" s="189">
        <f t="shared" si="123"/>
        <v>0.64317673378076068</v>
      </c>
      <c r="BW62" s="189">
        <f t="shared" ref="BW62:CX62" si="124">BW7/BW$31</f>
        <v>0.63204138610609306</v>
      </c>
      <c r="BX62" s="189">
        <f t="shared" si="124"/>
        <v>0.67000918554807098</v>
      </c>
      <c r="BY62" s="386">
        <f t="shared" si="124"/>
        <v>0.64544582533989492</v>
      </c>
      <c r="BZ62" s="189">
        <f t="shared" si="124"/>
        <v>0.67353430203137432</v>
      </c>
      <c r="CA62" s="189">
        <f t="shared" si="124"/>
        <v>0.67426896403803527</v>
      </c>
      <c r="CB62" s="189">
        <f t="shared" si="124"/>
        <v>0.67622950819672134</v>
      </c>
      <c r="CC62" s="189">
        <f t="shared" si="124"/>
        <v>0.66911216115394179</v>
      </c>
      <c r="CD62" s="386">
        <f t="shared" si="124"/>
        <v>0.67316889860617657</v>
      </c>
      <c r="CE62" s="189">
        <f t="shared" si="124"/>
        <v>0.67679590865842054</v>
      </c>
      <c r="CF62" s="189">
        <f t="shared" si="124"/>
        <v>0.68389572283038025</v>
      </c>
      <c r="CG62" s="189">
        <f t="shared" si="124"/>
        <v>0.68991363858562826</v>
      </c>
      <c r="CH62" s="189">
        <f t="shared" si="124"/>
        <v>0.69286355028406266</v>
      </c>
      <c r="CI62" s="386">
        <f t="shared" si="124"/>
        <v>0.68624255290008906</v>
      </c>
      <c r="CJ62" s="189">
        <f t="shared" si="124"/>
        <v>0.70253499446822831</v>
      </c>
      <c r="CK62" s="189">
        <f t="shared" si="124"/>
        <v>0.70934184625667118</v>
      </c>
      <c r="CL62" s="189">
        <f t="shared" si="124"/>
        <v>0.71461309039877152</v>
      </c>
      <c r="CM62" s="189">
        <f t="shared" si="124"/>
        <v>0.71229666625079358</v>
      </c>
      <c r="CN62" s="386">
        <f t="shared" si="124"/>
        <v>0.70988168014217778</v>
      </c>
      <c r="CO62" s="189">
        <f t="shared" si="124"/>
        <v>0.72119978250379879</v>
      </c>
      <c r="CP62" s="189">
        <f t="shared" si="124"/>
        <v>0.72469153612184101</v>
      </c>
      <c r="CQ62" s="189">
        <f t="shared" si="124"/>
        <v>0.7286480136571859</v>
      </c>
      <c r="CR62" s="189">
        <f t="shared" si="124"/>
        <v>0.72465066911444687</v>
      </c>
      <c r="CS62" s="386">
        <f t="shared" si="124"/>
        <v>0.72486825759314766</v>
      </c>
      <c r="CT62" s="189">
        <f t="shared" si="124"/>
        <v>0.7314811000172069</v>
      </c>
      <c r="CU62" s="189">
        <f t="shared" si="124"/>
        <v>0.73381428720895958</v>
      </c>
      <c r="CV62" s="189">
        <f t="shared" si="124"/>
        <v>0.7376778814522591</v>
      </c>
      <c r="CW62" s="189">
        <f t="shared" si="124"/>
        <v>0.73373513471844898</v>
      </c>
      <c r="CX62" s="386">
        <f t="shared" si="124"/>
        <v>0.7342193023695589</v>
      </c>
      <c r="CY62" s="383"/>
      <c r="DA62" s="201"/>
      <c r="DB62" s="200"/>
      <c r="DC62" s="200"/>
    </row>
    <row r="63" spans="1:107">
      <c r="A63" s="205" t="s">
        <v>495</v>
      </c>
      <c r="B63" s="206"/>
      <c r="C63" s="205"/>
      <c r="D63" s="206"/>
      <c r="E63" s="206"/>
      <c r="F63" s="207"/>
      <c r="G63" s="208"/>
      <c r="H63" s="205"/>
      <c r="I63" s="206"/>
      <c r="J63" s="206"/>
      <c r="K63" s="207"/>
      <c r="L63" s="205"/>
      <c r="M63" s="205"/>
      <c r="N63" s="206"/>
      <c r="O63" s="206"/>
      <c r="P63" s="207"/>
      <c r="Q63" s="208"/>
      <c r="R63" s="206"/>
      <c r="S63" s="206"/>
      <c r="T63" s="206"/>
      <c r="U63" s="206"/>
      <c r="V63" s="208"/>
      <c r="W63" s="189"/>
      <c r="X63" s="189"/>
      <c r="Y63" s="189"/>
      <c r="Z63" s="189"/>
      <c r="AA63" s="311"/>
      <c r="AB63" s="189"/>
      <c r="AC63" s="189"/>
      <c r="AD63" s="189"/>
      <c r="AE63" s="189"/>
      <c r="AF63" s="311"/>
      <c r="AG63" s="189"/>
      <c r="AH63" s="189"/>
      <c r="AI63" s="189"/>
      <c r="AJ63" s="189"/>
      <c r="AK63" s="311"/>
      <c r="AL63" s="189"/>
      <c r="AM63" s="189"/>
      <c r="AN63" s="189"/>
      <c r="AO63" s="189"/>
      <c r="AP63" s="311"/>
      <c r="AQ63" s="189">
        <f t="shared" ref="AQ63:BV63" si="125">AQ83/AQ$31</f>
        <v>0.10618006103763988</v>
      </c>
      <c r="AR63" s="189">
        <f t="shared" si="125"/>
        <v>0.11167872853696607</v>
      </c>
      <c r="AS63" s="189">
        <f t="shared" si="125"/>
        <v>0.11311827956989248</v>
      </c>
      <c r="AT63" s="189">
        <f t="shared" si="125"/>
        <v>0.14961045820678728</v>
      </c>
      <c r="AU63" s="387">
        <f t="shared" si="125"/>
        <v>0.12030279371329644</v>
      </c>
      <c r="AV63" s="189">
        <f t="shared" si="125"/>
        <v>0.20158378944916733</v>
      </c>
      <c r="AW63" s="189">
        <f t="shared" si="125"/>
        <v>0.17507953340402968</v>
      </c>
      <c r="AX63" s="189">
        <f t="shared" si="125"/>
        <v>0.1927698677168535</v>
      </c>
      <c r="AY63" s="189">
        <f t="shared" si="125"/>
        <v>0.20853174603174601</v>
      </c>
      <c r="AZ63" s="386">
        <f t="shared" si="125"/>
        <v>0.19455263157894737</v>
      </c>
      <c r="BA63" s="189">
        <f t="shared" si="125"/>
        <v>0.21095650481658071</v>
      </c>
      <c r="BB63" s="189">
        <f t="shared" si="125"/>
        <v>0.21501172791243159</v>
      </c>
      <c r="BC63" s="189">
        <f t="shared" si="125"/>
        <v>0.21298855112514806</v>
      </c>
      <c r="BD63" s="189">
        <f t="shared" si="125"/>
        <v>0.23876063183475091</v>
      </c>
      <c r="BE63" s="386">
        <f t="shared" si="125"/>
        <v>0.22002703792424638</v>
      </c>
      <c r="BF63" s="189">
        <f t="shared" si="125"/>
        <v>0.25430539609644087</v>
      </c>
      <c r="BG63" s="189">
        <f t="shared" si="125"/>
        <v>0.22798295454545453</v>
      </c>
      <c r="BH63" s="189">
        <f t="shared" si="125"/>
        <v>0.24409886142738127</v>
      </c>
      <c r="BI63" s="189">
        <f t="shared" si="125"/>
        <v>0.25906016993237385</v>
      </c>
      <c r="BJ63" s="386">
        <f t="shared" si="125"/>
        <v>0.24631693641749702</v>
      </c>
      <c r="BK63" s="189">
        <f t="shared" si="125"/>
        <v>0.26560174620498067</v>
      </c>
      <c r="BL63" s="189">
        <f t="shared" si="125"/>
        <v>0.28243443839683324</v>
      </c>
      <c r="BM63" s="189">
        <f t="shared" si="125"/>
        <v>0.31326633165829143</v>
      </c>
      <c r="BN63" s="189">
        <f t="shared" si="125"/>
        <v>0.34952481520591344</v>
      </c>
      <c r="BO63" s="386">
        <f t="shared" si="125"/>
        <v>0.30305047964291881</v>
      </c>
      <c r="BP63" s="189">
        <f t="shared" si="125"/>
        <v>0.31436856314368561</v>
      </c>
      <c r="BQ63" s="189">
        <f t="shared" si="125"/>
        <v>0.30921175809773449</v>
      </c>
      <c r="BR63" s="189">
        <f t="shared" si="125"/>
        <v>0.33479212253829327</v>
      </c>
      <c r="BS63" s="189">
        <f t="shared" si="125"/>
        <v>0.34836485605143014</v>
      </c>
      <c r="BT63" s="386">
        <f t="shared" si="125"/>
        <v>0.32679045092838199</v>
      </c>
      <c r="BU63" s="189">
        <f t="shared" si="125"/>
        <v>0.32203389830508472</v>
      </c>
      <c r="BV63" s="189">
        <f t="shared" si="125"/>
        <v>0.31535019790053354</v>
      </c>
      <c r="BW63" s="189">
        <f t="shared" ref="BW63:CX63" si="126">BW83/BW$31</f>
        <v>0.33051404171456727</v>
      </c>
      <c r="BX63" s="189">
        <f t="shared" si="126"/>
        <v>0.29294243723208813</v>
      </c>
      <c r="BY63" s="386">
        <f t="shared" si="126"/>
        <v>0.31464258903995329</v>
      </c>
      <c r="BZ63" s="189">
        <f t="shared" si="126"/>
        <v>0.29364563001518107</v>
      </c>
      <c r="CA63" s="189">
        <f t="shared" si="126"/>
        <v>0.29470222349324371</v>
      </c>
      <c r="CB63" s="189">
        <f t="shared" si="126"/>
        <v>0.29344262295081969</v>
      </c>
      <c r="CC63" s="189">
        <f t="shared" si="126"/>
        <v>0.3037179806018403</v>
      </c>
      <c r="CD63" s="386">
        <f t="shared" si="126"/>
        <v>0.29661451216179285</v>
      </c>
      <c r="CE63" s="189">
        <f t="shared" si="126"/>
        <v>0.29799000951474791</v>
      </c>
      <c r="CF63" s="189">
        <f t="shared" si="126"/>
        <v>0.29155851484031148</v>
      </c>
      <c r="CG63" s="189">
        <f t="shared" si="126"/>
        <v>0.28759980446472216</v>
      </c>
      <c r="CH63" s="189">
        <f t="shared" si="126"/>
        <v>0.28540815309478723</v>
      </c>
      <c r="CI63" s="386">
        <f t="shared" si="126"/>
        <v>0.29035129767855922</v>
      </c>
      <c r="CJ63" s="189">
        <f t="shared" si="126"/>
        <v>0.27640579152436384</v>
      </c>
      <c r="CK63" s="189">
        <f t="shared" si="126"/>
        <v>0.27133458275114414</v>
      </c>
      <c r="CL63" s="189">
        <f t="shared" si="126"/>
        <v>0.26769942263314334</v>
      </c>
      <c r="CM63" s="189">
        <f t="shared" si="126"/>
        <v>0.2717067265335541</v>
      </c>
      <c r="CN63" s="386">
        <f t="shared" si="126"/>
        <v>0.27169515309046754</v>
      </c>
      <c r="CO63" s="189">
        <f t="shared" si="126"/>
        <v>0.26331442134611349</v>
      </c>
      <c r="CP63" s="189">
        <f t="shared" si="126"/>
        <v>0.26103482491432245</v>
      </c>
      <c r="CQ63" s="189">
        <f t="shared" si="126"/>
        <v>0.25831104838330488</v>
      </c>
      <c r="CR63" s="189">
        <f t="shared" si="126"/>
        <v>0.26354854411071887</v>
      </c>
      <c r="CS63" s="386">
        <f t="shared" si="126"/>
        <v>0.26154865790271953</v>
      </c>
      <c r="CT63" s="189">
        <f t="shared" si="126"/>
        <v>0.25702741126525791</v>
      </c>
      <c r="CU63" s="189">
        <f t="shared" si="126"/>
        <v>0.25551907896187454</v>
      </c>
      <c r="CV63" s="189">
        <f t="shared" si="126"/>
        <v>0.25250119981228353</v>
      </c>
      <c r="CW63" s="189">
        <f t="shared" si="126"/>
        <v>0.2573119484713251</v>
      </c>
      <c r="CX63" s="386">
        <f t="shared" si="126"/>
        <v>0.25558615859153877</v>
      </c>
      <c r="CY63" s="383"/>
      <c r="DA63" s="201"/>
      <c r="DB63" s="200"/>
      <c r="DC63" s="200"/>
    </row>
    <row r="64" spans="1:107">
      <c r="A64" s="205" t="s">
        <v>154</v>
      </c>
      <c r="B64" s="206"/>
      <c r="C64" s="206"/>
      <c r="D64" s="206"/>
      <c r="E64" s="206"/>
      <c r="F64" s="206"/>
      <c r="G64" s="206"/>
      <c r="H64" s="206"/>
      <c r="I64" s="206"/>
      <c r="J64" s="206"/>
      <c r="K64" s="206"/>
      <c r="L64" s="206"/>
      <c r="M64" s="205"/>
      <c r="N64" s="206"/>
      <c r="O64" s="206"/>
      <c r="P64" s="207"/>
      <c r="Q64" s="208"/>
      <c r="R64" s="206"/>
      <c r="S64" s="206"/>
      <c r="T64" s="206"/>
      <c r="U64" s="206"/>
      <c r="V64" s="208"/>
      <c r="W64" s="206"/>
      <c r="X64" s="206"/>
      <c r="Y64" s="206"/>
      <c r="Z64" s="206"/>
      <c r="AA64" s="208"/>
      <c r="AB64" s="206"/>
      <c r="AC64" s="206"/>
      <c r="AD64" s="206"/>
      <c r="AE64" s="206"/>
      <c r="AF64" s="208"/>
      <c r="AG64" s="363"/>
      <c r="AH64" s="363"/>
      <c r="AI64" s="363"/>
      <c r="AJ64" s="363"/>
      <c r="AK64" s="522"/>
      <c r="AL64" s="363"/>
      <c r="AM64" s="363"/>
      <c r="AN64" s="363"/>
      <c r="AO64" s="363"/>
      <c r="AP64" s="522"/>
      <c r="AQ64" s="189">
        <f t="shared" ref="AQ64:BV64" si="127">AQ24/AQ$31</f>
        <v>6.790437436419125E-2</v>
      </c>
      <c r="AR64" s="189">
        <f t="shared" si="127"/>
        <v>7.6202639421030241E-2</v>
      </c>
      <c r="AS64" s="189">
        <f t="shared" si="127"/>
        <v>7.0681003584229393E-2</v>
      </c>
      <c r="AT64" s="189">
        <f t="shared" si="127"/>
        <v>6.7740657599366164E-2</v>
      </c>
      <c r="AU64" s="387">
        <f t="shared" si="127"/>
        <v>7.0504769340439255E-2</v>
      </c>
      <c r="AV64" s="189">
        <f t="shared" si="127"/>
        <v>6.370094328636311E-2</v>
      </c>
      <c r="AW64" s="189">
        <f t="shared" si="127"/>
        <v>6.002120890774125E-2</v>
      </c>
      <c r="AX64" s="189">
        <f t="shared" si="127"/>
        <v>6.0385741694436029E-2</v>
      </c>
      <c r="AY64" s="189">
        <f t="shared" si="127"/>
        <v>5.4563492063492064E-2</v>
      </c>
      <c r="AZ64" s="386">
        <f t="shared" si="127"/>
        <v>5.9500000000000004E-2</v>
      </c>
      <c r="BA64" s="189">
        <f t="shared" si="127"/>
        <v>5.2252602899678896E-2</v>
      </c>
      <c r="BB64" s="189">
        <f t="shared" si="127"/>
        <v>5.2775605942142298E-2</v>
      </c>
      <c r="BC64" s="189">
        <f t="shared" si="127"/>
        <v>5.4875641531780497E-2</v>
      </c>
      <c r="BD64" s="189">
        <f t="shared" si="127"/>
        <v>4.7821558757160217E-2</v>
      </c>
      <c r="BE64" s="386">
        <f t="shared" si="127"/>
        <v>5.1798970661480447E-2</v>
      </c>
      <c r="BF64" s="189">
        <f t="shared" si="127"/>
        <v>5.2621507845388438E-2</v>
      </c>
      <c r="BG64" s="189">
        <f t="shared" si="127"/>
        <v>4.8916903409090905E-2</v>
      </c>
      <c r="BH64" s="189">
        <f t="shared" si="127"/>
        <v>5.007868184763492E-2</v>
      </c>
      <c r="BI64" s="189">
        <f t="shared" si="127"/>
        <v>4.534419975723946E-2</v>
      </c>
      <c r="BJ64" s="386">
        <f t="shared" si="127"/>
        <v>4.9145347649422272E-2</v>
      </c>
      <c r="BK64" s="189">
        <f t="shared" si="127"/>
        <v>5.1393987498759792E-2</v>
      </c>
      <c r="BL64" s="189">
        <f t="shared" si="127"/>
        <v>5.4527461652647206E-2</v>
      </c>
      <c r="BM64" s="189">
        <f t="shared" si="127"/>
        <v>4.693467336683417E-2</v>
      </c>
      <c r="BN64" s="189">
        <f t="shared" si="127"/>
        <v>4.4926562350004792E-2</v>
      </c>
      <c r="BO64" s="386">
        <f t="shared" si="127"/>
        <v>4.9419249833542948E-2</v>
      </c>
      <c r="BP64" s="189">
        <f t="shared" si="127"/>
        <v>4.4595540445955408E-2</v>
      </c>
      <c r="BQ64" s="189">
        <f t="shared" si="127"/>
        <v>4.334394308181988E-2</v>
      </c>
      <c r="BR64" s="189">
        <f t="shared" si="127"/>
        <v>4.7145414760294407E-2</v>
      </c>
      <c r="BS64" s="189">
        <f t="shared" si="127"/>
        <v>4.6957980061492592E-2</v>
      </c>
      <c r="BT64" s="386">
        <f t="shared" si="127"/>
        <v>4.5502773088979986E-2</v>
      </c>
      <c r="BU64" s="189">
        <f t="shared" si="127"/>
        <v>4.435629282365669E-2</v>
      </c>
      <c r="BV64" s="189">
        <f t="shared" si="127"/>
        <v>4.1473068318705911E-2</v>
      </c>
      <c r="BW64" s="189">
        <f t="shared" ref="BW64:CX64" si="128">BW24/BW$31</f>
        <v>3.7444572179339795E-2</v>
      </c>
      <c r="BX64" s="189">
        <f t="shared" si="128"/>
        <v>3.7048377219840778E-2</v>
      </c>
      <c r="BY64" s="386">
        <f t="shared" si="128"/>
        <v>3.9911585620151804E-2</v>
      </c>
      <c r="BZ64" s="189">
        <f t="shared" si="128"/>
        <v>3.2820067953444658E-2</v>
      </c>
      <c r="CA64" s="189">
        <f t="shared" si="128"/>
        <v>3.1028812468720954E-2</v>
      </c>
      <c r="CB64" s="189">
        <f t="shared" si="128"/>
        <v>3.0327868852459014E-2</v>
      </c>
      <c r="CC64" s="189">
        <f t="shared" si="128"/>
        <v>2.7169858244217856E-2</v>
      </c>
      <c r="CD64" s="386">
        <f t="shared" si="128"/>
        <v>3.0216589232030609E-2</v>
      </c>
      <c r="CE64" s="189">
        <f t="shared" si="128"/>
        <v>2.5214081826831589E-2</v>
      </c>
      <c r="CF64" s="189">
        <f t="shared" si="128"/>
        <v>2.4545762329308204E-2</v>
      </c>
      <c r="CG64" s="189">
        <f t="shared" si="128"/>
        <v>2.2486556949649666E-2</v>
      </c>
      <c r="CH64" s="189">
        <f t="shared" si="128"/>
        <v>2.1728296621150205E-2</v>
      </c>
      <c r="CI64" s="386">
        <f t="shared" si="128"/>
        <v>2.3406149421351777E-2</v>
      </c>
      <c r="CJ64" s="189">
        <f t="shared" si="128"/>
        <v>2.1059214007407762E-2</v>
      </c>
      <c r="CK64" s="189">
        <f t="shared" si="128"/>
        <v>1.932357099218461E-2</v>
      </c>
      <c r="CL64" s="189">
        <f t="shared" si="128"/>
        <v>1.7687486968085243E-2</v>
      </c>
      <c r="CM64" s="189">
        <f t="shared" si="128"/>
        <v>1.5996607215652284E-2</v>
      </c>
      <c r="CN64" s="386">
        <f t="shared" si="128"/>
        <v>1.8423166767354789E-2</v>
      </c>
      <c r="CO64" s="189">
        <f t="shared" si="128"/>
        <v>1.5485796150087851E-2</v>
      </c>
      <c r="CP64" s="189">
        <f t="shared" si="128"/>
        <v>1.427363896383646E-2</v>
      </c>
      <c r="CQ64" s="189">
        <f t="shared" si="128"/>
        <v>1.304093795950928E-2</v>
      </c>
      <c r="CR64" s="189">
        <f t="shared" si="128"/>
        <v>1.1800786774834225E-2</v>
      </c>
      <c r="CS64" s="386">
        <f t="shared" si="128"/>
        <v>1.3583084504132913E-2</v>
      </c>
      <c r="CT64" s="189">
        <f t="shared" si="128"/>
        <v>1.1491488717535173E-2</v>
      </c>
      <c r="CU64" s="189">
        <f t="shared" si="128"/>
        <v>1.0666633829165877E-2</v>
      </c>
      <c r="CV64" s="189">
        <f t="shared" si="128"/>
        <v>9.8209187354575192E-3</v>
      </c>
      <c r="CW64" s="189">
        <f t="shared" si="128"/>
        <v>8.9529168102258673E-3</v>
      </c>
      <c r="CX64" s="386">
        <f t="shared" si="128"/>
        <v>1.0194539038902271E-2</v>
      </c>
      <c r="CY64" s="383"/>
      <c r="DA64" s="201"/>
      <c r="DB64" s="200"/>
      <c r="DC64" s="200"/>
    </row>
    <row r="65" spans="1:107">
      <c r="A65" s="49"/>
      <c r="B65" s="21"/>
      <c r="C65" s="21"/>
      <c r="D65" s="21"/>
      <c r="E65" s="21"/>
      <c r="F65" s="21"/>
      <c r="G65" s="21"/>
      <c r="H65" s="21"/>
      <c r="I65" s="21"/>
      <c r="J65" s="21"/>
      <c r="K65" s="21"/>
      <c r="L65" s="21"/>
      <c r="M65" s="49"/>
      <c r="N65" s="21"/>
      <c r="O65" s="21"/>
      <c r="P65" s="51"/>
      <c r="Q65" s="50"/>
      <c r="R65" s="21"/>
      <c r="S65" s="21"/>
      <c r="T65" s="21"/>
      <c r="U65" s="21"/>
      <c r="V65" s="50"/>
      <c r="W65" s="21"/>
      <c r="X65" s="21"/>
      <c r="Y65" s="21"/>
      <c r="Z65" s="21"/>
      <c r="AA65" s="50"/>
      <c r="AB65" s="21"/>
      <c r="AC65" s="21"/>
      <c r="AD65" s="21"/>
      <c r="AE65" s="21"/>
      <c r="AF65" s="50"/>
      <c r="AG65" s="1863"/>
      <c r="AH65" s="1863"/>
      <c r="AI65" s="1863"/>
      <c r="AJ65" s="1863"/>
      <c r="AK65" s="68"/>
      <c r="AL65" s="1863"/>
      <c r="AM65" s="1863"/>
      <c r="AN65" s="1863"/>
      <c r="AO65" s="1863"/>
      <c r="AP65" s="68"/>
      <c r="AQ65" s="1863"/>
      <c r="AR65" s="1720"/>
      <c r="AS65" s="1720"/>
      <c r="AT65" s="1720"/>
      <c r="AU65" s="453"/>
      <c r="AV65" s="1863"/>
      <c r="AW65" s="1863"/>
      <c r="AX65" s="1720"/>
      <c r="AY65" s="1720"/>
      <c r="AZ65" s="68"/>
      <c r="BA65" s="1720"/>
      <c r="BB65" s="1720"/>
      <c r="BC65" s="1720"/>
      <c r="BD65" s="1720"/>
      <c r="BE65" s="453"/>
      <c r="BF65" s="1863"/>
      <c r="BG65" s="1720"/>
      <c r="BH65" s="1720"/>
      <c r="BI65" s="1720"/>
      <c r="BJ65" s="453"/>
      <c r="BK65" s="1720"/>
      <c r="BL65" s="1720"/>
      <c r="BM65" s="1720"/>
      <c r="BN65" s="1720"/>
      <c r="BO65" s="453"/>
      <c r="BP65" s="1720"/>
      <c r="BQ65" s="1720"/>
      <c r="BR65" s="1720"/>
      <c r="BS65" s="1720"/>
      <c r="BT65" s="453"/>
      <c r="BU65" s="1720"/>
      <c r="BV65" s="1720"/>
      <c r="BW65" s="1720"/>
      <c r="BX65" s="1720"/>
      <c r="BY65" s="453"/>
      <c r="BZ65" s="1720"/>
      <c r="CA65" s="1720"/>
      <c r="CB65" s="1720"/>
      <c r="CC65" s="1863"/>
      <c r="CD65" s="68"/>
      <c r="CE65" s="1863"/>
      <c r="CF65" s="1864"/>
      <c r="CG65" s="1863"/>
      <c r="CH65" s="1863"/>
      <c r="CI65" s="453"/>
      <c r="CJ65" s="1720"/>
      <c r="CK65" s="1720"/>
      <c r="CL65" s="1720"/>
      <c r="CM65" s="1720"/>
      <c r="CN65" s="453"/>
      <c r="CO65" s="1720"/>
      <c r="CP65" s="1720"/>
      <c r="CQ65" s="1720"/>
      <c r="CR65" s="1720"/>
      <c r="CS65" s="453"/>
      <c r="CT65" s="1720"/>
      <c r="CU65" s="1720"/>
      <c r="CV65" s="1720"/>
      <c r="CW65" s="1720"/>
      <c r="CX65" s="453"/>
      <c r="CY65" s="1720"/>
      <c r="DA65" s="25"/>
      <c r="DB65" s="19"/>
      <c r="DC65" s="19"/>
    </row>
    <row r="66" spans="1:107">
      <c r="A66" s="1865" t="s">
        <v>413</v>
      </c>
      <c r="B66" s="1809"/>
      <c r="C66" s="524"/>
      <c r="D66" s="525"/>
      <c r="E66" s="525"/>
      <c r="F66" s="526"/>
      <c r="G66" s="527"/>
      <c r="H66" s="524"/>
      <c r="I66" s="525"/>
      <c r="J66" s="525"/>
      <c r="K66" s="526"/>
      <c r="L66" s="524"/>
      <c r="M66" s="524"/>
      <c r="N66" s="525"/>
      <c r="O66" s="525"/>
      <c r="P66" s="526"/>
      <c r="Q66" s="527"/>
      <c r="R66" s="525"/>
      <c r="S66" s="525"/>
      <c r="T66" s="525"/>
      <c r="U66" s="525"/>
      <c r="V66" s="527"/>
      <c r="W66" s="525"/>
      <c r="X66" s="525"/>
      <c r="Y66" s="525"/>
      <c r="Z66" s="525"/>
      <c r="AA66" s="527"/>
      <c r="AB66" s="525"/>
      <c r="AC66" s="525"/>
      <c r="AD66" s="525"/>
      <c r="AE66" s="525"/>
      <c r="AF66" s="527"/>
      <c r="AG66" s="525"/>
      <c r="AH66" s="525"/>
      <c r="AI66" s="525"/>
      <c r="AJ66" s="525"/>
      <c r="AK66" s="527"/>
      <c r="AL66" s="525"/>
      <c r="AM66" s="525"/>
      <c r="AN66" s="525"/>
      <c r="AO66" s="525"/>
      <c r="AP66" s="527"/>
      <c r="AQ66" s="525"/>
      <c r="AR66" s="1866"/>
      <c r="AS66" s="1866"/>
      <c r="AT66" s="1866"/>
      <c r="AU66" s="528"/>
      <c r="AV66" s="525"/>
      <c r="AW66" s="525"/>
      <c r="AX66" s="525"/>
      <c r="AY66" s="1866"/>
      <c r="AZ66" s="528"/>
      <c r="BA66" s="1866"/>
      <c r="BB66" s="1866"/>
      <c r="BC66" s="1867"/>
      <c r="BD66" s="1866"/>
      <c r="BE66" s="528"/>
      <c r="BF66" s="1867"/>
      <c r="BG66" s="1866"/>
      <c r="BH66" s="1866"/>
      <c r="BI66" s="1866"/>
      <c r="BJ66" s="528"/>
      <c r="BK66" s="1866"/>
      <c r="BL66" s="1866"/>
      <c r="BM66" s="1866"/>
      <c r="BN66" s="1866"/>
      <c r="BO66" s="1332"/>
      <c r="BP66" s="1866"/>
      <c r="BQ66" s="1866"/>
      <c r="BR66" s="1866"/>
      <c r="BS66" s="1866"/>
      <c r="BT66" s="1332"/>
      <c r="BU66" s="1866"/>
      <c r="BV66" s="1866"/>
      <c r="BW66" s="1866"/>
      <c r="BX66" s="1866"/>
      <c r="BY66" s="1332"/>
      <c r="BZ66" s="1866"/>
      <c r="CA66" s="1866"/>
      <c r="CB66" s="1866"/>
      <c r="CC66" s="1867"/>
      <c r="CD66" s="527"/>
      <c r="CE66" s="1867"/>
      <c r="CF66" s="1867"/>
      <c r="CG66" s="1867"/>
      <c r="CH66" s="1867"/>
      <c r="CI66" s="528"/>
      <c r="CJ66" s="1866"/>
      <c r="CK66" s="1866"/>
      <c r="CL66" s="1866"/>
      <c r="CM66" s="1866"/>
      <c r="CN66" s="528"/>
      <c r="CO66" s="1866"/>
      <c r="CP66" s="1866"/>
      <c r="CQ66" s="1866"/>
      <c r="CR66" s="1866"/>
      <c r="CS66" s="528"/>
      <c r="CT66" s="1866"/>
      <c r="CU66" s="1866"/>
      <c r="CV66" s="1866"/>
      <c r="CW66" s="1866"/>
      <c r="CX66" s="528"/>
      <c r="CY66" s="1721"/>
      <c r="DA66" s="201"/>
      <c r="DB66" s="200"/>
      <c r="DC66" s="200"/>
    </row>
    <row r="67" spans="1:107">
      <c r="A67" s="205"/>
      <c r="B67" s="206"/>
      <c r="C67" s="205"/>
      <c r="D67" s="206"/>
      <c r="E67" s="206"/>
      <c r="F67" s="207"/>
      <c r="G67" s="208"/>
      <c r="H67" s="205"/>
      <c r="I67" s="206"/>
      <c r="J67" s="206"/>
      <c r="K67" s="207"/>
      <c r="L67" s="205"/>
      <c r="M67" s="205"/>
      <c r="N67" s="206"/>
      <c r="O67" s="206"/>
      <c r="P67" s="207"/>
      <c r="Q67" s="208"/>
      <c r="R67" s="206"/>
      <c r="S67" s="206"/>
      <c r="T67" s="206"/>
      <c r="U67" s="206"/>
      <c r="V67" s="208"/>
      <c r="W67" s="206"/>
      <c r="X67" s="206"/>
      <c r="Y67" s="206"/>
      <c r="Z67" s="206"/>
      <c r="AA67" s="208"/>
      <c r="AB67" s="206"/>
      <c r="AC67" s="206"/>
      <c r="AD67" s="206"/>
      <c r="AE67" s="206"/>
      <c r="AF67" s="208"/>
      <c r="AG67" s="363"/>
      <c r="AH67" s="363"/>
      <c r="AI67" s="363"/>
      <c r="AJ67" s="363"/>
      <c r="AK67" s="522"/>
      <c r="AL67" s="363"/>
      <c r="AM67" s="363"/>
      <c r="AN67" s="363"/>
      <c r="AO67" s="363"/>
      <c r="AP67" s="522"/>
      <c r="AQ67" s="363"/>
      <c r="AR67" s="1348"/>
      <c r="AS67" s="1348"/>
      <c r="AT67" s="1348"/>
      <c r="AU67" s="523"/>
      <c r="AV67" s="363"/>
      <c r="AW67" s="363"/>
      <c r="AX67" s="363"/>
      <c r="AY67" s="1348"/>
      <c r="AZ67" s="523"/>
      <c r="BA67" s="1348"/>
      <c r="BB67" s="1348"/>
      <c r="BC67" s="363"/>
      <c r="BD67" s="1348"/>
      <c r="BE67" s="523"/>
      <c r="BF67" s="363"/>
      <c r="BG67" s="1348"/>
      <c r="BH67" s="1348"/>
      <c r="BI67" s="1348"/>
      <c r="BJ67" s="523"/>
      <c r="BK67" s="1348"/>
      <c r="BL67" s="1348"/>
      <c r="BM67" s="1348"/>
      <c r="BN67" s="1348"/>
      <c r="BO67" s="523"/>
      <c r="BP67" s="1348"/>
      <c r="BQ67" s="1348"/>
      <c r="BR67" s="1348"/>
      <c r="BS67" s="1348"/>
      <c r="BT67" s="523"/>
      <c r="BU67" s="1348"/>
      <c r="BV67" s="1348"/>
      <c r="BW67" s="1348"/>
      <c r="BX67" s="1348"/>
      <c r="BY67" s="523"/>
      <c r="BZ67" s="1348"/>
      <c r="CA67" s="1348"/>
      <c r="CB67" s="1348"/>
      <c r="CC67" s="363"/>
      <c r="CD67" s="522"/>
      <c r="CE67" s="363"/>
      <c r="CF67" s="363"/>
      <c r="CG67" s="363"/>
      <c r="CH67" s="363"/>
      <c r="CI67" s="523"/>
      <c r="CJ67" s="1348"/>
      <c r="CK67" s="1348"/>
      <c r="CL67" s="1348"/>
      <c r="CM67" s="1348"/>
      <c r="CN67" s="523"/>
      <c r="CO67" s="1348"/>
      <c r="CP67" s="1348"/>
      <c r="CQ67" s="1348"/>
      <c r="CR67" s="1348"/>
      <c r="CS67" s="523"/>
      <c r="CT67" s="1348"/>
      <c r="CU67" s="1348"/>
      <c r="CV67" s="1348"/>
      <c r="CW67" s="1348"/>
      <c r="CX67" s="523"/>
      <c r="CY67" s="1348"/>
      <c r="DA67" s="201"/>
      <c r="DB67" s="200"/>
      <c r="DC67" s="200"/>
    </row>
    <row r="68" spans="1:107">
      <c r="A68" s="676" t="s">
        <v>412</v>
      </c>
      <c r="B68" s="1123"/>
      <c r="C68" s="672"/>
      <c r="D68" s="673"/>
      <c r="E68" s="673"/>
      <c r="F68" s="674"/>
      <c r="G68" s="675"/>
      <c r="H68" s="672">
        <f>H225+H229+H241+H245-H72</f>
        <v>267.89599999999996</v>
      </c>
      <c r="I68" s="673">
        <f>I225+I229+I241+I245-I72</f>
        <v>316.25400000000002</v>
      </c>
      <c r="J68" s="673">
        <f>J225+J229+J241+J245-J72</f>
        <v>280.49599999999998</v>
      </c>
      <c r="K68" s="674">
        <f>K225+K229+K241+K245-K72</f>
        <v>288.53500000000003</v>
      </c>
      <c r="L68" s="676">
        <f>SUM(H68:K68)</f>
        <v>1153.181</v>
      </c>
      <c r="M68" s="672">
        <f>M225+M229+M241+M245-M72</f>
        <v>290.75500000000005</v>
      </c>
      <c r="N68" s="673">
        <f>N225+N229+N241+N245-N72</f>
        <v>314.14999999999998</v>
      </c>
      <c r="O68" s="673">
        <f>O225+O229+O241+O245-O72</f>
        <v>312.63300000000004</v>
      </c>
      <c r="P68" s="674">
        <f>P225+P229+P241+P245-P72</f>
        <v>351.41700000000003</v>
      </c>
      <c r="Q68" s="675">
        <f>SUM(M68:P68)</f>
        <v>1268.9549999999999</v>
      </c>
      <c r="R68" s="673">
        <f>R225+R229+R241+R245-R72</f>
        <v>415.75200000000001</v>
      </c>
      <c r="S68" s="673">
        <f>S225+S229+S241+S245-S72</f>
        <v>402.553</v>
      </c>
      <c r="T68" s="673">
        <f>T225+T229+T241+T245-T72</f>
        <v>395.45000000000005</v>
      </c>
      <c r="U68" s="673">
        <f>U225+U229+U241+U245-U72</f>
        <v>420.22299999999996</v>
      </c>
      <c r="V68" s="675">
        <f>SUM(R68:U68)</f>
        <v>1633.9780000000001</v>
      </c>
      <c r="W68" s="673">
        <f>W225+W229+W241+W245-W72</f>
        <v>463.14700000000005</v>
      </c>
      <c r="X68" s="673">
        <f>X225+X229+X241+X245-X72</f>
        <v>485.62000000000006</v>
      </c>
      <c r="Y68" s="673">
        <f>Y225+Y229+Y241+Y245-Y72</f>
        <v>476.05399999999997</v>
      </c>
      <c r="Z68" s="673">
        <f>Z225+Z229+Z241+Z245-Z72</f>
        <v>498.45699999999994</v>
      </c>
      <c r="AA68" s="675">
        <f>SUM(W68:Z68)</f>
        <v>1923.2779999999998</v>
      </c>
      <c r="AB68" s="673">
        <f>AB185-AB72</f>
        <v>636.82299999999998</v>
      </c>
      <c r="AC68" s="673">
        <f>AC185-AC72</f>
        <v>614.83899999999994</v>
      </c>
      <c r="AD68" s="673">
        <f>AD185-AD72</f>
        <v>579.19400000000019</v>
      </c>
      <c r="AE68" s="673">
        <f>AE185-AE72</f>
        <v>653.83000000000004</v>
      </c>
      <c r="AF68" s="675">
        <f>SUM(AB68:AE68)</f>
        <v>2484.6860000000001</v>
      </c>
      <c r="AG68" s="1124">
        <f>AG185-AG72</f>
        <v>620.29100000000005</v>
      </c>
      <c r="AH68" s="1124">
        <f>AH185-AH72</f>
        <v>713.49400000000014</v>
      </c>
      <c r="AI68" s="1124">
        <f>AI185-AI72</f>
        <v>813.39599999999996</v>
      </c>
      <c r="AJ68" s="1124">
        <f>AJ185-AJ72</f>
        <v>872.36399999999992</v>
      </c>
      <c r="AK68" s="675">
        <f>SUM(AG68:AJ68)</f>
        <v>3019.5450000000005</v>
      </c>
      <c r="AL68" s="1124">
        <f>AL185-AL72</f>
        <v>851.91700000000014</v>
      </c>
      <c r="AM68" s="1124">
        <f>AM185-AM72</f>
        <v>841.31500000000005</v>
      </c>
      <c r="AN68" s="1124">
        <f>AN185-AN72</f>
        <v>838.85600000000011</v>
      </c>
      <c r="AO68" s="1124">
        <f>AO185-AO72</f>
        <v>864.46500000000003</v>
      </c>
      <c r="AP68" s="675">
        <f>SUM(AL68:AO68)</f>
        <v>3396.5530000000003</v>
      </c>
      <c r="AQ68" s="1124">
        <f>AQ115-AQ72</f>
        <v>742.20900000000006</v>
      </c>
      <c r="AR68" s="1124">
        <f>AR115-AR72</f>
        <v>660.08199999999999</v>
      </c>
      <c r="AS68" s="1124">
        <f>AS115-AS72</f>
        <v>649.85799999999995</v>
      </c>
      <c r="AT68" s="1124">
        <f>AT115-AT72</f>
        <v>707.28899999999999</v>
      </c>
      <c r="AU68" s="675">
        <f>SUM(AQ68:AT68)</f>
        <v>2759.4380000000001</v>
      </c>
      <c r="AV68" s="1124">
        <f>AV31-AV72</f>
        <v>799.44500000000005</v>
      </c>
      <c r="AW68" s="1124">
        <f>AW31-AW72</f>
        <v>887.50400000000002</v>
      </c>
      <c r="AX68" s="1124">
        <f>AX31-AX72</f>
        <v>927.70899999999995</v>
      </c>
      <c r="AY68" s="1124">
        <f>AY31-AY72</f>
        <v>931.30799999999999</v>
      </c>
      <c r="AZ68" s="675">
        <f>SUM(AV68:AY68)</f>
        <v>3545.9659999999999</v>
      </c>
      <c r="BA68" s="1124">
        <f>BA31-BA72</f>
        <v>948.85400000000004</v>
      </c>
      <c r="BB68" s="1124">
        <f>BB31-BB72</f>
        <v>939.471</v>
      </c>
      <c r="BC68" s="1124">
        <f>BC31-BC72</f>
        <v>926.46300000000008</v>
      </c>
      <c r="BD68" s="1124">
        <f>BD31-BD72</f>
        <v>1060.3710000000001</v>
      </c>
      <c r="BE68" s="675">
        <f>SUM(BA68:BD68)</f>
        <v>3875.1590000000001</v>
      </c>
      <c r="BF68" s="1124">
        <f>BF31-BF72</f>
        <v>954.73099999999999</v>
      </c>
      <c r="BG68" s="1124">
        <f>BG31-BG72</f>
        <v>1032.4920000000002</v>
      </c>
      <c r="BH68" s="1124">
        <f>BH31-BH72</f>
        <v>983.09699999999998</v>
      </c>
      <c r="BI68" s="1124">
        <f>BI31-BI72</f>
        <v>1047.3520000000001</v>
      </c>
      <c r="BJ68" s="675">
        <f>SUM(BF68:BI68)</f>
        <v>4017.6720000000005</v>
      </c>
      <c r="BK68" s="1124">
        <f>BK31-BK72</f>
        <v>900.08199999999999</v>
      </c>
      <c r="BL68" s="1124">
        <f>BL31-BL72</f>
        <v>899.37099999999998</v>
      </c>
      <c r="BM68" s="1124">
        <f>BM31-BM72</f>
        <v>881.40499999999997</v>
      </c>
      <c r="BN68" s="1124">
        <f>BN31-BN72</f>
        <v>926.95600000000002</v>
      </c>
      <c r="BO68" s="675">
        <f>SUM(BK68:BN68)</f>
        <v>3607.8140000000003</v>
      </c>
      <c r="BP68" s="1124">
        <f>BP31-BP72</f>
        <v>894.99700000000007</v>
      </c>
      <c r="BQ68" s="1124">
        <f>BQ31-BQ72</f>
        <v>955.93299999999999</v>
      </c>
      <c r="BR68" s="1124">
        <f>BR31-BR72</f>
        <v>896.51499999999999</v>
      </c>
      <c r="BS68" s="1124">
        <f>BS31-BS72</f>
        <v>956.87699999999995</v>
      </c>
      <c r="BT68" s="675">
        <f>SUM(BP68:BS68)</f>
        <v>3704.3220000000001</v>
      </c>
      <c r="BU68" s="1124">
        <f>BU31-BU72</f>
        <v>1004.235</v>
      </c>
      <c r="BV68" s="1124">
        <f>BV31-BV72</f>
        <v>1048.5429999999999</v>
      </c>
      <c r="BW68" s="1124">
        <f>BW31-BW72</f>
        <v>1104.4349999999999</v>
      </c>
      <c r="BX68" s="1124">
        <f>BX31-BX72</f>
        <v>1191.9260000000002</v>
      </c>
      <c r="BY68" s="675">
        <f>SUM(BU68:BX68)</f>
        <v>4349.1390000000001</v>
      </c>
      <c r="BZ68" s="1124">
        <f>BZ31-BZ72</f>
        <v>1271.327</v>
      </c>
      <c r="CA68" s="1124">
        <f>CA31-CA72</f>
        <v>1280.1990000000001</v>
      </c>
      <c r="CB68" s="1124">
        <f>CB31-CB72</f>
        <v>1349.595</v>
      </c>
      <c r="CC68" s="1124">
        <f>CC31-CC72</f>
        <v>1484.18</v>
      </c>
      <c r="CD68" s="675">
        <f>SUM(BZ68:CC68)</f>
        <v>5385.3010000000004</v>
      </c>
      <c r="CE68" s="1124">
        <f>CE31-CE72</f>
        <v>1567.1949999999999</v>
      </c>
      <c r="CF68" s="1124">
        <f>CF31-CF72</f>
        <v>1655.2450000000001</v>
      </c>
      <c r="CG68" s="1124">
        <f>CG31-CG72</f>
        <v>1729.3229999999999</v>
      </c>
      <c r="CH68" s="1124">
        <f>CH31-CH72</f>
        <v>1888.8679999999999</v>
      </c>
      <c r="CI68" s="675">
        <f>SUM(CE68:CH68)</f>
        <v>6840.6309999999994</v>
      </c>
      <c r="CJ68" s="1124">
        <f>CJ31-CJ72</f>
        <v>1964.9190000000001</v>
      </c>
      <c r="CK68" s="1868">
        <f>CK31-CK72</f>
        <v>2036.4884754174134</v>
      </c>
      <c r="CL68" s="1868">
        <f>CL31-CL72</f>
        <v>2131.5950782313034</v>
      </c>
      <c r="CM68" s="1868">
        <f>CM31-CM72</f>
        <v>2246.7952244037228</v>
      </c>
      <c r="CN68" s="678">
        <f>SUM(CJ68:CM68)</f>
        <v>8379.7977780524398</v>
      </c>
      <c r="CO68" s="1868">
        <f>CO31-CO72</f>
        <v>2342.5170289821172</v>
      </c>
      <c r="CP68" s="1868">
        <f>CP31-CP72</f>
        <v>2417.6140307055321</v>
      </c>
      <c r="CQ68" s="1868">
        <f>CQ31-CQ72</f>
        <v>2535.2688588054853</v>
      </c>
      <c r="CR68" s="1868">
        <f>CR31-CR72</f>
        <v>2670.8521989355031</v>
      </c>
      <c r="CS68" s="678">
        <f>SUM(CO68:CR68)</f>
        <v>9966.2521174286376</v>
      </c>
      <c r="CT68" s="1868">
        <f>CT31-CT72</f>
        <v>2768.5490984752287</v>
      </c>
      <c r="CU68" s="1868">
        <f>CU31-CU72</f>
        <v>2837.4665335379486</v>
      </c>
      <c r="CV68" s="1868">
        <f>CV31-CV72</f>
        <v>2952.8410922287126</v>
      </c>
      <c r="CW68" s="1868">
        <f>CW31-CW72</f>
        <v>3087.9675000777352</v>
      </c>
      <c r="CX68" s="678">
        <f>SUM(CT68:CW68)</f>
        <v>11646.824224319626</v>
      </c>
      <c r="CY68" s="1722"/>
      <c r="DA68" s="201"/>
      <c r="DB68" s="677"/>
      <c r="DC68" s="677"/>
    </row>
    <row r="69" spans="1:107">
      <c r="A69" s="1869" t="s">
        <v>622</v>
      </c>
      <c r="B69" s="1870"/>
      <c r="C69" s="205"/>
      <c r="D69" s="206"/>
      <c r="E69" s="206"/>
      <c r="F69" s="530"/>
      <c r="G69" s="208"/>
      <c r="H69" s="531" t="s">
        <v>131</v>
      </c>
      <c r="I69" s="532" t="s">
        <v>131</v>
      </c>
      <c r="J69" s="532" t="s">
        <v>131</v>
      </c>
      <c r="K69" s="530" t="s">
        <v>131</v>
      </c>
      <c r="L69" s="531" t="s">
        <v>131</v>
      </c>
      <c r="M69" s="235">
        <f t="shared" ref="M69:BB69" si="129">M68/H68-1</f>
        <v>8.5327888434318266E-2</v>
      </c>
      <c r="N69" s="164">
        <f t="shared" si="129"/>
        <v>-6.6528802797752862E-3</v>
      </c>
      <c r="O69" s="164">
        <f t="shared" si="129"/>
        <v>0.11457204380811148</v>
      </c>
      <c r="P69" s="236">
        <f t="shared" si="129"/>
        <v>0.21793543244320457</v>
      </c>
      <c r="Q69" s="237">
        <f t="shared" si="129"/>
        <v>0.10039534123437677</v>
      </c>
      <c r="R69" s="164">
        <f t="shared" si="129"/>
        <v>0.42990490275317694</v>
      </c>
      <c r="S69" s="164">
        <f t="shared" si="129"/>
        <v>0.28140378799936339</v>
      </c>
      <c r="T69" s="164">
        <f t="shared" si="129"/>
        <v>0.26490165785441722</v>
      </c>
      <c r="U69" s="164">
        <f t="shared" si="129"/>
        <v>0.19579587783174945</v>
      </c>
      <c r="V69" s="237">
        <f t="shared" si="129"/>
        <v>0.28765637867379068</v>
      </c>
      <c r="W69" s="164">
        <f t="shared" si="129"/>
        <v>0.11399824895610844</v>
      </c>
      <c r="X69" s="164">
        <f t="shared" si="129"/>
        <v>0.20635046813711511</v>
      </c>
      <c r="Y69" s="164">
        <f t="shared" si="129"/>
        <v>0.20382854975344533</v>
      </c>
      <c r="Z69" s="164">
        <f t="shared" si="129"/>
        <v>0.18617257979691737</v>
      </c>
      <c r="AA69" s="237">
        <f t="shared" si="129"/>
        <v>0.17705256741522812</v>
      </c>
      <c r="AB69" s="164">
        <f t="shared" si="129"/>
        <v>0.37499109354049565</v>
      </c>
      <c r="AC69" s="164">
        <f t="shared" si="129"/>
        <v>0.266090770561344</v>
      </c>
      <c r="AD69" s="164">
        <f t="shared" si="129"/>
        <v>0.21665609363643656</v>
      </c>
      <c r="AE69" s="164">
        <f t="shared" si="129"/>
        <v>0.31170793067406044</v>
      </c>
      <c r="AF69" s="237">
        <f t="shared" si="129"/>
        <v>0.29190163876465092</v>
      </c>
      <c r="AG69" s="164">
        <f t="shared" si="129"/>
        <v>-2.5960117646504521E-2</v>
      </c>
      <c r="AH69" s="164">
        <f t="shared" si="129"/>
        <v>0.16045663986832359</v>
      </c>
      <c r="AI69" s="164">
        <f t="shared" si="129"/>
        <v>0.40435847056426644</v>
      </c>
      <c r="AJ69" s="164">
        <f t="shared" si="129"/>
        <v>0.33423672820152017</v>
      </c>
      <c r="AK69" s="237">
        <f t="shared" si="129"/>
        <v>0.21526221019476921</v>
      </c>
      <c r="AL69" s="164">
        <f t="shared" si="129"/>
        <v>0.37341505841613065</v>
      </c>
      <c r="AM69" s="164">
        <f t="shared" si="129"/>
        <v>0.17914796760729579</v>
      </c>
      <c r="AN69" s="164">
        <f t="shared" si="129"/>
        <v>3.1300866982380215E-2</v>
      </c>
      <c r="AO69" s="164">
        <f t="shared" si="129"/>
        <v>-9.0547065215894618E-3</v>
      </c>
      <c r="AP69" s="237">
        <f t="shared" si="129"/>
        <v>0.12485589716331424</v>
      </c>
      <c r="AQ69" s="164">
        <f t="shared" si="129"/>
        <v>-0.12877780347146506</v>
      </c>
      <c r="AR69" s="164">
        <f t="shared" si="129"/>
        <v>-0.21541634227370254</v>
      </c>
      <c r="AS69" s="164">
        <f t="shared" si="129"/>
        <v>-0.22530446226765988</v>
      </c>
      <c r="AT69" s="164">
        <f t="shared" si="129"/>
        <v>-0.18181881279172674</v>
      </c>
      <c r="AU69" s="237">
        <f t="shared" si="129"/>
        <v>-0.18757693461577085</v>
      </c>
      <c r="AV69" s="164">
        <f t="shared" si="129"/>
        <v>7.7115745025996718E-2</v>
      </c>
      <c r="AW69" s="164">
        <f t="shared" si="129"/>
        <v>0.34453598189315882</v>
      </c>
      <c r="AX69" s="164">
        <f t="shared" si="129"/>
        <v>0.42755648156981985</v>
      </c>
      <c r="AY69" s="164">
        <f t="shared" si="129"/>
        <v>0.31672908810966938</v>
      </c>
      <c r="AZ69" s="237">
        <f t="shared" si="129"/>
        <v>0.28503195215837418</v>
      </c>
      <c r="BA69" s="164">
        <f t="shared" si="129"/>
        <v>0.18689090556573618</v>
      </c>
      <c r="BB69" s="164">
        <f t="shared" si="129"/>
        <v>5.8554102291370036E-2</v>
      </c>
      <c r="BC69" s="164">
        <f t="shared" ref="BC69:BK69" si="130">BC68/AX68-1</f>
        <v>-1.3430935778351305E-3</v>
      </c>
      <c r="BD69" s="164">
        <f t="shared" si="130"/>
        <v>0.13858250976046604</v>
      </c>
      <c r="BE69" s="237">
        <f t="shared" si="130"/>
        <v>9.2835915516392475E-2</v>
      </c>
      <c r="BF69" s="164">
        <f t="shared" si="130"/>
        <v>6.1937874530748616E-3</v>
      </c>
      <c r="BG69" s="164">
        <f t="shared" si="130"/>
        <v>9.9014232477639297E-2</v>
      </c>
      <c r="BH69" s="164">
        <f t="shared" si="130"/>
        <v>6.1129262582531485E-2</v>
      </c>
      <c r="BI69" s="164">
        <f t="shared" si="130"/>
        <v>-1.2277778249310867E-2</v>
      </c>
      <c r="BJ69" s="237">
        <f t="shared" si="130"/>
        <v>3.677603938315821E-2</v>
      </c>
      <c r="BK69" s="164">
        <f t="shared" si="130"/>
        <v>-5.7240206927396287E-2</v>
      </c>
      <c r="BL69" s="164">
        <f t="shared" ref="BL69:BU69" si="131">BL68/BG68-1</f>
        <v>-0.12893174959224885</v>
      </c>
      <c r="BM69" s="164">
        <f t="shared" si="131"/>
        <v>-0.10344045399385815</v>
      </c>
      <c r="BN69" s="164">
        <f t="shared" si="131"/>
        <v>-0.11495275704825125</v>
      </c>
      <c r="BO69" s="237">
        <f t="shared" si="131"/>
        <v>-0.10201380301826535</v>
      </c>
      <c r="BP69" s="164">
        <f t="shared" si="131"/>
        <v>-5.6494852691197917E-3</v>
      </c>
      <c r="BQ69" s="164">
        <f>BQ68/BL68-1</f>
        <v>6.2890620222355365E-2</v>
      </c>
      <c r="BR69" s="164">
        <f t="shared" si="131"/>
        <v>1.7143084053301338E-2</v>
      </c>
      <c r="BS69" s="164">
        <f>BS68/BN68-1</f>
        <v>3.2278770513379129E-2</v>
      </c>
      <c r="BT69" s="237">
        <f t="shared" si="131"/>
        <v>2.6749716033032778E-2</v>
      </c>
      <c r="BU69" s="164">
        <f t="shared" si="131"/>
        <v>0.12205404040460466</v>
      </c>
      <c r="BV69" s="164">
        <f>BV68/BQ68-1</f>
        <v>9.6879174586503414E-2</v>
      </c>
      <c r="BW69" s="164">
        <f t="shared" ref="BW69:CJ69" si="132">BW68/BR68-1</f>
        <v>0.23192026904178964</v>
      </c>
      <c r="BX69" s="164">
        <f t="shared" si="132"/>
        <v>0.24564181185251632</v>
      </c>
      <c r="BY69" s="237">
        <f t="shared" si="132"/>
        <v>0.17407153049869861</v>
      </c>
      <c r="BZ69" s="164">
        <f t="shared" si="132"/>
        <v>0.2659656355335156</v>
      </c>
      <c r="CA69" s="164">
        <f t="shared" si="132"/>
        <v>0.22093133042707858</v>
      </c>
      <c r="CB69" s="164">
        <f t="shared" si="132"/>
        <v>0.22197775333088865</v>
      </c>
      <c r="CC69" s="164">
        <f t="shared" si="132"/>
        <v>0.24519475202319585</v>
      </c>
      <c r="CD69" s="237">
        <f t="shared" si="132"/>
        <v>0.23824531706160701</v>
      </c>
      <c r="CE69" s="164">
        <f t="shared" si="132"/>
        <v>0.23272376029141206</v>
      </c>
      <c r="CF69" s="164">
        <f t="shared" si="132"/>
        <v>0.29295914150846869</v>
      </c>
      <c r="CG69" s="164">
        <f t="shared" si="132"/>
        <v>0.28136440932279672</v>
      </c>
      <c r="CH69" s="164">
        <f t="shared" si="132"/>
        <v>0.27266773571938696</v>
      </c>
      <c r="CI69" s="237">
        <f t="shared" ref="CI69:CN69" si="133">CI68/CD68-1</f>
        <v>0.27024116200747161</v>
      </c>
      <c r="CJ69" s="164">
        <f t="shared" si="132"/>
        <v>0.25378079945380128</v>
      </c>
      <c r="CK69" s="165">
        <f t="shared" si="133"/>
        <v>0.23032449904238539</v>
      </c>
      <c r="CL69" s="165">
        <f t="shared" si="133"/>
        <v>0.2326182432265711</v>
      </c>
      <c r="CM69" s="165">
        <f t="shared" si="133"/>
        <v>0.18949297907726903</v>
      </c>
      <c r="CN69" s="167">
        <f t="shared" si="133"/>
        <v>0.22500362584276812</v>
      </c>
      <c r="CO69" s="165">
        <f t="shared" ref="CO69:CX69" si="134">CO68/CJ68-1</f>
        <v>0.1921697683121375</v>
      </c>
      <c r="CP69" s="165">
        <f t="shared" si="134"/>
        <v>0.18714839778801129</v>
      </c>
      <c r="CQ69" s="165">
        <f t="shared" si="134"/>
        <v>0.18937638986722138</v>
      </c>
      <c r="CR69" s="165">
        <f t="shared" si="134"/>
        <v>0.1887385952782239</v>
      </c>
      <c r="CS69" s="167">
        <f t="shared" si="134"/>
        <v>0.18931892885664703</v>
      </c>
      <c r="CT69" s="165">
        <f t="shared" si="134"/>
        <v>0.18186935856693998</v>
      </c>
      <c r="CU69" s="165">
        <f t="shared" si="134"/>
        <v>0.1736639916462972</v>
      </c>
      <c r="CV69" s="165">
        <f t="shared" si="134"/>
        <v>0.16470530609521639</v>
      </c>
      <c r="CW69" s="165">
        <f t="shared" si="134"/>
        <v>0.15617311257750544</v>
      </c>
      <c r="CX69" s="167">
        <f t="shared" si="134"/>
        <v>0.16862628870807517</v>
      </c>
      <c r="CY69" s="165"/>
      <c r="DA69" s="201"/>
      <c r="DB69" s="200"/>
      <c r="DC69" s="200"/>
    </row>
    <row r="70" spans="1:107">
      <c r="A70" s="1869" t="s">
        <v>709</v>
      </c>
      <c r="B70" s="1870"/>
      <c r="C70" s="205"/>
      <c r="D70" s="206"/>
      <c r="E70" s="206"/>
      <c r="F70" s="236"/>
      <c r="G70" s="208"/>
      <c r="H70" s="531" t="s">
        <v>131</v>
      </c>
      <c r="I70" s="164">
        <f>I68/H68-1</f>
        <v>0.18051034729895199</v>
      </c>
      <c r="J70" s="164">
        <f>J68/I68-1</f>
        <v>-0.11306734460275614</v>
      </c>
      <c r="K70" s="236">
        <f>K68/J68-1</f>
        <v>2.865994523986104E-2</v>
      </c>
      <c r="L70" s="531" t="s">
        <v>131</v>
      </c>
      <c r="M70" s="235">
        <f>M68/K68-1</f>
        <v>7.6940405843313187E-3</v>
      </c>
      <c r="N70" s="164">
        <f>N68/M68-1</f>
        <v>8.046293270966931E-2</v>
      </c>
      <c r="O70" s="164">
        <f>O68/N68-1</f>
        <v>-4.8289033901001144E-3</v>
      </c>
      <c r="P70" s="236">
        <f>P68/O68-1</f>
        <v>0.12405600176564846</v>
      </c>
      <c r="Q70" s="533" t="s">
        <v>131</v>
      </c>
      <c r="R70" s="164">
        <f>R68/P68-1</f>
        <v>0.18307310118747799</v>
      </c>
      <c r="S70" s="164">
        <f>S68/R68-1</f>
        <v>-3.1747291654640297E-2</v>
      </c>
      <c r="T70" s="164">
        <f>T68/S68-1</f>
        <v>-1.7644881543548152E-2</v>
      </c>
      <c r="U70" s="164">
        <f>U68/T68-1</f>
        <v>6.2645087874573013E-2</v>
      </c>
      <c r="V70" s="533" t="s">
        <v>131</v>
      </c>
      <c r="W70" s="164">
        <f>W68/U68-1</f>
        <v>0.10214576546262366</v>
      </c>
      <c r="X70" s="164">
        <f>X68/W68-1</f>
        <v>4.8522391378978957E-2</v>
      </c>
      <c r="Y70" s="164">
        <f>Y68/X68-1</f>
        <v>-1.969852971459185E-2</v>
      </c>
      <c r="Z70" s="164">
        <f>Z68/Y68-1</f>
        <v>4.7059787335050229E-2</v>
      </c>
      <c r="AA70" s="533" t="s">
        <v>131</v>
      </c>
      <c r="AB70" s="164">
        <f>AB68/Z68-1</f>
        <v>0.27758863853853</v>
      </c>
      <c r="AC70" s="164">
        <f>AC68/AB68-1</f>
        <v>-3.4521366219499083E-2</v>
      </c>
      <c r="AD70" s="164">
        <f>AD68/AC68-1</f>
        <v>-5.7974526664703707E-2</v>
      </c>
      <c r="AE70" s="164">
        <f>AE68/AD68-1</f>
        <v>0.12886183213223856</v>
      </c>
      <c r="AF70" s="533" t="s">
        <v>131</v>
      </c>
      <c r="AG70" s="164">
        <f>AG68/AE68-1</f>
        <v>-5.1296208494562734E-2</v>
      </c>
      <c r="AH70" s="164">
        <f>AH68/AG68-1</f>
        <v>0.15025689555386124</v>
      </c>
      <c r="AI70" s="164">
        <f>AI68/AH68-1</f>
        <v>0.14001799594670694</v>
      </c>
      <c r="AJ70" s="164">
        <f>AJ68/AI68-1</f>
        <v>7.2496053582756792E-2</v>
      </c>
      <c r="AK70" s="533" t="s">
        <v>131</v>
      </c>
      <c r="AL70" s="164">
        <f>AL68/AJ68-1</f>
        <v>-2.3438610488282108E-2</v>
      </c>
      <c r="AM70" s="164">
        <f>AM68/AL68-1</f>
        <v>-1.2444874324611499E-2</v>
      </c>
      <c r="AN70" s="164">
        <f>AN68/AM68-1</f>
        <v>-2.9228053701645385E-3</v>
      </c>
      <c r="AO70" s="164">
        <f>AO68/AN68-1</f>
        <v>3.0528481646432626E-2</v>
      </c>
      <c r="AP70" s="533" t="s">
        <v>131</v>
      </c>
      <c r="AQ70" s="164">
        <f>AQ68/AO68-1</f>
        <v>-0.14142388645000081</v>
      </c>
      <c r="AR70" s="164">
        <f>AR68/AQ68-1</f>
        <v>-0.11065212089856102</v>
      </c>
      <c r="AS70" s="164">
        <f>AS68/AR68-1</f>
        <v>-1.5488984701900743E-2</v>
      </c>
      <c r="AT70" s="164">
        <f>AT68/AS68-1</f>
        <v>8.8374691086360535E-2</v>
      </c>
      <c r="AU70" s="533" t="s">
        <v>131</v>
      </c>
      <c r="AV70" s="164">
        <f>AV68/AT68-1</f>
        <v>0.13029468859264037</v>
      </c>
      <c r="AW70" s="164">
        <f>AW68/AU68-1</f>
        <v>-0.67837508942038194</v>
      </c>
      <c r="AX70" s="164">
        <f>AX68/AV68-1</f>
        <v>0.1604413061561456</v>
      </c>
      <c r="AY70" s="164">
        <f>AY68/AW68-1</f>
        <v>4.9356397266941965E-2</v>
      </c>
      <c r="AZ70" s="533" t="s">
        <v>131</v>
      </c>
      <c r="BA70" s="164">
        <f>BA68/AY68-1</f>
        <v>1.8840168880756902E-2</v>
      </c>
      <c r="BB70" s="164">
        <f>BB68/AZ68-1</f>
        <v>-0.7350592194059391</v>
      </c>
      <c r="BC70" s="164">
        <f>BC68/BB68-1</f>
        <v>-1.3846089980425025E-2</v>
      </c>
      <c r="BD70" s="164">
        <f>BD68/BC68-1</f>
        <v>0.14453680287286153</v>
      </c>
      <c r="BE70" s="533" t="s">
        <v>131</v>
      </c>
      <c r="BF70" s="164">
        <f>BF68/BD68-1</f>
        <v>-9.9625508430539966E-2</v>
      </c>
      <c r="BG70" s="164">
        <f>BG68/BE68-1</f>
        <v>-0.73356138419094541</v>
      </c>
      <c r="BH70" s="164">
        <f>BH68/BF68-1</f>
        <v>2.9710986654879701E-2</v>
      </c>
      <c r="BI70" s="164">
        <f>BI68/BH68-1</f>
        <v>6.5359776298778316E-2</v>
      </c>
      <c r="BJ70" s="533" t="s">
        <v>131</v>
      </c>
      <c r="BK70" s="164">
        <f>BK68/BI68-1</f>
        <v>-0.14061175230486034</v>
      </c>
      <c r="BL70" s="164">
        <f>BL68/BK68-1</f>
        <v>-7.8992802877964063E-4</v>
      </c>
      <c r="BM70" s="164">
        <f>BM68/BL68-1</f>
        <v>-1.9976183354811328E-2</v>
      </c>
      <c r="BN70" s="164">
        <f>BN68/BM68-1</f>
        <v>5.167998820065689E-2</v>
      </c>
      <c r="BO70" s="533" t="s">
        <v>131</v>
      </c>
      <c r="BP70" s="164">
        <f>BP68/BN68-1</f>
        <v>-3.4477364621405937E-2</v>
      </c>
      <c r="BQ70" s="164">
        <f>BQ68/BP68-1</f>
        <v>6.8085144419478327E-2</v>
      </c>
      <c r="BR70" s="164">
        <f>BR68/BQ68-1</f>
        <v>-6.2157075862011246E-2</v>
      </c>
      <c r="BS70" s="164">
        <f>BS68/BR68-1</f>
        <v>6.7329604078013139E-2</v>
      </c>
      <c r="BT70" s="533" t="s">
        <v>131</v>
      </c>
      <c r="BU70" s="164">
        <f>BU68/BS68-1</f>
        <v>4.9492254490389076E-2</v>
      </c>
      <c r="BV70" s="164">
        <f>BV68/BU68-1</f>
        <v>4.4121146942697642E-2</v>
      </c>
      <c r="BW70" s="164">
        <f>BW68/BV68-1</f>
        <v>5.3304442450142764E-2</v>
      </c>
      <c r="BX70" s="164">
        <f>BX68/BW68-1</f>
        <v>7.9217880635800375E-2</v>
      </c>
      <c r="BY70" s="533" t="s">
        <v>131</v>
      </c>
      <c r="BZ70" s="164">
        <f>BZ68/BX68-1</f>
        <v>6.6615712720420328E-2</v>
      </c>
      <c r="CA70" s="164">
        <f>CA68/BZ68-1</f>
        <v>6.978535026787025E-3</v>
      </c>
      <c r="CB70" s="164">
        <f>CB68/CA68-1</f>
        <v>5.4207197474767543E-2</v>
      </c>
      <c r="CC70" s="164">
        <f>CC68/CB68-1</f>
        <v>9.9722509345396171E-2</v>
      </c>
      <c r="CD70" s="533" t="s">
        <v>131</v>
      </c>
      <c r="CE70" s="164">
        <f>CE68/CC68-1</f>
        <v>5.5933242598606547E-2</v>
      </c>
      <c r="CF70" s="164">
        <f>CF68/CE68-1</f>
        <v>5.6183180778397235E-2</v>
      </c>
      <c r="CG70" s="164">
        <f>CG68/CF68-1</f>
        <v>4.4753495706073565E-2</v>
      </c>
      <c r="CH70" s="164">
        <f>CH68/CG68-1</f>
        <v>9.225864688088925E-2</v>
      </c>
      <c r="CI70" s="533" t="s">
        <v>131</v>
      </c>
      <c r="CJ70" s="164">
        <f>CJ68/CH68-1</f>
        <v>4.0262739376176748E-2</v>
      </c>
      <c r="CK70" s="165">
        <f>CK68/CJ68-1</f>
        <v>3.642362632628271E-2</v>
      </c>
      <c r="CL70" s="165">
        <f>CL68/CK68-1</f>
        <v>4.6701272293915741E-2</v>
      </c>
      <c r="CM70" s="165">
        <f>CM68/CL68-1</f>
        <v>5.4044104036873097E-2</v>
      </c>
      <c r="CN70" s="534" t="s">
        <v>131</v>
      </c>
      <c r="CO70" s="165">
        <f>CO68/CM68-1</f>
        <v>4.2603706621193282E-2</v>
      </c>
      <c r="CP70" s="165">
        <f>CP68/CO68-1</f>
        <v>3.2058252210890537E-2</v>
      </c>
      <c r="CQ70" s="165">
        <f>CQ68/CP68-1</f>
        <v>4.8665678890694508E-2</v>
      </c>
      <c r="CR70" s="165">
        <f>CR68/CQ68-1</f>
        <v>5.3478880418978303E-2</v>
      </c>
      <c r="CS70" s="534" t="s">
        <v>131</v>
      </c>
      <c r="CT70" s="165">
        <f>CT68/CR68-1</f>
        <v>3.6578923977397038E-2</v>
      </c>
      <c r="CU70" s="165">
        <f>CU68/CT68-1</f>
        <v>2.4892979178399388E-2</v>
      </c>
      <c r="CV70" s="165">
        <f>CV68/CU68-1</f>
        <v>4.066111699541608E-2</v>
      </c>
      <c r="CW70" s="165">
        <f>CW68/CV68-1</f>
        <v>4.5761489910394637E-2</v>
      </c>
      <c r="CX70" s="534" t="s">
        <v>131</v>
      </c>
      <c r="CY70" s="1723"/>
      <c r="DA70" s="201"/>
      <c r="DB70" s="200"/>
      <c r="DC70" s="200"/>
    </row>
    <row r="71" spans="1:107" ht="6" customHeight="1">
      <c r="A71" s="205"/>
      <c r="B71" s="206"/>
      <c r="C71" s="205"/>
      <c r="D71" s="206"/>
      <c r="E71" s="206"/>
      <c r="F71" s="207"/>
      <c r="G71" s="208"/>
      <c r="H71" s="205"/>
      <c r="I71" s="206"/>
      <c r="J71" s="206"/>
      <c r="K71" s="207"/>
      <c r="L71" s="205"/>
      <c r="M71" s="205"/>
      <c r="N71" s="206"/>
      <c r="O71" s="206"/>
      <c r="P71" s="207"/>
      <c r="Q71" s="208"/>
      <c r="R71" s="206"/>
      <c r="S71" s="206"/>
      <c r="T71" s="206"/>
      <c r="U71" s="206"/>
      <c r="V71" s="208"/>
      <c r="W71" s="206"/>
      <c r="X71" s="206"/>
      <c r="Y71" s="206"/>
      <c r="Z71" s="206"/>
      <c r="AA71" s="208"/>
      <c r="AB71" s="206"/>
      <c r="AC71" s="206"/>
      <c r="AD71" s="206"/>
      <c r="AE71" s="206"/>
      <c r="AF71" s="208"/>
      <c r="AG71" s="363"/>
      <c r="AH71" s="363"/>
      <c r="AI71" s="363"/>
      <c r="AJ71" s="363"/>
      <c r="AK71" s="522"/>
      <c r="AL71" s="363"/>
      <c r="AM71" s="363"/>
      <c r="AN71" s="363"/>
      <c r="AO71" s="363"/>
      <c r="AP71" s="522"/>
      <c r="AQ71" s="363"/>
      <c r="AR71" s="363"/>
      <c r="AS71" s="363"/>
      <c r="AT71" s="363"/>
      <c r="AU71" s="522"/>
      <c r="AV71" s="363"/>
      <c r="AW71" s="363"/>
      <c r="AX71" s="363"/>
      <c r="AY71" s="363"/>
      <c r="AZ71" s="522"/>
      <c r="BA71" s="363"/>
      <c r="BB71" s="363"/>
      <c r="BC71" s="363"/>
      <c r="BD71" s="363"/>
      <c r="BE71" s="522"/>
      <c r="BF71" s="363"/>
      <c r="BG71" s="363"/>
      <c r="BH71" s="363"/>
      <c r="BI71" s="363"/>
      <c r="BJ71" s="522"/>
      <c r="BK71" s="363"/>
      <c r="BL71" s="363"/>
      <c r="BM71" s="363"/>
      <c r="BN71" s="363"/>
      <c r="BO71" s="522"/>
      <c r="BP71" s="363"/>
      <c r="BQ71" s="363"/>
      <c r="BR71" s="363"/>
      <c r="BS71" s="363"/>
      <c r="BT71" s="522"/>
      <c r="BU71" s="363"/>
      <c r="BV71" s="363"/>
      <c r="BW71" s="363"/>
      <c r="BX71" s="363"/>
      <c r="BY71" s="522"/>
      <c r="BZ71" s="363"/>
      <c r="CA71" s="1348"/>
      <c r="CB71" s="1348"/>
      <c r="CC71" s="363"/>
      <c r="CD71" s="522"/>
      <c r="CE71" s="363"/>
      <c r="CF71" s="363"/>
      <c r="CG71" s="363"/>
      <c r="CH71" s="363"/>
      <c r="CI71" s="522"/>
      <c r="CJ71" s="363"/>
      <c r="CK71" s="1348"/>
      <c r="CL71" s="1348"/>
      <c r="CM71" s="1348"/>
      <c r="CN71" s="523"/>
      <c r="CO71" s="1348"/>
      <c r="CP71" s="1348"/>
      <c r="CQ71" s="1348"/>
      <c r="CR71" s="1348"/>
      <c r="CS71" s="523"/>
      <c r="CT71" s="1348"/>
      <c r="CU71" s="1348"/>
      <c r="CV71" s="1348"/>
      <c r="CW71" s="1348"/>
      <c r="CX71" s="523"/>
      <c r="CY71" s="1348"/>
      <c r="DA71" s="201"/>
      <c r="DB71" s="200"/>
      <c r="DC71" s="200"/>
    </row>
    <row r="72" spans="1:107">
      <c r="A72" s="680" t="s">
        <v>361</v>
      </c>
      <c r="B72" s="1871"/>
      <c r="C72" s="672"/>
      <c r="D72" s="673"/>
      <c r="E72" s="673"/>
      <c r="F72" s="674"/>
      <c r="G72" s="679"/>
      <c r="H72" s="672">
        <f>Model!H21</f>
        <v>0</v>
      </c>
      <c r="I72" s="673">
        <f>Model!I21</f>
        <v>1.105</v>
      </c>
      <c r="J72" s="673">
        <f>Model!J21</f>
        <v>4.3739999999999997</v>
      </c>
      <c r="K72" s="674">
        <f>Model!K21</f>
        <v>6.1400000000000006</v>
      </c>
      <c r="L72" s="680">
        <f>Model!L21</f>
        <v>11.619</v>
      </c>
      <c r="M72" s="672">
        <f>Model!M21</f>
        <v>6.14</v>
      </c>
      <c r="N72" s="673">
        <f>Model!N21</f>
        <v>5.9960000000000004</v>
      </c>
      <c r="O72" s="673">
        <f>Model!O21</f>
        <v>6.4889999999999999</v>
      </c>
      <c r="P72" s="674">
        <f>Model!P21</f>
        <v>7.120000000000001</v>
      </c>
      <c r="Q72" s="679">
        <f>Model!Q21</f>
        <v>25.745000000000001</v>
      </c>
      <c r="R72" s="673">
        <f>Model!R21</f>
        <v>7.5289999999999999</v>
      </c>
      <c r="S72" s="673">
        <f>Model!S21</f>
        <v>7.532</v>
      </c>
      <c r="T72" s="673">
        <f>Model!T21</f>
        <v>8.2629999999999999</v>
      </c>
      <c r="U72" s="673">
        <f>Model!U21</f>
        <v>9.2980000000000018</v>
      </c>
      <c r="V72" s="679">
        <f>Model!V21</f>
        <v>32.622</v>
      </c>
      <c r="W72" s="673">
        <f>Model!W21</f>
        <v>9.7349999999999994</v>
      </c>
      <c r="X72" s="673">
        <f>Model!X21</f>
        <v>10.409000000000001</v>
      </c>
      <c r="Y72" s="673">
        <f>Model!Y21</f>
        <v>10.984999999999999</v>
      </c>
      <c r="Z72" s="673">
        <f>Model!Z21</f>
        <v>11.914000000000001</v>
      </c>
      <c r="AA72" s="679">
        <f>Model!AA21</f>
        <v>43.042999999999999</v>
      </c>
      <c r="AB72" s="673">
        <f>Model!AB21</f>
        <v>18.652000000000001</v>
      </c>
      <c r="AC72" s="673">
        <f>Model!AC21</f>
        <v>20.561</v>
      </c>
      <c r="AD72" s="673">
        <f>Model!AD21</f>
        <v>23.006</v>
      </c>
      <c r="AE72" s="673">
        <f>Model!AE21</f>
        <v>28.37</v>
      </c>
      <c r="AF72" s="679">
        <f>Model!AF21</f>
        <v>90.588999999999999</v>
      </c>
      <c r="AG72" s="1124">
        <f>Model!AG21</f>
        <v>29.109000000000002</v>
      </c>
      <c r="AH72" s="1124">
        <f>Model!AH21</f>
        <v>32.107999999999997</v>
      </c>
      <c r="AI72" s="1124">
        <f>Model!AI21</f>
        <v>38.304000000000002</v>
      </c>
      <c r="AJ72" s="1124">
        <f>Model!AJ21</f>
        <v>38.835999999999999</v>
      </c>
      <c r="AK72" s="679">
        <f>Model!AK21</f>
        <v>138.357</v>
      </c>
      <c r="AL72" s="1124">
        <f>Model!AL21</f>
        <v>38.482999999999997</v>
      </c>
      <c r="AM72" s="1124">
        <f>Model!AM21</f>
        <v>45.585000000000001</v>
      </c>
      <c r="AN72" s="1124">
        <f>Model!AN21</f>
        <v>48.444000000000003</v>
      </c>
      <c r="AO72" s="1124">
        <f>Model!AO21</f>
        <v>50.835000000000001</v>
      </c>
      <c r="AP72" s="679">
        <f>SUM(AL72:AO72)</f>
        <v>183.34700000000001</v>
      </c>
      <c r="AQ72" s="1124">
        <f>Model!AQ21</f>
        <v>44.191000000000003</v>
      </c>
      <c r="AR72" s="1124">
        <f>Model!AR21</f>
        <v>44.618000000000002</v>
      </c>
      <c r="AS72" s="1124">
        <f>Model!AS21</f>
        <v>47.642000000000003</v>
      </c>
      <c r="AT72" s="1124">
        <f>Model!AT21</f>
        <v>50.011000000000003</v>
      </c>
      <c r="AU72" s="675">
        <f>SUM(AQ72:AT72)</f>
        <v>186.46199999999999</v>
      </c>
      <c r="AV72" s="1124">
        <f>Model!AV21</f>
        <v>59.255000000000003</v>
      </c>
      <c r="AW72" s="1124">
        <f>Model!AW21</f>
        <v>55.496000000000002</v>
      </c>
      <c r="AX72" s="1124">
        <f>Model!AX21</f>
        <v>62.591000000000001</v>
      </c>
      <c r="AY72" s="1124">
        <f>Model!AY21</f>
        <v>76.691999999999993</v>
      </c>
      <c r="AZ72" s="675">
        <f>SUM(AV72:AY72)</f>
        <v>254.03399999999999</v>
      </c>
      <c r="BA72" s="1124">
        <f>Model!BA21</f>
        <v>78.846000000000004</v>
      </c>
      <c r="BB72" s="1124">
        <f>Model!BB21</f>
        <v>83.728999999999999</v>
      </c>
      <c r="BC72" s="1124">
        <f>Model!BC21</f>
        <v>86.736999999999995</v>
      </c>
      <c r="BD72" s="1124">
        <f>Model!BD21</f>
        <v>91.828999999999994</v>
      </c>
      <c r="BE72" s="675">
        <f>SUM(BA72:BD72)</f>
        <v>341.14099999999996</v>
      </c>
      <c r="BF72" s="1124">
        <f>Model!BF21</f>
        <v>90.468999999999994</v>
      </c>
      <c r="BG72" s="1124">
        <f>Model!BG21</f>
        <v>93.908000000000001</v>
      </c>
      <c r="BH72" s="1124">
        <f>Model!BH21</f>
        <v>97.203000000000003</v>
      </c>
      <c r="BI72" s="1124">
        <f>Model!BI21</f>
        <v>106.048</v>
      </c>
      <c r="BJ72" s="675">
        <f>SUM(BF72:BI72)</f>
        <v>387.62800000000004</v>
      </c>
      <c r="BK72" s="1124">
        <f>Model!BK21</f>
        <v>107.818</v>
      </c>
      <c r="BL72" s="1124">
        <f>Model!BL21</f>
        <v>111.129</v>
      </c>
      <c r="BM72" s="1124">
        <f>Model!BM21</f>
        <v>113.595</v>
      </c>
      <c r="BN72" s="1124">
        <f>Model!BN21</f>
        <v>114.744</v>
      </c>
      <c r="BO72" s="675">
        <f>SUM(BK72:BN72)</f>
        <v>447.28600000000006</v>
      </c>
      <c r="BP72" s="1124">
        <f>Model!BP21</f>
        <v>105.10299999999999</v>
      </c>
      <c r="BQ72" s="1124">
        <f>Model!BQ21</f>
        <v>112.267</v>
      </c>
      <c r="BR72" s="1124">
        <f>Model!BR21</f>
        <v>108.88500000000001</v>
      </c>
      <c r="BS72" s="1124">
        <f>Model!BS21</f>
        <v>116.423</v>
      </c>
      <c r="BT72" s="675">
        <f>SUM(BP72:BS72)</f>
        <v>442.678</v>
      </c>
      <c r="BU72" s="1124">
        <f>Model!BU21</f>
        <v>104.965</v>
      </c>
      <c r="BV72" s="1124">
        <f>Model!BV21</f>
        <v>113.657</v>
      </c>
      <c r="BW72" s="1124">
        <f>Model!BW21</f>
        <v>113.36499999999999</v>
      </c>
      <c r="BX72" s="1124">
        <f>Model!BX21</f>
        <v>114.474</v>
      </c>
      <c r="BY72" s="675">
        <f>SUM(BU72:BX72)</f>
        <v>446.46100000000001</v>
      </c>
      <c r="BZ72" s="1124">
        <f>Model!BZ21</f>
        <v>111.973</v>
      </c>
      <c r="CA72" s="1124">
        <f>Model!CA21</f>
        <v>118.501</v>
      </c>
      <c r="CB72" s="1124">
        <f>Model!CB21</f>
        <v>114.405</v>
      </c>
      <c r="CC72" s="1124">
        <f>Model!CC21</f>
        <v>124.22</v>
      </c>
      <c r="CD72" s="675">
        <f>SUM(BZ72:CC72)</f>
        <v>469.09900000000005</v>
      </c>
      <c r="CE72" s="1124">
        <f>Model!CE21</f>
        <v>114.405</v>
      </c>
      <c r="CF72" s="1124">
        <f>Model!CF21</f>
        <v>116.955</v>
      </c>
      <c r="CG72" s="1124">
        <f>Model!CG21</f>
        <v>111.777</v>
      </c>
      <c r="CH72" s="1124">
        <f>Model!CH21</f>
        <v>117.732</v>
      </c>
      <c r="CI72" s="675">
        <f>SUM(CE72:CH72)</f>
        <v>460.86900000000003</v>
      </c>
      <c r="CJ72" s="1124">
        <f>Model!CJ21</f>
        <v>113.98099999999999</v>
      </c>
      <c r="CK72" s="1868">
        <f>(CK10+CK27+CK17+Metrics!CJ85)*CK73</f>
        <v>138.51323710241442</v>
      </c>
      <c r="CL72" s="1868">
        <f>(CL10+CL27+CL17+Metrics!CK85)*CL73</f>
        <v>129.88070521098598</v>
      </c>
      <c r="CM72" s="1868">
        <f>(CM10+CM27+CM17+Metrics!CL85)*CM73</f>
        <v>133.00925385179997</v>
      </c>
      <c r="CN72" s="678">
        <f>SUM(CJ72:CM72)</f>
        <v>515.38419616520036</v>
      </c>
      <c r="CO72" s="1868">
        <f>(CO10+CO27+CO17+Metrics!CN85)*CO73</f>
        <v>125.93611856635641</v>
      </c>
      <c r="CP72" s="1868">
        <f>(CP10+CP27+CP17+Metrics!CO85)*CP73</f>
        <v>153.34379245324268</v>
      </c>
      <c r="CQ72" s="1868">
        <f>(CQ10+CQ27+CQ17+Metrics!CP85)*CQ73</f>
        <v>142.86274781000324</v>
      </c>
      <c r="CR72" s="1868">
        <f>(CR10+CR27+CR17+Metrics!CQ85)*CR73</f>
        <v>145.84955786249077</v>
      </c>
      <c r="CS72" s="678">
        <f>SUM(CO72:CR72)</f>
        <v>567.99221669209317</v>
      </c>
      <c r="CT72" s="1868">
        <f>(CT10+CT27+CT17+Metrics!CS85)*CT73</f>
        <v>135.90689635067423</v>
      </c>
      <c r="CU72" s="1868">
        <f>(CU10+CU27+CU17+Metrics!CT85)*CU73</f>
        <v>166.42981056483882</v>
      </c>
      <c r="CV72" s="1868">
        <f>(CV10+CV27+CV17+Metrics!CU85)*CV73</f>
        <v>152.22819580817165</v>
      </c>
      <c r="CW72" s="1868">
        <f>(CW10+CW27+CW17+Metrics!CV85)*CW73</f>
        <v>153.71105646118596</v>
      </c>
      <c r="CX72" s="678">
        <f>SUM(CT72:CW72)</f>
        <v>608.27595918487066</v>
      </c>
      <c r="CY72" s="1722"/>
      <c r="DA72" s="201"/>
      <c r="DB72" s="677"/>
      <c r="DC72" s="677"/>
    </row>
    <row r="73" spans="1:107">
      <c r="A73" s="1872" t="s">
        <v>84</v>
      </c>
      <c r="B73" s="1233"/>
      <c r="C73" s="536"/>
      <c r="D73" s="537"/>
      <c r="E73" s="537"/>
      <c r="F73" s="538"/>
      <c r="G73" s="539"/>
      <c r="H73" s="536"/>
      <c r="I73" s="537"/>
      <c r="J73" s="537"/>
      <c r="K73" s="538"/>
      <c r="L73" s="536"/>
      <c r="M73" s="536"/>
      <c r="N73" s="537"/>
      <c r="O73" s="537"/>
      <c r="P73" s="538"/>
      <c r="Q73" s="539"/>
      <c r="R73" s="537"/>
      <c r="S73" s="537"/>
      <c r="T73" s="537"/>
      <c r="U73" s="537"/>
      <c r="V73" s="539"/>
      <c r="W73" s="537">
        <f>W72/(W157+W160)</f>
        <v>5.2666031897167342E-2</v>
      </c>
      <c r="X73" s="537"/>
      <c r="Y73" s="537"/>
      <c r="Z73" s="537"/>
      <c r="AA73" s="539"/>
      <c r="AB73" s="537">
        <f t="shared" ref="AB73:AP73" si="135">AB72/(AB157+AB160)</f>
        <v>9.1386575208231263E-2</v>
      </c>
      <c r="AC73" s="537">
        <f t="shared" si="135"/>
        <v>0.104796126401631</v>
      </c>
      <c r="AD73" s="537">
        <f t="shared" si="135"/>
        <v>0.12032426778242677</v>
      </c>
      <c r="AE73" s="537">
        <f t="shared" si="135"/>
        <v>0.12625723186470852</v>
      </c>
      <c r="AF73" s="539">
        <f t="shared" si="135"/>
        <v>0.11098872825287918</v>
      </c>
      <c r="AG73" s="164">
        <f t="shared" si="135"/>
        <v>0.13395766221813163</v>
      </c>
      <c r="AH73" s="164">
        <f t="shared" si="135"/>
        <v>0.14033216783216781</v>
      </c>
      <c r="AI73" s="164">
        <f t="shared" si="135"/>
        <v>0.16844327176781004</v>
      </c>
      <c r="AJ73" s="164">
        <f t="shared" si="135"/>
        <v>0.15761363636363637</v>
      </c>
      <c r="AK73" s="539">
        <f t="shared" si="135"/>
        <v>0.15040439178171541</v>
      </c>
      <c r="AL73" s="164">
        <f t="shared" si="135"/>
        <v>0.15411694032839407</v>
      </c>
      <c r="AM73" s="164">
        <f t="shared" si="135"/>
        <v>0.18032041139240507</v>
      </c>
      <c r="AN73" s="164">
        <f t="shared" si="135"/>
        <v>0.17087830687830688</v>
      </c>
      <c r="AO73" s="164">
        <f t="shared" si="135"/>
        <v>0.18285971223021583</v>
      </c>
      <c r="AP73" s="539">
        <f t="shared" si="135"/>
        <v>0.17231860902255641</v>
      </c>
      <c r="AQ73" s="164"/>
      <c r="AR73" s="164"/>
      <c r="AS73" s="164"/>
      <c r="AT73" s="164"/>
      <c r="AU73" s="237"/>
      <c r="AV73" s="164">
        <f>AV72/(AV10+AV27+AV17)</f>
        <v>0.17392133842089816</v>
      </c>
      <c r="AW73" s="164">
        <f>AW72/(AW10+AW27+AW17)</f>
        <v>0.17144269385233241</v>
      </c>
      <c r="AX73" s="164">
        <f>AX72/(AX10+AX27+AX17)</f>
        <v>0.1758668165214948</v>
      </c>
      <c r="AY73" s="164">
        <f>AY72/(AY10+AY27+AY17)</f>
        <v>0.20060685325660477</v>
      </c>
      <c r="AZ73" s="237">
        <f>AZ72/(AZ10+AZ27)</f>
        <v>0.25388167099740155</v>
      </c>
      <c r="BA73" s="164">
        <f>BA72/(BA10+BA27+BA17)</f>
        <v>0.19642750373692078</v>
      </c>
      <c r="BB73" s="164">
        <f>BB72/(BB10+BB27+BB17)</f>
        <v>0.20709621568142464</v>
      </c>
      <c r="BC73" s="164">
        <f>BC72/(BC10+BC27+BC17)</f>
        <v>0.22087344028520495</v>
      </c>
      <c r="BD73" s="164">
        <f>BD72/(BD10+BD27+BD17)</f>
        <v>0.19178989139515457</v>
      </c>
      <c r="BE73" s="237">
        <f>BE72/(BE10+BE27)</f>
        <v>0.31514180138568126</v>
      </c>
      <c r="BF73" s="164">
        <f>BF72/(BF10+BF27+BF17)</f>
        <v>0.20144511244711644</v>
      </c>
      <c r="BG73" s="164">
        <f>BG72/(BG10+BG27+BG17)</f>
        <v>0.20260625674217908</v>
      </c>
      <c r="BH73" s="164">
        <f>BH72/(BH10+BH27+BH17)</f>
        <v>0.21639136242208371</v>
      </c>
      <c r="BI73" s="164">
        <f>BI72/(BI10+BI27+BI17)</f>
        <v>0.2083457760314342</v>
      </c>
      <c r="BJ73" s="237">
        <f>BJ72/(BJ10+BJ27+BJ17)</f>
        <v>0.2071990592259996</v>
      </c>
      <c r="BK73" s="164">
        <f>BK72/(BK10+BK27+Metrics!BJ85+BK17)</f>
        <v>0.2148650834536496</v>
      </c>
      <c r="BL73" s="164">
        <f>BL72/(BL10+BL27+Metrics!BK85+BL17)</f>
        <v>0.20268142375678624</v>
      </c>
      <c r="BM73" s="164">
        <f>BM72/(BM10+BM27+Metrics!BL85+BM17)</f>
        <v>0.19189041686702762</v>
      </c>
      <c r="BN73" s="164">
        <f>BN72/(BN10+BN27+Metrics!BM85+BN17)</f>
        <v>0.16184619003790407</v>
      </c>
      <c r="BO73" s="237">
        <f>BO72/(BO10+BO27+Metrics!BN85+BO17)</f>
        <v>0.19025060966745819</v>
      </c>
      <c r="BP73" s="164">
        <f>BP72/(BP10+BP27+Metrics!BO85+BP17)</f>
        <v>0.15052407109562879</v>
      </c>
      <c r="BQ73" s="164">
        <f>BQ72/(BQ10+BQ27+Metrics!BP85+BQ17)</f>
        <v>0.14820768952811339</v>
      </c>
      <c r="BR73" s="164">
        <f>BR72/(BR10+BR27+Metrics!BQ85+BR17)</f>
        <v>0.1331558698733834</v>
      </c>
      <c r="BS73" s="164">
        <f>BS72/(BS10+BS27+Metrics!BR85+BS17)</f>
        <v>0.13242776468235357</v>
      </c>
      <c r="BT73" s="237">
        <f>BT72/(BT10+BT27+Metrics!BS85+BT17)</f>
        <v>0.14041616444775631</v>
      </c>
      <c r="BU73" s="164">
        <f>BU72/(BU10+BU27+Metrics!BT85+BU17)</f>
        <v>0.11631695863950885</v>
      </c>
      <c r="BV73" s="164">
        <f>BV72/(BV10+BV27+Metrics!BU85+BV17)</f>
        <v>0.11887174912580911</v>
      </c>
      <c r="BW73" s="164">
        <f>BW72/(BW10+BW27+Metrics!BV85+BW17)</f>
        <v>0.10881564509263617</v>
      </c>
      <c r="BX73" s="164">
        <f>BX72/(BX10+BX27+Metrics!BW85+BX17)</f>
        <v>0.10698637743354028</v>
      </c>
      <c r="BY73" s="237">
        <f>BY72/(BY10+BY27+Metrics!BX85+BY17)</f>
        <v>0.1124493186592917</v>
      </c>
      <c r="BZ73" s="164">
        <f>BZ72/(BZ10+BZ27+Metrics!BY85+BZ17)</f>
        <v>9.5815311820497712E-2</v>
      </c>
      <c r="CA73" s="164">
        <f>CA72/(CA10+CA27+Metrics!BZ85+CA17)</f>
        <v>9.708478915231164E-2</v>
      </c>
      <c r="CB73" s="164">
        <f>CB72/(CB10+CB27+Metrics!CA85+CB17)</f>
        <v>8.8710476776592426E-2</v>
      </c>
      <c r="CC73" s="164">
        <f>CC72/(CC10+CC27+Metrics!CB85+CC17)</f>
        <v>8.8526974063285233E-2</v>
      </c>
      <c r="CD73" s="237">
        <f>CD72/(CD10+CD27+Metrics!CC85+CD17)</f>
        <v>9.230490278191876E-2</v>
      </c>
      <c r="CE73" s="164">
        <f>CE72/(CE10+CE27+Metrics!CD85+CE17)</f>
        <v>7.576599697497105E-2</v>
      </c>
      <c r="CF73" s="164">
        <f>CF72/(CF10+CF27+Metrics!CE85+CF17)</f>
        <v>7.3755741418011195E-2</v>
      </c>
      <c r="CG73" s="164">
        <f>CG72/(CG10+CG27+Metrics!CF85+CG17)</f>
        <v>6.6940621408916212E-2</v>
      </c>
      <c r="CH73" s="164">
        <f>CH72/(CH10+CH27+Metrics!CG85+CH17)</f>
        <v>6.5160587948990267E-2</v>
      </c>
      <c r="CI73" s="237">
        <f>CI72/(CI10+CI27+Metrics!CH85+CI17)</f>
        <v>7.0123194272642173E-2</v>
      </c>
      <c r="CJ73" s="164">
        <f>CJ72/(CJ10+CJ27+Metrics!CI85+CJ17)</f>
        <v>5.9755674938892146E-2</v>
      </c>
      <c r="CK73" s="165">
        <f>CF73-0.005</f>
        <v>6.875574141801119E-2</v>
      </c>
      <c r="CL73" s="165">
        <f>CG73-0.005</f>
        <v>6.1940621408916215E-2</v>
      </c>
      <c r="CM73" s="165">
        <f>CH73-0.005</f>
        <v>6.016058794899027E-2</v>
      </c>
      <c r="CN73" s="167">
        <f>CN72/(CN10+CN27+Metrics!CM85+CN17)</f>
        <v>6.2624281658362355E-2</v>
      </c>
      <c r="CO73" s="165">
        <f>CJ73-0.005</f>
        <v>5.4755674938892149E-2</v>
      </c>
      <c r="CP73" s="165">
        <f>CK73-0.005</f>
        <v>6.3755741418011186E-2</v>
      </c>
      <c r="CQ73" s="165">
        <f>CL73-0.005</f>
        <v>5.6940621408916217E-2</v>
      </c>
      <c r="CR73" s="165">
        <f>CM73-0.005</f>
        <v>5.5160587948990272E-2</v>
      </c>
      <c r="CS73" s="167">
        <f>CS72/(CS10+CS27+Metrics!CR85+CS17)</f>
        <v>5.7616169722509193E-2</v>
      </c>
      <c r="CT73" s="165">
        <f>CO73-0.005</f>
        <v>4.9755674938892151E-2</v>
      </c>
      <c r="CU73" s="165">
        <f>CP73-0.005</f>
        <v>5.8755741418011188E-2</v>
      </c>
      <c r="CV73" s="165">
        <f>CQ73-0.005</f>
        <v>5.194062140891622E-2</v>
      </c>
      <c r="CW73" s="165">
        <f>CR73-0.005</f>
        <v>5.0160587948990275E-2</v>
      </c>
      <c r="CX73" s="167">
        <f>CX72/(CX10+CX27+Metrics!CW85+CX17)</f>
        <v>5.2622453419919425E-2</v>
      </c>
      <c r="CY73" s="165"/>
      <c r="DA73" s="201"/>
      <c r="DB73" s="200"/>
      <c r="DC73" s="200"/>
    </row>
    <row r="74" spans="1:107">
      <c r="A74" s="205"/>
      <c r="B74" s="206"/>
      <c r="C74" s="205"/>
      <c r="D74" s="206"/>
      <c r="E74" s="206"/>
      <c r="F74" s="207"/>
      <c r="G74" s="208"/>
      <c r="H74" s="205"/>
      <c r="I74" s="206"/>
      <c r="J74" s="206"/>
      <c r="K74" s="207"/>
      <c r="L74" s="205"/>
      <c r="M74" s="205"/>
      <c r="N74" s="206"/>
      <c r="O74" s="206"/>
      <c r="P74" s="207"/>
      <c r="Q74" s="208"/>
      <c r="R74" s="206"/>
      <c r="S74" s="206"/>
      <c r="T74" s="206"/>
      <c r="U74" s="206"/>
      <c r="V74" s="208"/>
      <c r="W74" s="206"/>
      <c r="X74" s="206"/>
      <c r="Y74" s="206"/>
      <c r="Z74" s="206"/>
      <c r="AA74" s="208"/>
      <c r="AB74" s="206"/>
      <c r="AC74" s="206"/>
      <c r="AD74" s="206"/>
      <c r="AE74" s="206"/>
      <c r="AF74" s="208"/>
      <c r="AG74" s="363"/>
      <c r="AH74" s="363"/>
      <c r="AI74" s="363"/>
      <c r="AJ74" s="363"/>
      <c r="AK74" s="522"/>
      <c r="AL74" s="363"/>
      <c r="AM74" s="363"/>
      <c r="AN74" s="363"/>
      <c r="AO74" s="363"/>
      <c r="AP74" s="522"/>
      <c r="AQ74" s="363"/>
      <c r="AR74" s="1124"/>
      <c r="AS74" s="363"/>
      <c r="AT74" s="1348"/>
      <c r="AU74" s="523"/>
      <c r="AV74" s="363"/>
      <c r="AW74" s="363"/>
      <c r="AX74" s="363"/>
      <c r="AY74" s="363"/>
      <c r="AZ74" s="522"/>
      <c r="BA74" s="363"/>
      <c r="BB74" s="363"/>
      <c r="BC74" s="363"/>
      <c r="BD74" s="363"/>
      <c r="BE74" s="522"/>
      <c r="BF74" s="363"/>
      <c r="BG74" s="363"/>
      <c r="BH74" s="363"/>
      <c r="BI74" s="363"/>
      <c r="BJ74" s="522"/>
      <c r="BK74" s="363"/>
      <c r="BL74" s="363"/>
      <c r="BM74" s="363"/>
      <c r="BN74" s="363"/>
      <c r="BO74" s="522"/>
      <c r="BP74" s="363"/>
      <c r="BQ74" s="363"/>
      <c r="BR74" s="363"/>
      <c r="BS74" s="363"/>
      <c r="BT74" s="522"/>
      <c r="BU74" s="363"/>
      <c r="BV74" s="363"/>
      <c r="BW74" s="363"/>
      <c r="BX74" s="363"/>
      <c r="BY74" s="522"/>
      <c r="BZ74" s="363"/>
      <c r="CA74" s="1348"/>
      <c r="CB74" s="1348"/>
      <c r="CC74" s="363"/>
      <c r="CD74" s="522"/>
      <c r="CE74" s="363"/>
      <c r="CF74" s="363"/>
      <c r="CG74" s="363"/>
      <c r="CH74" s="363"/>
      <c r="CI74" s="522"/>
      <c r="CJ74" s="363"/>
      <c r="CK74" s="1348"/>
      <c r="CL74" s="1348"/>
      <c r="CM74" s="1348"/>
      <c r="CN74" s="523"/>
      <c r="CO74" s="1348"/>
      <c r="CP74" s="1348"/>
      <c r="CQ74" s="1348"/>
      <c r="CR74" s="1348"/>
      <c r="CS74" s="523"/>
      <c r="CT74" s="1348"/>
      <c r="CU74" s="1348"/>
      <c r="CV74" s="1348"/>
      <c r="CW74" s="1348"/>
      <c r="CX74" s="523"/>
      <c r="CY74" s="1348"/>
      <c r="DA74" s="201"/>
      <c r="DB74" s="200"/>
      <c r="DC74" s="200"/>
    </row>
    <row r="75" spans="1:107" ht="12" customHeight="1">
      <c r="A75" s="205"/>
      <c r="B75" s="206"/>
      <c r="C75" s="205"/>
      <c r="D75" s="206"/>
      <c r="E75" s="206"/>
      <c r="F75" s="207"/>
      <c r="G75" s="208"/>
      <c r="H75" s="205"/>
      <c r="I75" s="206"/>
      <c r="J75" s="206"/>
      <c r="K75" s="207"/>
      <c r="L75" s="205"/>
      <c r="M75" s="205"/>
      <c r="N75" s="206"/>
      <c r="O75" s="206"/>
      <c r="P75" s="207"/>
      <c r="Q75" s="208"/>
      <c r="R75" s="206"/>
      <c r="S75" s="206"/>
      <c r="T75" s="206"/>
      <c r="U75" s="206"/>
      <c r="V75" s="208"/>
      <c r="W75" s="206"/>
      <c r="X75" s="206"/>
      <c r="Y75" s="206"/>
      <c r="Z75" s="206"/>
      <c r="AA75" s="208"/>
      <c r="AB75" s="206"/>
      <c r="AC75" s="206"/>
      <c r="AD75" s="206"/>
      <c r="AE75" s="206"/>
      <c r="AF75" s="208"/>
      <c r="AG75" s="363"/>
      <c r="AH75" s="363"/>
      <c r="AI75" s="363"/>
      <c r="AJ75" s="363"/>
      <c r="AK75" s="522"/>
      <c r="AL75" s="363"/>
      <c r="AM75" s="363"/>
      <c r="AN75" s="363"/>
      <c r="AO75" s="363"/>
      <c r="AP75" s="522"/>
      <c r="AQ75" s="363"/>
      <c r="AR75" s="363"/>
      <c r="AS75" s="363"/>
      <c r="AT75" s="1348"/>
      <c r="AU75" s="523"/>
      <c r="AV75" s="363"/>
      <c r="AW75" s="363"/>
      <c r="AX75" s="363"/>
      <c r="AY75" s="363"/>
      <c r="AZ75" s="522"/>
      <c r="BA75" s="363"/>
      <c r="BB75" s="363"/>
      <c r="BC75" s="363"/>
      <c r="BD75" s="363"/>
      <c r="BE75" s="522"/>
      <c r="BF75" s="363"/>
      <c r="BG75" s="363"/>
      <c r="BH75" s="363"/>
      <c r="BI75" s="363"/>
      <c r="BJ75" s="522"/>
      <c r="BK75" s="363"/>
      <c r="BL75" s="363"/>
      <c r="BM75" s="363"/>
      <c r="BN75" s="363"/>
      <c r="BO75" s="522"/>
      <c r="BP75" s="363"/>
      <c r="BQ75" s="363"/>
      <c r="BR75" s="363"/>
      <c r="BS75" s="363"/>
      <c r="BT75" s="522"/>
      <c r="BU75" s="363"/>
      <c r="BV75" s="363"/>
      <c r="BW75" s="363"/>
      <c r="BX75" s="363"/>
      <c r="BY75" s="522"/>
      <c r="BZ75" s="363"/>
      <c r="CA75" s="1348"/>
      <c r="CB75" s="1348"/>
      <c r="CC75" s="363"/>
      <c r="CD75" s="522"/>
      <c r="CE75" s="363"/>
      <c r="CF75" s="363"/>
      <c r="CG75" s="363"/>
      <c r="CH75" s="363"/>
      <c r="CI75" s="522"/>
      <c r="CJ75" s="363"/>
      <c r="CK75" s="1348"/>
      <c r="CL75" s="1348"/>
      <c r="CM75" s="1348"/>
      <c r="CN75" s="523"/>
      <c r="CO75" s="1348"/>
      <c r="CP75" s="1348"/>
      <c r="CQ75" s="1348"/>
      <c r="CR75" s="1348"/>
      <c r="CS75" s="523"/>
      <c r="CT75" s="1348"/>
      <c r="CU75" s="1348"/>
      <c r="CV75" s="1348"/>
      <c r="CW75" s="1348"/>
      <c r="CX75" s="523"/>
      <c r="CY75" s="1348"/>
      <c r="DA75" s="201"/>
      <c r="DB75" s="200"/>
      <c r="DC75" s="200"/>
    </row>
    <row r="76" spans="1:107">
      <c r="A76" s="676" t="s">
        <v>415</v>
      </c>
      <c r="B76" s="1123"/>
      <c r="C76" s="672"/>
      <c r="D76" s="673"/>
      <c r="E76" s="673"/>
      <c r="F76" s="674"/>
      <c r="G76" s="675"/>
      <c r="H76" s="672">
        <f>Model!H34</f>
        <v>20.997</v>
      </c>
      <c r="I76" s="673">
        <f>Model!I34</f>
        <v>23.835000000000001</v>
      </c>
      <c r="J76" s="673">
        <f>Model!J34</f>
        <v>28.471</v>
      </c>
      <c r="K76" s="674">
        <f>Model!K34</f>
        <v>23.549999999999997</v>
      </c>
      <c r="L76" s="676">
        <f>SUM(H76:K76)</f>
        <v>96.852999999999994</v>
      </c>
      <c r="M76" s="672">
        <f>Model!M34</f>
        <v>19.36</v>
      </c>
      <c r="N76" s="673">
        <f>Model!N34</f>
        <v>20.212</v>
      </c>
      <c r="O76" s="673">
        <f>Model!O34</f>
        <v>18.853999999999999</v>
      </c>
      <c r="P76" s="674">
        <f>Model!P34</f>
        <v>21.475999999999999</v>
      </c>
      <c r="Q76" s="675">
        <f>SUM(M76:P76)</f>
        <v>79.902000000000001</v>
      </c>
      <c r="R76" s="673">
        <f>Model!R34</f>
        <v>20.443999999999999</v>
      </c>
      <c r="S76" s="673">
        <f>Model!S34</f>
        <v>23.206</v>
      </c>
      <c r="T76" s="673">
        <f>Model!T34</f>
        <v>19.035</v>
      </c>
      <c r="U76" s="673">
        <f>Model!U34</f>
        <v>23.887</v>
      </c>
      <c r="V76" s="675">
        <f>SUM(R76:U76)</f>
        <v>86.572000000000003</v>
      </c>
      <c r="W76" s="673">
        <f>Model!W34</f>
        <v>21.855</v>
      </c>
      <c r="X76" s="673">
        <f>Model!X34</f>
        <v>21.774000000000001</v>
      </c>
      <c r="Y76" s="673">
        <f>Model!Y34</f>
        <v>21.593</v>
      </c>
      <c r="Z76" s="673">
        <f>Model!Z34</f>
        <v>24.719999999999985</v>
      </c>
      <c r="AA76" s="675">
        <f>SUM(W76:Z76)</f>
        <v>89.941999999999993</v>
      </c>
      <c r="AB76" s="673">
        <f>Model!AB34</f>
        <v>28.805999999999997</v>
      </c>
      <c r="AC76" s="673">
        <f>Model!AC34</f>
        <v>15.033999999999999</v>
      </c>
      <c r="AD76" s="673">
        <f>Model!AD34</f>
        <v>18.774000000000001</v>
      </c>
      <c r="AE76" s="673">
        <f>Model!AE34</f>
        <v>26.357999999999997</v>
      </c>
      <c r="AF76" s="675">
        <f>SUM(AB76:AE76)</f>
        <v>88.971999999999994</v>
      </c>
      <c r="AG76" s="1124">
        <f>AG216-AG79</f>
        <v>54.206000000000003</v>
      </c>
      <c r="AH76" s="1124">
        <f>AH216-AH79</f>
        <v>71.301000000000002</v>
      </c>
      <c r="AI76" s="1124">
        <f>AI216-AI79</f>
        <v>69.802999999999997</v>
      </c>
      <c r="AJ76" s="1124">
        <f>AJ216-AJ79</f>
        <v>78.003000000000014</v>
      </c>
      <c r="AK76" s="675">
        <f>SUM(AG76:AJ76)</f>
        <v>273.31299999999999</v>
      </c>
      <c r="AL76" s="1124">
        <f>AL216-AL79</f>
        <v>59.877999999999986</v>
      </c>
      <c r="AM76" s="1124">
        <f>AM216-AM79</f>
        <v>58.263000000000005</v>
      </c>
      <c r="AN76" s="1124">
        <f>AN216-AN79</f>
        <v>84.572000000000003</v>
      </c>
      <c r="AO76" s="1124">
        <f>AO216-AO79</f>
        <v>63.694000000000003</v>
      </c>
      <c r="AP76" s="675">
        <f>SUM(AL76:AO76)</f>
        <v>266.40699999999998</v>
      </c>
      <c r="AQ76" s="1124">
        <f>AQ216-AQ79</f>
        <v>58.964999999999989</v>
      </c>
      <c r="AR76" s="1124">
        <f>AR216-AR79</f>
        <v>55.75</v>
      </c>
      <c r="AS76" s="1124">
        <f>AS216-AS79</f>
        <v>49.317999999999998</v>
      </c>
      <c r="AT76" s="1124">
        <f>AT216-AT79</f>
        <v>51.431472727272727</v>
      </c>
      <c r="AU76" s="675">
        <f>SUM(AQ76:AT76)</f>
        <v>215.46447272727272</v>
      </c>
      <c r="AV76" s="1124">
        <f>AV216-AV79</f>
        <v>69.814000000000007</v>
      </c>
      <c r="AW76" s="1124">
        <f>AW216-AW79</f>
        <v>89.801999999999992</v>
      </c>
      <c r="AX76" s="1124">
        <f>AX216-AX79</f>
        <v>79.645999999999987</v>
      </c>
      <c r="AY76" s="1124">
        <f>AY216-AY79</f>
        <v>39.721000000000004</v>
      </c>
      <c r="AZ76" s="675">
        <f>SUM(AV76:AY76)</f>
        <v>278.98299999999995</v>
      </c>
      <c r="BA76" s="1124">
        <f>BA216-BA79</f>
        <v>41.94143918485112</v>
      </c>
      <c r="BB76" s="1124">
        <f>BB216-BB79</f>
        <v>43.323368657909583</v>
      </c>
      <c r="BC76" s="1124">
        <f>BC216-BC79</f>
        <v>40.544819089451835</v>
      </c>
      <c r="BD76" s="1124">
        <f>BD216-BD79</f>
        <v>44.683871037985128</v>
      </c>
      <c r="BE76" s="675">
        <f>SUM(BA76:BD76)</f>
        <v>170.49349797019767</v>
      </c>
      <c r="BF76" s="1124">
        <f>BF216-BF79</f>
        <v>45.355963554793384</v>
      </c>
      <c r="BG76" s="1124">
        <f>BG216-BG79</f>
        <v>43.484003035894332</v>
      </c>
      <c r="BH76" s="1124">
        <f>BH216-BH79</f>
        <v>45.346128426408939</v>
      </c>
      <c r="BI76" s="1124">
        <f>BI216-BI79</f>
        <v>65.762291140385244</v>
      </c>
      <c r="BJ76" s="675">
        <f>SUM(BF76:BI76)</f>
        <v>199.94838615748188</v>
      </c>
      <c r="BK76" s="1124">
        <f>BK216-BK79</f>
        <v>45.959128530196125</v>
      </c>
      <c r="BL76" s="1124">
        <f>BL216-BL79</f>
        <v>69.66833713298152</v>
      </c>
      <c r="BM76" s="1124">
        <f>BM216-BM79</f>
        <v>70.589270932858511</v>
      </c>
      <c r="BN76" s="1124">
        <f>BN216-BN79</f>
        <v>72.032494931022725</v>
      </c>
      <c r="BO76" s="675">
        <f>SUM(BK76:BN76)</f>
        <v>258.2492315270589</v>
      </c>
      <c r="BP76" s="1124">
        <f>BP216-BP79</f>
        <v>51.275468806023817</v>
      </c>
      <c r="BQ76" s="1124">
        <f>BQ216-BQ79</f>
        <v>75.223863079607895</v>
      </c>
      <c r="BR76" s="1124">
        <f>BR216-BR79</f>
        <v>75.564037059000853</v>
      </c>
      <c r="BS76" s="1124">
        <f>BS216-BS79</f>
        <v>76.387458404795638</v>
      </c>
      <c r="BT76" s="675">
        <f>SUM(BP76:BS76)</f>
        <v>278.45082734942821</v>
      </c>
      <c r="BU76" s="1124">
        <f>BU216-BU79</f>
        <v>48.708521613476464</v>
      </c>
      <c r="BV76" s="1124">
        <f>BV216-BV79</f>
        <v>38.466110338631424</v>
      </c>
      <c r="BW76" s="1124">
        <f>BW216-BW79</f>
        <v>35.817149465464873</v>
      </c>
      <c r="BX76" s="1124">
        <f>BX216-BX79</f>
        <v>28.907625465226744</v>
      </c>
      <c r="BY76" s="675">
        <f>SUM(BU76:BX76)</f>
        <v>151.8994068827995</v>
      </c>
      <c r="BZ76" s="1124">
        <f>BZ216-BZ79</f>
        <v>30.73061031039181</v>
      </c>
      <c r="CA76" s="1124">
        <f>CA216-CA79</f>
        <v>28.19294555375123</v>
      </c>
      <c r="CB76" s="1124">
        <f>CB216-CB79</f>
        <v>28.136308659581687</v>
      </c>
      <c r="CC76" s="1124">
        <f>CC216-CC79</f>
        <v>21.499983221025445</v>
      </c>
      <c r="CD76" s="675">
        <f>SUM(BZ76:CC76)</f>
        <v>108.55984774475017</v>
      </c>
      <c r="CE76" s="1124">
        <f>CE216-CE79</f>
        <v>17.935473681739722</v>
      </c>
      <c r="CF76" s="1124">
        <f>CF216-CF79</f>
        <v>15.324894252622585</v>
      </c>
      <c r="CG76" s="1124">
        <f>CG216-CG79</f>
        <v>12.63997484847286</v>
      </c>
      <c r="CH76" s="1124">
        <f>CH216-CH79</f>
        <v>9.0163622778010648</v>
      </c>
      <c r="CI76" s="675">
        <f>SUM(CE76:CH76)</f>
        <v>54.916705060636232</v>
      </c>
      <c r="CJ76" s="1124">
        <f>CJ216-CJ79</f>
        <v>13.275704134734823</v>
      </c>
      <c r="CK76" s="1868">
        <f>CK216-CK79</f>
        <v>9.2978729636116242</v>
      </c>
      <c r="CL76" s="1868">
        <f>CL216-CL79</f>
        <v>8.0696644604989842</v>
      </c>
      <c r="CM76" s="1868">
        <f>CM216-CM79</f>
        <v>5.7912047546535774</v>
      </c>
      <c r="CN76" s="678">
        <f>SUM(CJ76:CM76)</f>
        <v>36.434446313499009</v>
      </c>
      <c r="CO76" s="1868">
        <f>CO216-CO79</f>
        <v>10.262999870077223</v>
      </c>
      <c r="CP76" s="1868">
        <f>CP216-CP79</f>
        <v>9.6706148097374438</v>
      </c>
      <c r="CQ76" s="1868">
        <f>CQ216-CQ79</f>
        <v>8.4749438862923512</v>
      </c>
      <c r="CR76" s="1868">
        <f>CR216-CR79</f>
        <v>6.4822616773114987</v>
      </c>
      <c r="CS76" s="678">
        <f>SUM(CO76:CR76)</f>
        <v>34.890820243418517</v>
      </c>
      <c r="CT76" s="1868">
        <f>CT216-CT79</f>
        <v>10.311293283310107</v>
      </c>
      <c r="CU76" s="1868">
        <f>CU216-CU79</f>
        <v>9.6439940466121215</v>
      </c>
      <c r="CV76" s="1868">
        <f>CV216-CV79</f>
        <v>8.5200907369615706</v>
      </c>
      <c r="CW76" s="1868">
        <f>CW216-CW79</f>
        <v>6.8827954806309393</v>
      </c>
      <c r="CX76" s="678">
        <f>SUM(CT76:CW76)</f>
        <v>35.358173547514738</v>
      </c>
      <c r="CY76" s="1722"/>
      <c r="DA76" s="201"/>
      <c r="DB76" s="677"/>
      <c r="DC76" s="677"/>
    </row>
    <row r="77" spans="1:107">
      <c r="A77" s="1869" t="s">
        <v>416</v>
      </c>
      <c r="B77" s="1870"/>
      <c r="C77" s="205"/>
      <c r="D77" s="206"/>
      <c r="E77" s="206"/>
      <c r="F77" s="530"/>
      <c r="G77" s="208"/>
      <c r="H77" s="531">
        <f t="shared" ref="H77:BB77" si="136">H76/H68</f>
        <v>7.8377430047481128E-2</v>
      </c>
      <c r="I77" s="532">
        <f t="shared" si="136"/>
        <v>7.5366635678916313E-2</v>
      </c>
      <c r="J77" s="532">
        <f t="shared" si="136"/>
        <v>0.10150233871427758</v>
      </c>
      <c r="K77" s="530">
        <f t="shared" si="136"/>
        <v>8.1619214306756532E-2</v>
      </c>
      <c r="L77" s="531">
        <f t="shared" si="136"/>
        <v>8.3987682766191937E-2</v>
      </c>
      <c r="M77" s="531">
        <f t="shared" si="136"/>
        <v>6.6585269384877285E-2</v>
      </c>
      <c r="N77" s="532">
        <f t="shared" si="136"/>
        <v>6.4338691707782905E-2</v>
      </c>
      <c r="O77" s="532">
        <f t="shared" si="136"/>
        <v>6.0307133284074291E-2</v>
      </c>
      <c r="P77" s="530">
        <f t="shared" si="136"/>
        <v>6.1112581349223281E-2</v>
      </c>
      <c r="Q77" s="533">
        <f t="shared" si="136"/>
        <v>6.2966771871342961E-2</v>
      </c>
      <c r="R77" s="532">
        <f t="shared" si="136"/>
        <v>4.9173545767669184E-2</v>
      </c>
      <c r="S77" s="532">
        <f t="shared" si="136"/>
        <v>5.7647067591099804E-2</v>
      </c>
      <c r="T77" s="532">
        <f t="shared" si="136"/>
        <v>4.8135036034896946E-2</v>
      </c>
      <c r="U77" s="532">
        <f t="shared" si="136"/>
        <v>5.6843628264040769E-2</v>
      </c>
      <c r="V77" s="533">
        <f t="shared" si="136"/>
        <v>5.2982353495579497E-2</v>
      </c>
      <c r="W77" s="532">
        <f t="shared" si="136"/>
        <v>4.7188041809619836E-2</v>
      </c>
      <c r="X77" s="532">
        <f t="shared" si="136"/>
        <v>4.4837527284708203E-2</v>
      </c>
      <c r="Y77" s="532">
        <f t="shared" si="136"/>
        <v>4.5358299688690783E-2</v>
      </c>
      <c r="Z77" s="532">
        <f t="shared" si="136"/>
        <v>4.9593044134198114E-2</v>
      </c>
      <c r="AA77" s="533">
        <f t="shared" si="136"/>
        <v>4.6764950256801149E-2</v>
      </c>
      <c r="AB77" s="532">
        <f t="shared" si="136"/>
        <v>4.5233919001041102E-2</v>
      </c>
      <c r="AC77" s="532">
        <f t="shared" si="136"/>
        <v>2.4451929692163313E-2</v>
      </c>
      <c r="AD77" s="532">
        <f t="shared" si="136"/>
        <v>3.2414009813637561E-2</v>
      </c>
      <c r="AE77" s="532">
        <f t="shared" si="136"/>
        <v>4.0313231268066615E-2</v>
      </c>
      <c r="AF77" s="533">
        <f t="shared" si="136"/>
        <v>3.5808146381474358E-2</v>
      </c>
      <c r="AG77" s="532">
        <f t="shared" si="136"/>
        <v>8.7388016269783056E-2</v>
      </c>
      <c r="AH77" s="532">
        <f t="shared" si="136"/>
        <v>9.9932164811477028E-2</v>
      </c>
      <c r="AI77" s="532">
        <f t="shared" si="136"/>
        <v>8.5816748545603866E-2</v>
      </c>
      <c r="AJ77" s="532">
        <f t="shared" si="136"/>
        <v>8.9415656767129342E-2</v>
      </c>
      <c r="AK77" s="533">
        <f t="shared" si="136"/>
        <v>9.0514630515524663E-2</v>
      </c>
      <c r="AL77" s="532">
        <f t="shared" si="136"/>
        <v>7.028618985182826E-2</v>
      </c>
      <c r="AM77" s="532">
        <f t="shared" si="136"/>
        <v>6.9252301456648221E-2</v>
      </c>
      <c r="AN77" s="532">
        <f t="shared" si="136"/>
        <v>0.10081825724558206</v>
      </c>
      <c r="AO77" s="532">
        <f t="shared" si="136"/>
        <v>7.3680253104521296E-2</v>
      </c>
      <c r="AP77" s="533">
        <f t="shared" si="136"/>
        <v>7.8434518760637603E-2</v>
      </c>
      <c r="AQ77" s="532">
        <f t="shared" si="136"/>
        <v>7.9445277543117893E-2</v>
      </c>
      <c r="AR77" s="532">
        <f t="shared" si="136"/>
        <v>8.4459203553497897E-2</v>
      </c>
      <c r="AS77" s="532">
        <f t="shared" si="136"/>
        <v>7.5890425292910152E-2</v>
      </c>
      <c r="AT77" s="532">
        <f t="shared" si="136"/>
        <v>7.2716347528765088E-2</v>
      </c>
      <c r="AU77" s="533">
        <f t="shared" si="136"/>
        <v>7.8082737400612987E-2</v>
      </c>
      <c r="AV77" s="532">
        <f t="shared" si="136"/>
        <v>8.7328083858176614E-2</v>
      </c>
      <c r="AW77" s="532">
        <f t="shared" si="136"/>
        <v>0.10118489606807404</v>
      </c>
      <c r="AX77" s="532">
        <f t="shared" si="136"/>
        <v>8.5852352407921009E-2</v>
      </c>
      <c r="AY77" s="532">
        <f t="shared" si="136"/>
        <v>4.2650766448908424E-2</v>
      </c>
      <c r="AZ77" s="533">
        <f t="shared" si="136"/>
        <v>7.8676163279625344E-2</v>
      </c>
      <c r="BA77" s="532">
        <f t="shared" si="136"/>
        <v>4.4202205170501593E-2</v>
      </c>
      <c r="BB77" s="532">
        <f t="shared" si="136"/>
        <v>4.6114641812157672E-2</v>
      </c>
      <c r="BC77" s="532">
        <f t="shared" ref="BC77:BK77" si="137">BC76/BC68</f>
        <v>4.3763020314304867E-2</v>
      </c>
      <c r="BD77" s="532">
        <f t="shared" si="137"/>
        <v>4.2139846372623475E-2</v>
      </c>
      <c r="BE77" s="533">
        <f t="shared" si="137"/>
        <v>4.3996516780394727E-2</v>
      </c>
      <c r="BF77" s="532">
        <f t="shared" si="137"/>
        <v>4.7506536977214929E-2</v>
      </c>
      <c r="BG77" s="532">
        <f t="shared" si="137"/>
        <v>4.2115583496912641E-2</v>
      </c>
      <c r="BH77" s="532">
        <f t="shared" si="137"/>
        <v>4.612579270042421E-2</v>
      </c>
      <c r="BI77" s="532">
        <f t="shared" si="137"/>
        <v>6.2789101601357741E-2</v>
      </c>
      <c r="BJ77" s="533">
        <f t="shared" si="137"/>
        <v>4.9767224939587365E-2</v>
      </c>
      <c r="BK77" s="532">
        <f t="shared" si="137"/>
        <v>5.1061046138236435E-2</v>
      </c>
      <c r="BL77" s="532">
        <f t="shared" ref="BL77:BV77" si="138">BL76/BL68</f>
        <v>7.7463401791898479E-2</v>
      </c>
      <c r="BM77" s="532">
        <f t="shared" si="138"/>
        <v>8.0087214087574396E-2</v>
      </c>
      <c r="BN77" s="532">
        <f t="shared" si="138"/>
        <v>7.7708645211879229E-2</v>
      </c>
      <c r="BO77" s="533">
        <f t="shared" si="138"/>
        <v>7.1580528133395702E-2</v>
      </c>
      <c r="BP77" s="532">
        <f t="shared" si="138"/>
        <v>5.7291218636513659E-2</v>
      </c>
      <c r="BQ77" s="532">
        <f t="shared" si="138"/>
        <v>7.8691564241016781E-2</v>
      </c>
      <c r="BR77" s="532">
        <f>BR76/BR68</f>
        <v>8.428641691327067E-2</v>
      </c>
      <c r="BS77" s="532">
        <f t="shared" si="138"/>
        <v>7.9829966029903152E-2</v>
      </c>
      <c r="BT77" s="533">
        <f t="shared" si="138"/>
        <v>7.5169174642330819E-2</v>
      </c>
      <c r="BU77" s="532">
        <f>BU76/BU68</f>
        <v>4.8503110938651277E-2</v>
      </c>
      <c r="BV77" s="532">
        <f t="shared" si="138"/>
        <v>3.6685296014213463E-2</v>
      </c>
      <c r="BW77" s="532">
        <f t="shared" ref="BW77:CD77" si="139">BW76/BW68</f>
        <v>3.2430291927967578E-2</v>
      </c>
      <c r="BX77" s="532">
        <f>BX76/BX68</f>
        <v>2.4252869276470804E-2</v>
      </c>
      <c r="BY77" s="533">
        <f t="shared" si="139"/>
        <v>3.4926316883134682E-2</v>
      </c>
      <c r="BZ77" s="532">
        <f>BZ76/BZ68</f>
        <v>2.4172073990713493E-2</v>
      </c>
      <c r="CA77" s="532">
        <f>CA76/CA68</f>
        <v>2.2022314932093549E-2</v>
      </c>
      <c r="CB77" s="532">
        <f>CB76/CB68</f>
        <v>2.0847964507560924E-2</v>
      </c>
      <c r="CC77" s="532">
        <f>CC76/CC68</f>
        <v>1.4486102238963901E-2</v>
      </c>
      <c r="CD77" s="533">
        <f t="shared" si="139"/>
        <v>2.0158547822071628E-2</v>
      </c>
      <c r="CE77" s="532">
        <f>CE76/CE68</f>
        <v>1.1444315277766789E-2</v>
      </c>
      <c r="CF77" s="532">
        <f>CF76/CF68</f>
        <v>9.2583842588997902E-3</v>
      </c>
      <c r="CG77" s="532">
        <f>CG76/CG68</f>
        <v>7.3092041501054816E-3</v>
      </c>
      <c r="CH77" s="532">
        <f>CH76/CH68</f>
        <v>4.7734210531392689E-3</v>
      </c>
      <c r="CI77" s="533">
        <f t="shared" ref="CI77:CN77" si="140">CI76/CI68</f>
        <v>8.0280174534536706E-3</v>
      </c>
      <c r="CJ77" s="532">
        <f>CJ76/CJ68</f>
        <v>6.7563620356537969E-3</v>
      </c>
      <c r="CK77" s="1723">
        <f t="shared" si="140"/>
        <v>4.565639862855529E-3</v>
      </c>
      <c r="CL77" s="1723">
        <f t="shared" si="140"/>
        <v>3.7857398634992202E-3</v>
      </c>
      <c r="CM77" s="1723">
        <f t="shared" si="140"/>
        <v>2.5775400854301288E-3</v>
      </c>
      <c r="CN77" s="534">
        <f t="shared" si="140"/>
        <v>4.3478908773818634E-3</v>
      </c>
      <c r="CO77" s="1723">
        <f t="shared" ref="CO77:CX77" si="141">CO76/CO68</f>
        <v>4.3811847440600061E-3</v>
      </c>
      <c r="CP77" s="1723">
        <f t="shared" si="141"/>
        <v>4.0000656378203058E-3</v>
      </c>
      <c r="CQ77" s="1723">
        <f t="shared" si="141"/>
        <v>3.3428185956914241E-3</v>
      </c>
      <c r="CR77" s="1723">
        <f t="shared" si="141"/>
        <v>2.4270387106763427E-3</v>
      </c>
      <c r="CS77" s="534">
        <f t="shared" si="141"/>
        <v>3.5008968097849599E-3</v>
      </c>
      <c r="CT77" s="1723">
        <f t="shared" si="141"/>
        <v>3.7244393783693506E-3</v>
      </c>
      <c r="CU77" s="1723">
        <f t="shared" si="141"/>
        <v>3.3988045083962015E-3</v>
      </c>
      <c r="CV77" s="1723">
        <f t="shared" si="141"/>
        <v>2.8853874864396686E-3</v>
      </c>
      <c r="CW77" s="1723">
        <f t="shared" si="141"/>
        <v>2.2289080051709335E-3</v>
      </c>
      <c r="CX77" s="534">
        <f t="shared" si="141"/>
        <v>3.0358639287852963E-3</v>
      </c>
      <c r="CY77" s="1723"/>
      <c r="DA77" s="201"/>
      <c r="DB77" s="200"/>
      <c r="DC77" s="200"/>
    </row>
    <row r="78" spans="1:107" ht="6" customHeight="1">
      <c r="A78" s="1869"/>
      <c r="B78" s="1870"/>
      <c r="C78" s="205"/>
      <c r="D78" s="206"/>
      <c r="E78" s="206"/>
      <c r="F78" s="236"/>
      <c r="G78" s="208"/>
      <c r="H78" s="531"/>
      <c r="I78" s="164"/>
      <c r="J78" s="164"/>
      <c r="K78" s="236"/>
      <c r="L78" s="531"/>
      <c r="M78" s="235"/>
      <c r="N78" s="164"/>
      <c r="O78" s="164"/>
      <c r="P78" s="236"/>
      <c r="Q78" s="533"/>
      <c r="R78" s="164"/>
      <c r="S78" s="164"/>
      <c r="T78" s="164"/>
      <c r="U78" s="164"/>
      <c r="V78" s="533"/>
      <c r="W78" s="206"/>
      <c r="X78" s="206"/>
      <c r="Y78" s="206"/>
      <c r="Z78" s="206"/>
      <c r="AA78" s="208"/>
      <c r="AB78" s="206"/>
      <c r="AC78" s="206"/>
      <c r="AD78" s="206"/>
      <c r="AE78" s="206"/>
      <c r="AF78" s="208"/>
      <c r="AG78" s="363"/>
      <c r="AH78" s="363"/>
      <c r="AI78" s="363"/>
      <c r="AJ78" s="363"/>
      <c r="AK78" s="522"/>
      <c r="AL78" s="363"/>
      <c r="AM78" s="363"/>
      <c r="AN78" s="363"/>
      <c r="AO78" s="363"/>
      <c r="AP78" s="522"/>
      <c r="AQ78" s="363"/>
      <c r="AR78" s="363"/>
      <c r="AS78" s="363"/>
      <c r="AT78" s="363"/>
      <c r="AU78" s="522"/>
      <c r="AV78" s="363"/>
      <c r="AW78" s="363"/>
      <c r="AX78" s="363"/>
      <c r="AY78" s="363"/>
      <c r="AZ78" s="522"/>
      <c r="BA78" s="363"/>
      <c r="BB78" s="363"/>
      <c r="BC78" s="363"/>
      <c r="BD78" s="363"/>
      <c r="BE78" s="522"/>
      <c r="BF78" s="363"/>
      <c r="BG78" s="363"/>
      <c r="BH78" s="363"/>
      <c r="BI78" s="363"/>
      <c r="BJ78" s="522"/>
      <c r="BK78" s="363"/>
      <c r="BL78" s="363"/>
      <c r="BM78" s="363"/>
      <c r="BN78" s="363"/>
      <c r="BO78" s="522"/>
      <c r="BP78" s="363"/>
      <c r="BQ78" s="363"/>
      <c r="BR78" s="363"/>
      <c r="BS78" s="363"/>
      <c r="BT78" s="522"/>
      <c r="BU78" s="363"/>
      <c r="BV78" s="363"/>
      <c r="BW78" s="363"/>
      <c r="BX78" s="363"/>
      <c r="BY78" s="522"/>
      <c r="BZ78" s="363"/>
      <c r="CA78" s="363"/>
      <c r="CB78" s="363"/>
      <c r="CC78" s="363"/>
      <c r="CD78" s="522"/>
      <c r="CE78" s="363"/>
      <c r="CF78" s="363"/>
      <c r="CG78" s="363"/>
      <c r="CH78" s="363"/>
      <c r="CI78" s="522"/>
      <c r="CJ78" s="363"/>
      <c r="CK78" s="1348"/>
      <c r="CL78" s="1348"/>
      <c r="CM78" s="1348"/>
      <c r="CN78" s="523"/>
      <c r="CO78" s="1348"/>
      <c r="CP78" s="1348"/>
      <c r="CQ78" s="1348"/>
      <c r="CR78" s="1348"/>
      <c r="CS78" s="523"/>
      <c r="CT78" s="1348"/>
      <c r="CU78" s="1348"/>
      <c r="CV78" s="1348"/>
      <c r="CW78" s="1348"/>
      <c r="CX78" s="523"/>
      <c r="CY78" s="1348"/>
      <c r="DA78" s="201"/>
      <c r="DB78" s="200"/>
      <c r="DC78" s="200"/>
    </row>
    <row r="79" spans="1:107">
      <c r="A79" s="680" t="s">
        <v>414</v>
      </c>
      <c r="B79" s="1871"/>
      <c r="C79" s="672"/>
      <c r="D79" s="673"/>
      <c r="E79" s="673"/>
      <c r="F79" s="674"/>
      <c r="G79" s="679"/>
      <c r="H79" s="672">
        <f>Model!H36</f>
        <v>0</v>
      </c>
      <c r="I79" s="673">
        <f>Model!I36</f>
        <v>1.298</v>
      </c>
      <c r="J79" s="673">
        <f>Model!J36</f>
        <v>3.165</v>
      </c>
      <c r="K79" s="674">
        <f>Model!K36</f>
        <v>2.9719999999999995</v>
      </c>
      <c r="L79" s="680">
        <f>Model!L36</f>
        <v>7.4349999999999996</v>
      </c>
      <c r="M79" s="672">
        <f>Model!M36</f>
        <v>3.0019999999999998</v>
      </c>
      <c r="N79" s="673">
        <f>Model!N36</f>
        <v>3.1440000000000001</v>
      </c>
      <c r="O79" s="673">
        <f>Model!O36</f>
        <v>3.2229999999999999</v>
      </c>
      <c r="P79" s="674">
        <f>Model!P36</f>
        <v>3.7509999999999994</v>
      </c>
      <c r="Q79" s="679">
        <f>Model!Q36</f>
        <v>13.12</v>
      </c>
      <c r="R79" s="673">
        <f>Model!R36</f>
        <v>3.738</v>
      </c>
      <c r="S79" s="673">
        <f>Model!S36</f>
        <v>4.0490000000000004</v>
      </c>
      <c r="T79" s="673">
        <f>Model!T36</f>
        <v>4.5339999999999998</v>
      </c>
      <c r="U79" s="673">
        <f>Model!U36</f>
        <v>5.4849999999999994</v>
      </c>
      <c r="V79" s="679">
        <f>Model!V36</f>
        <v>17.806000000000001</v>
      </c>
      <c r="W79" s="673">
        <f>Model!W36</f>
        <v>5.1139999999999999</v>
      </c>
      <c r="X79" s="673">
        <f>Model!X36</f>
        <v>5.66</v>
      </c>
      <c r="Y79" s="673">
        <f>Model!Y36</f>
        <v>5.8869999999999996</v>
      </c>
      <c r="Z79" s="673">
        <f>Model!Z36</f>
        <v>5.9749999999999979</v>
      </c>
      <c r="AA79" s="679">
        <f>Model!AA36</f>
        <v>22.635999999999999</v>
      </c>
      <c r="AB79" s="673">
        <f>Model!AB36</f>
        <v>11.845000000000001</v>
      </c>
      <c r="AC79" s="673">
        <f>Model!AC36</f>
        <v>13.912000000000001</v>
      </c>
      <c r="AD79" s="673">
        <f>Model!AD36</f>
        <v>15.353</v>
      </c>
      <c r="AE79" s="673">
        <f>Model!AE36</f>
        <v>16.661000000000001</v>
      </c>
      <c r="AF79" s="679">
        <f>Model!AF36</f>
        <v>57.771000000000001</v>
      </c>
      <c r="AG79" s="1124">
        <f>Model!AG36</f>
        <v>18.048000000000002</v>
      </c>
      <c r="AH79" s="1124">
        <f>Model!AH36</f>
        <v>19.945999999999998</v>
      </c>
      <c r="AI79" s="1124">
        <f>Model!AI36</f>
        <v>22.801000000000002</v>
      </c>
      <c r="AJ79" s="1124">
        <f>Model!AJ36</f>
        <v>20.61</v>
      </c>
      <c r="AK79" s="679">
        <f>Model!AK36</f>
        <v>81.405000000000001</v>
      </c>
      <c r="AL79" s="1124">
        <f>Model!AL36</f>
        <v>22.67</v>
      </c>
      <c r="AM79" s="1124">
        <f>Model!AM36</f>
        <v>24.637</v>
      </c>
      <c r="AN79" s="1124">
        <f>Model!AN36</f>
        <v>26.228000000000002</v>
      </c>
      <c r="AO79" s="1124">
        <f>Model!AO36</f>
        <v>22.706</v>
      </c>
      <c r="AP79" s="679">
        <f>SUM(AL79:AO79)</f>
        <v>96.241</v>
      </c>
      <c r="AQ79" s="1124">
        <f>Model!AQ36</f>
        <v>18.434999999999999</v>
      </c>
      <c r="AR79" s="1124">
        <f>Model!AR36</f>
        <v>16.25</v>
      </c>
      <c r="AS79" s="1124">
        <f>Model!AS36</f>
        <v>15.682</v>
      </c>
      <c r="AT79" s="1124">
        <f>(AT192+AT195)*AT80</f>
        <v>15.068527272727271</v>
      </c>
      <c r="AU79" s="675">
        <f>SUM(AQ79:AT79)</f>
        <v>65.435527272727271</v>
      </c>
      <c r="AV79" s="1124">
        <f>Model!AV36</f>
        <v>19.585999999999999</v>
      </c>
      <c r="AW79" s="1124">
        <f>Model!AW36</f>
        <v>17.998000000000001</v>
      </c>
      <c r="AX79" s="1124">
        <f>Model!AX36</f>
        <v>19.454000000000001</v>
      </c>
      <c r="AY79" s="1124">
        <f>Model!AY36</f>
        <v>22.879000000000001</v>
      </c>
      <c r="AZ79" s="675">
        <f>SUM(AV79:AY79)</f>
        <v>79.917000000000002</v>
      </c>
      <c r="BA79" s="1124">
        <f>Model!BA36</f>
        <v>29.044</v>
      </c>
      <c r="BB79" s="1124">
        <f>Model!BB36</f>
        <v>27.206</v>
      </c>
      <c r="BC79" s="1124">
        <f>Model!BC36</f>
        <v>30.952999999999999</v>
      </c>
      <c r="BD79" s="1124">
        <f>Model!BD36</f>
        <v>30.997</v>
      </c>
      <c r="BE79" s="675">
        <f>SUM(BA79:BD79)</f>
        <v>118.2</v>
      </c>
      <c r="BF79" s="1124">
        <f>Model!BF36</f>
        <v>33.817</v>
      </c>
      <c r="BG79" s="1124">
        <f>Model!BG36</f>
        <v>36.021000000000001</v>
      </c>
      <c r="BH79" s="1124">
        <f>Model!BH36</f>
        <v>36.195999999999998</v>
      </c>
      <c r="BI79" s="1124">
        <f>(BI192+BI195)*BI80</f>
        <v>18.600445326628556</v>
      </c>
      <c r="BJ79" s="675">
        <f>SUM(BF79:BI79)</f>
        <v>124.63444532662855</v>
      </c>
      <c r="BK79" s="1124">
        <f>Model!BK36</f>
        <v>42.122</v>
      </c>
      <c r="BL79" s="1124">
        <f>(BL192+BL195)*BL80</f>
        <v>18.244586816679934</v>
      </c>
      <c r="BM79" s="1124">
        <f>(BM192+BM195)*BM80</f>
        <v>19.029978165374196</v>
      </c>
      <c r="BN79" s="1124">
        <f>(BN192+BN195)*BN80</f>
        <v>20.110163382068606</v>
      </c>
      <c r="BO79" s="675">
        <f>SUM(BK79:BN79)</f>
        <v>99.506728364122736</v>
      </c>
      <c r="BP79" s="1124">
        <f>Model!BP36</f>
        <v>44.279000000000003</v>
      </c>
      <c r="BQ79" s="1124">
        <f>(BQ192+BQ195)*BQ80</f>
        <v>19.377872507927233</v>
      </c>
      <c r="BR79" s="1124">
        <f>(BR192+BR195)*BR80</f>
        <v>20.046065250593031</v>
      </c>
      <c r="BS79" s="1124">
        <f>(BS192+BS195)*BS80</f>
        <v>21.018513252079721</v>
      </c>
      <c r="BT79" s="675">
        <f>SUM(BP79:BS79)</f>
        <v>104.72145101059999</v>
      </c>
      <c r="BU79" s="1124">
        <f>Model!BU36</f>
        <v>51.567999999999998</v>
      </c>
      <c r="BV79" s="1124">
        <f>Model!BV36</f>
        <v>60.012</v>
      </c>
      <c r="BW79" s="1124">
        <f>Model!BW36</f>
        <v>62.835000000000001</v>
      </c>
      <c r="BX79" s="1124">
        <f>Model!BX36</f>
        <v>70.673000000000002</v>
      </c>
      <c r="BY79" s="675">
        <f>SUM(BU79:BX79)</f>
        <v>245.08799999999999</v>
      </c>
      <c r="BZ79" s="1124">
        <f>Model!BZ36</f>
        <v>70.998000000000005</v>
      </c>
      <c r="CA79" s="1124">
        <f>Model!CA36</f>
        <v>70.924000000000007</v>
      </c>
      <c r="CB79" s="1124">
        <f>Model!CB36</f>
        <v>70.275999999999996</v>
      </c>
      <c r="CC79" s="1124">
        <f>Model!CC36</f>
        <v>76.933000000000007</v>
      </c>
      <c r="CD79" s="675">
        <f>SUM(BZ79:CC79)</f>
        <v>289.13100000000003</v>
      </c>
      <c r="CE79" s="1124">
        <f>Model!CE36</f>
        <v>81.822999999999993</v>
      </c>
      <c r="CF79" s="1124">
        <f>Model!CF36</f>
        <v>81.138000000000005</v>
      </c>
      <c r="CG79" s="1124">
        <f>Model!CG36</f>
        <v>82.298000000000002</v>
      </c>
      <c r="CH79" s="1124">
        <f>Model!CH36</f>
        <v>85.102000000000004</v>
      </c>
      <c r="CI79" s="675">
        <f>SUM(CE79:CH79)</f>
        <v>330.36099999999999</v>
      </c>
      <c r="CJ79" s="1124">
        <f>Model!CJ36</f>
        <v>81.34</v>
      </c>
      <c r="CK79" s="1868">
        <f>(CK192+CK195)*CK80</f>
        <v>81.549290421174689</v>
      </c>
      <c r="CL79" s="1868">
        <f>(CL192+CL195)*CL80</f>
        <v>80.584385285026727</v>
      </c>
      <c r="CM79" s="1868">
        <f>(CM192+CM195)*CM80</f>
        <v>81.366027153858511</v>
      </c>
      <c r="CN79" s="678">
        <f>SUM(CJ79:CM79)</f>
        <v>324.8397028600599</v>
      </c>
      <c r="CO79" s="1868">
        <f>(CO192+CO195)*CO80</f>
        <v>76.646924256781048</v>
      </c>
      <c r="CP79" s="1868">
        <f>(CP192+CP195)*CP80</f>
        <v>73.259200317216866</v>
      </c>
      <c r="CQ79" s="1868">
        <f>(CQ192+CQ195)*CQ80</f>
        <v>71.812450465712999</v>
      </c>
      <c r="CR79" s="1868">
        <f>(CR192+CR195)*CR80</f>
        <v>71.859557678548711</v>
      </c>
      <c r="CS79" s="678">
        <f>SUM(CO79:CR79)</f>
        <v>293.57813271825961</v>
      </c>
      <c r="CT79" s="1868">
        <f>(CT192+CT195)*CT80</f>
        <v>67.189931219714552</v>
      </c>
      <c r="CU79" s="1868">
        <f>(CU192+CU195)*CU80</f>
        <v>63.937393677650746</v>
      </c>
      <c r="CV79" s="1868">
        <f>(CV192+CV195)*CV80</f>
        <v>62.217171831230964</v>
      </c>
      <c r="CW79" s="1868">
        <f>(CW192+CW195)*CW80</f>
        <v>61.713552768066329</v>
      </c>
      <c r="CX79" s="678">
        <f>SUM(CT79:CW79)</f>
        <v>255.05804949666259</v>
      </c>
      <c r="CY79" s="1722"/>
      <c r="DA79" s="201"/>
      <c r="DB79" s="677"/>
      <c r="DC79" s="677"/>
    </row>
    <row r="80" spans="1:107">
      <c r="A80" s="1873" t="s">
        <v>728</v>
      </c>
      <c r="B80" s="541"/>
      <c r="C80" s="542"/>
      <c r="D80" s="543"/>
      <c r="E80" s="543"/>
      <c r="F80" s="544"/>
      <c r="G80" s="545"/>
      <c r="H80" s="542"/>
      <c r="I80" s="543"/>
      <c r="J80" s="543"/>
      <c r="K80" s="544"/>
      <c r="L80" s="542"/>
      <c r="M80" s="542"/>
      <c r="N80" s="543"/>
      <c r="O80" s="543"/>
      <c r="P80" s="544"/>
      <c r="Q80" s="545"/>
      <c r="R80" s="543"/>
      <c r="S80" s="543"/>
      <c r="T80" s="543"/>
      <c r="U80" s="543"/>
      <c r="V80" s="545"/>
      <c r="W80" s="543">
        <f>W79/(W192+W195)</f>
        <v>0.4603060306030603</v>
      </c>
      <c r="X80" s="543"/>
      <c r="Y80" s="543"/>
      <c r="Z80" s="543"/>
      <c r="AA80" s="545">
        <f>AA79/AA263</f>
        <v>0.4883289468007076</v>
      </c>
      <c r="AB80" s="543">
        <f>AB79/(AB192+AB195)</f>
        <v>0.53804224392459687</v>
      </c>
      <c r="AC80" s="543">
        <f>AC79/(AC192+AC195)</f>
        <v>0.64625818739257679</v>
      </c>
      <c r="AD80" s="543">
        <f>AD79/(AD192+AD195)</f>
        <v>0.67939640676166035</v>
      </c>
      <c r="AE80" s="543">
        <f>AE79/(AE192+AE195)</f>
        <v>0.67298137900391808</v>
      </c>
      <c r="AF80" s="545">
        <f>AF79/AF263</f>
        <v>1.1720834251721075</v>
      </c>
      <c r="AG80" s="546">
        <f t="shared" ref="AG80:AS80" si="142">AG79/(AG192+AG195)</f>
        <v>0.73145821512523312</v>
      </c>
      <c r="AH80" s="546">
        <f t="shared" si="142"/>
        <v>0.47682340847696675</v>
      </c>
      <c r="AI80" s="546">
        <f t="shared" si="142"/>
        <v>0.71997852789794448</v>
      </c>
      <c r="AJ80" s="546">
        <f t="shared" si="142"/>
        <v>0.79547647535605381</v>
      </c>
      <c r="AK80" s="545">
        <f t="shared" si="142"/>
        <v>0.65605280336548921</v>
      </c>
      <c r="AL80" s="546">
        <f t="shared" si="142"/>
        <v>0.78989547038327534</v>
      </c>
      <c r="AM80" s="546">
        <f t="shared" si="142"/>
        <v>0.80513071895424848</v>
      </c>
      <c r="AN80" s="546">
        <f t="shared" si="142"/>
        <v>0.7185753424657535</v>
      </c>
      <c r="AO80" s="546">
        <f t="shared" si="142"/>
        <v>0.68806060606060604</v>
      </c>
      <c r="AP80" s="545">
        <f t="shared" si="142"/>
        <v>0.74721273291925461</v>
      </c>
      <c r="AQ80" s="546">
        <f t="shared" si="142"/>
        <v>0.79461206896551717</v>
      </c>
      <c r="AR80" s="546">
        <f t="shared" si="142"/>
        <v>0.73198198198198205</v>
      </c>
      <c r="AS80" s="546">
        <f t="shared" si="142"/>
        <v>0.75033492822966519</v>
      </c>
      <c r="AT80" s="546">
        <f>AO80</f>
        <v>0.68806060606060604</v>
      </c>
      <c r="AU80" s="1296">
        <f t="shared" ref="AU80:AZ80" si="143">AU79/(AU192+AU195)</f>
        <v>0.74189940218511641</v>
      </c>
      <c r="AV80" s="546">
        <f t="shared" si="143"/>
        <v>0.98919191919191929</v>
      </c>
      <c r="AW80" s="546">
        <f t="shared" si="143"/>
        <v>0.93739583333333343</v>
      </c>
      <c r="AX80" s="546">
        <f t="shared" si="143"/>
        <v>1.0572826086956524</v>
      </c>
      <c r="AY80" s="546">
        <f t="shared" si="143"/>
        <v>0.93766393442622964</v>
      </c>
      <c r="AZ80" s="1296">
        <f t="shared" si="143"/>
        <v>0.97698044009779961</v>
      </c>
      <c r="BA80" s="546">
        <f>BA79/BA129</f>
        <v>1.0960000000000001</v>
      </c>
      <c r="BB80" s="546">
        <f>BB79/BB129</f>
        <v>1.0753359683794466</v>
      </c>
      <c r="BC80" s="546">
        <f>BC79/BC129</f>
        <v>1.0747569444444445</v>
      </c>
      <c r="BD80" s="546">
        <f>BD79/BD129</f>
        <v>1.0725605536332181</v>
      </c>
      <c r="BE80" s="1296">
        <f>BE79/(BE192+BE195)</f>
        <v>0.84116090250106457</v>
      </c>
      <c r="BF80" s="546">
        <f>BF79/BF129</f>
        <v>1.3001202240769778</v>
      </c>
      <c r="BG80" s="546">
        <f>BG79/BG129</f>
        <v>1.0832189948300002</v>
      </c>
      <c r="BH80" s="546">
        <f>BH79/BH129</f>
        <v>1.0559760229368309</v>
      </c>
      <c r="BI80" s="546">
        <v>0.43</v>
      </c>
      <c r="BJ80" s="1296">
        <f>BJ79/(BJ192+BJ195)</f>
        <v>0.78989853063311377</v>
      </c>
      <c r="BK80" s="546">
        <f>BK79/BK129</f>
        <v>1.1151276316888743</v>
      </c>
      <c r="BL80" s="546">
        <v>0.45</v>
      </c>
      <c r="BM80" s="546">
        <v>0.45</v>
      </c>
      <c r="BN80" s="546">
        <v>0.43</v>
      </c>
      <c r="BO80" s="1296">
        <f>BO79/(BO192+BO195)</f>
        <v>0.57861424132996597</v>
      </c>
      <c r="BP80" s="546">
        <f>BP79/BP129</f>
        <v>1.1111962729129345</v>
      </c>
      <c r="BQ80" s="546">
        <v>0.45</v>
      </c>
      <c r="BR80" s="546">
        <v>0.45</v>
      </c>
      <c r="BS80" s="546">
        <v>0.43</v>
      </c>
      <c r="BT80" s="1296">
        <f>BT79/(BT192+BT195)</f>
        <v>0.57570956855680755</v>
      </c>
      <c r="BU80" s="546">
        <f>BU79/BU129</f>
        <v>1.2871624039727527</v>
      </c>
      <c r="BV80" s="546">
        <f>BV79/BV129</f>
        <v>1.5636786871323143</v>
      </c>
      <c r="BW80" s="546">
        <f>BW79/BW129</f>
        <v>1.5956335611041379</v>
      </c>
      <c r="BX80" s="546">
        <f>BX79/BX129</f>
        <v>1.6535709894171313</v>
      </c>
      <c r="BY80" s="1296">
        <f>BY79/(BY192+BY195)</f>
        <v>1.3180176365593541</v>
      </c>
      <c r="BZ80" s="546">
        <f>BZ79/BZ129</f>
        <v>1.7624972500571041</v>
      </c>
      <c r="CA80" s="546">
        <f>CA79/CA129</f>
        <v>1.8379071183642886</v>
      </c>
      <c r="CB80" s="546">
        <f>CB79/CB129</f>
        <v>1.7748411915892692</v>
      </c>
      <c r="CC80" s="546">
        <f>CC79/CC129</f>
        <v>1.7902740042729406</v>
      </c>
      <c r="CD80" s="1296">
        <f>CD79/(CD192+CD195)</f>
        <v>1.5743205189055629</v>
      </c>
      <c r="CE80" s="546">
        <f>CE79/CE129</f>
        <v>2.02002338560757</v>
      </c>
      <c r="CF80" s="546">
        <f>CF79/CF129</f>
        <v>2.0909565355223778</v>
      </c>
      <c r="CG80" s="546">
        <f>CG79/CG129</f>
        <v>2.0669602021970861</v>
      </c>
      <c r="CH80" s="546">
        <f>CH79/CH129</f>
        <v>1.969488550176691</v>
      </c>
      <c r="CI80" s="1296">
        <f>CI79/(CI192+CI195)</f>
        <v>1.8848450922877007</v>
      </c>
      <c r="CJ80" s="546">
        <f>CJ79/CJ129</f>
        <v>1.9968867110193118</v>
      </c>
      <c r="CK80" s="547">
        <f>CF80</f>
        <v>2.0909565355223778</v>
      </c>
      <c r="CL80" s="547">
        <f>CG80</f>
        <v>2.0669602021970861</v>
      </c>
      <c r="CM80" s="547">
        <f>CH80</f>
        <v>1.969488550176691</v>
      </c>
      <c r="CN80" s="548">
        <f>CN79/(CN192+CN195)</f>
        <v>2.0080087691940367</v>
      </c>
      <c r="CO80" s="547">
        <f>CJ80</f>
        <v>1.9968867110193118</v>
      </c>
      <c r="CP80" s="547">
        <f>CK80</f>
        <v>2.0909565355223778</v>
      </c>
      <c r="CQ80" s="547">
        <f>CL80</f>
        <v>2.0669602021970861</v>
      </c>
      <c r="CR80" s="547">
        <f>CM80</f>
        <v>1.969488550176691</v>
      </c>
      <c r="CS80" s="548">
        <f>CS79/(CS192+CS195)</f>
        <v>2.0295918101066208</v>
      </c>
      <c r="CT80" s="547">
        <f>CO80</f>
        <v>1.9968867110193118</v>
      </c>
      <c r="CU80" s="547">
        <f>CP80</f>
        <v>2.0909565355223778</v>
      </c>
      <c r="CV80" s="547">
        <f>CQ80</f>
        <v>2.0669602021970861</v>
      </c>
      <c r="CW80" s="547">
        <f>CR80</f>
        <v>1.969488550176691</v>
      </c>
      <c r="CX80" s="548">
        <f>CX79/(CX192+CX195)</f>
        <v>2.0297308271330223</v>
      </c>
      <c r="CY80" s="165"/>
      <c r="DA80" s="550"/>
      <c r="DB80" s="549"/>
      <c r="DC80" s="549"/>
    </row>
    <row r="81" spans="1:107">
      <c r="A81" s="90"/>
      <c r="B81" s="90"/>
      <c r="C81" s="205"/>
      <c r="D81" s="206"/>
      <c r="E81" s="206"/>
      <c r="F81" s="207"/>
      <c r="G81" s="208"/>
      <c r="H81" s="205"/>
      <c r="I81" s="206"/>
      <c r="J81" s="206"/>
      <c r="K81" s="207"/>
      <c r="L81" s="205"/>
      <c r="M81" s="205"/>
      <c r="N81" s="206"/>
      <c r="O81" s="206"/>
      <c r="P81" s="207"/>
      <c r="Q81" s="208"/>
      <c r="R81" s="90"/>
      <c r="S81" s="90"/>
      <c r="T81" s="90"/>
      <c r="U81" s="90"/>
      <c r="V81" s="208"/>
      <c r="W81" s="90"/>
      <c r="X81" s="90"/>
      <c r="Y81" s="90"/>
      <c r="Z81" s="90"/>
      <c r="AA81" s="208"/>
      <c r="AB81" s="90"/>
      <c r="AC81" s="358"/>
      <c r="AD81" s="358"/>
      <c r="AE81" s="90"/>
      <c r="AF81" s="208"/>
      <c r="AG81" s="200"/>
      <c r="AH81" s="200"/>
      <c r="AI81" s="200"/>
      <c r="AJ81" s="200"/>
      <c r="AK81" s="522"/>
      <c r="AL81" s="200"/>
      <c r="AM81" s="200"/>
      <c r="AN81" s="200"/>
      <c r="AO81" s="200"/>
      <c r="AP81" s="522"/>
      <c r="AQ81" s="200"/>
      <c r="AR81" s="441"/>
      <c r="AS81" s="441"/>
      <c r="AT81" s="200"/>
      <c r="AU81" s="384">
        <f>Model!AU41</f>
        <v>0.92086604457180998</v>
      </c>
      <c r="AV81" s="200"/>
      <c r="AW81" s="200"/>
      <c r="AX81" s="200"/>
      <c r="AY81" s="200"/>
      <c r="AZ81" s="384">
        <f>Model!AZ41</f>
        <v>0.91352210526315791</v>
      </c>
      <c r="BA81" s="441"/>
      <c r="BB81" s="441"/>
      <c r="BC81" s="200"/>
      <c r="BD81" s="200"/>
      <c r="BE81" s="384">
        <f>Model!BE41</f>
        <v>0.91440917515009768</v>
      </c>
      <c r="BF81" s="200"/>
      <c r="BG81" s="441"/>
      <c r="BH81" s="441"/>
      <c r="BI81" s="200"/>
      <c r="BJ81" s="384">
        <f>Model!BJ41</f>
        <v>0.91073573288867471</v>
      </c>
      <c r="BK81" s="441"/>
      <c r="BL81" s="441"/>
      <c r="BM81" s="441"/>
      <c r="BN81" s="441"/>
      <c r="BO81" s="384">
        <f>Model!BO41</f>
        <v>0.8847276610015683</v>
      </c>
      <c r="BP81" s="441"/>
      <c r="BQ81" s="441"/>
      <c r="BR81" s="441"/>
      <c r="BS81" s="441"/>
      <c r="BT81" s="384">
        <f>Model!BT41</f>
        <v>0.87239650210450059</v>
      </c>
      <c r="BU81" s="441"/>
      <c r="BV81" s="441"/>
      <c r="BW81" s="441"/>
      <c r="BX81" s="441"/>
      <c r="BY81" s="384">
        <f>Model!BY41</f>
        <v>0.86635063500010734</v>
      </c>
      <c r="BZ81" s="441"/>
      <c r="CA81" s="441"/>
      <c r="CB81" s="441"/>
      <c r="CC81" s="441"/>
      <c r="CD81" s="384">
        <f>Model!CD41</f>
        <v>0.87337708367851352</v>
      </c>
      <c r="CE81" s="200"/>
      <c r="CF81" s="200"/>
      <c r="CG81" s="200"/>
      <c r="CH81" s="200"/>
      <c r="CI81" s="384">
        <f>Model!CI41</f>
        <v>0.87531460979619946</v>
      </c>
      <c r="CJ81" s="441"/>
      <c r="CK81" s="441"/>
      <c r="CL81" s="441"/>
      <c r="CM81" s="441"/>
      <c r="CN81" s="385">
        <f>Model!CN41</f>
        <v>0.88188336378061971</v>
      </c>
      <c r="CO81" s="441"/>
      <c r="CP81" s="441"/>
      <c r="CQ81" s="441"/>
      <c r="CR81" s="441"/>
      <c r="CS81" s="385">
        <f>Model!CS41</f>
        <v>0.88693110401402808</v>
      </c>
      <c r="CT81" s="441"/>
      <c r="CU81" s="441"/>
      <c r="CV81" s="441"/>
      <c r="CW81" s="441"/>
      <c r="CX81" s="385">
        <f>Model!CX41</f>
        <v>0.89216989674853209</v>
      </c>
      <c r="CY81" s="1724"/>
      <c r="DA81" s="201"/>
      <c r="DB81" s="200"/>
      <c r="DC81" s="200"/>
    </row>
    <row r="82" spans="1:107">
      <c r="A82" s="1270" t="s">
        <v>910</v>
      </c>
      <c r="B82" s="90"/>
      <c r="C82" s="205"/>
      <c r="D82" s="206"/>
      <c r="E82" s="206"/>
      <c r="F82" s="207"/>
      <c r="G82" s="208"/>
      <c r="H82" s="205"/>
      <c r="I82" s="206"/>
      <c r="J82" s="206"/>
      <c r="K82" s="207"/>
      <c r="L82" s="205"/>
      <c r="M82" s="205"/>
      <c r="N82" s="206"/>
      <c r="O82" s="206"/>
      <c r="P82" s="207"/>
      <c r="Q82" s="208"/>
      <c r="R82" s="90"/>
      <c r="S82" s="90"/>
      <c r="T82" s="90"/>
      <c r="U82" s="90"/>
      <c r="V82" s="208"/>
      <c r="W82" s="90"/>
      <c r="X82" s="90"/>
      <c r="Y82" s="90"/>
      <c r="Z82" s="90"/>
      <c r="AA82" s="208"/>
      <c r="AB82" s="90"/>
      <c r="AC82" s="358"/>
      <c r="AD82" s="358"/>
      <c r="AE82" s="90"/>
      <c r="AF82" s="208"/>
      <c r="AG82" s="200"/>
      <c r="AH82" s="200"/>
      <c r="AI82" s="200"/>
      <c r="AJ82" s="200"/>
      <c r="AK82" s="522"/>
      <c r="AL82" s="200"/>
      <c r="AM82" s="200"/>
      <c r="AN82" s="200"/>
      <c r="AO82" s="200"/>
      <c r="AP82" s="522"/>
      <c r="AQ82" s="200"/>
      <c r="AR82" s="441"/>
      <c r="AS82" s="441"/>
      <c r="AT82" s="200"/>
      <c r="AU82" s="384"/>
      <c r="AV82" s="200"/>
      <c r="AW82" s="200"/>
      <c r="AX82" s="200"/>
      <c r="AY82" s="200"/>
      <c r="AZ82" s="384"/>
      <c r="BA82" s="441"/>
      <c r="BB82" s="441"/>
      <c r="BC82" s="200"/>
      <c r="BD82" s="200"/>
      <c r="BE82" s="384"/>
      <c r="BF82" s="200"/>
      <c r="BG82" s="441"/>
      <c r="BH82" s="441"/>
      <c r="BI82" s="200"/>
      <c r="BJ82" s="384"/>
      <c r="BK82" s="441"/>
      <c r="BL82" s="441"/>
      <c r="BM82" s="441"/>
      <c r="BN82" s="441"/>
      <c r="BO82" s="1918"/>
      <c r="BP82" s="441"/>
      <c r="BQ82" s="441"/>
      <c r="BR82" s="441"/>
      <c r="BS82" s="441"/>
      <c r="BT82" s="1918"/>
      <c r="BU82" s="441"/>
      <c r="BV82" s="441"/>
      <c r="BW82" s="441"/>
      <c r="BX82" s="441"/>
      <c r="BY82" s="1918"/>
      <c r="BZ82" s="441"/>
      <c r="CA82" s="441"/>
      <c r="CB82" s="441"/>
      <c r="CC82" s="441"/>
      <c r="CD82" s="1918"/>
      <c r="CE82" s="200"/>
      <c r="CF82" s="200"/>
      <c r="CG82" s="200"/>
      <c r="CH82" s="200"/>
      <c r="CI82" s="1918"/>
      <c r="CJ82" s="441"/>
      <c r="CK82" s="441"/>
      <c r="CL82" s="441"/>
      <c r="CM82" s="441"/>
      <c r="CN82" s="1919"/>
      <c r="CO82" s="441"/>
      <c r="CP82" s="441"/>
      <c r="CQ82" s="441"/>
      <c r="CR82" s="441"/>
      <c r="CS82" s="1919"/>
      <c r="CT82" s="441"/>
      <c r="CU82" s="441"/>
      <c r="CV82" s="441"/>
      <c r="CW82" s="441"/>
      <c r="CX82" s="1919"/>
      <c r="CY82" s="1724"/>
      <c r="DA82" s="201"/>
      <c r="DB82" s="200"/>
      <c r="DC82" s="200"/>
    </row>
    <row r="83" spans="1:107" ht="11.25" customHeight="1">
      <c r="A83" s="1915" t="s">
        <v>495</v>
      </c>
      <c r="B83" s="458"/>
      <c r="C83" s="459"/>
      <c r="D83" s="460"/>
      <c r="E83" s="460"/>
      <c r="F83" s="461"/>
      <c r="G83" s="462"/>
      <c r="H83" s="460"/>
      <c r="I83" s="460"/>
      <c r="J83" s="460"/>
      <c r="K83" s="461"/>
      <c r="L83" s="459"/>
      <c r="M83" s="459"/>
      <c r="N83" s="460"/>
      <c r="O83" s="460"/>
      <c r="P83" s="461"/>
      <c r="Q83" s="462"/>
      <c r="R83" s="460"/>
      <c r="S83" s="460"/>
      <c r="T83" s="460"/>
      <c r="U83" s="460"/>
      <c r="V83" s="463"/>
      <c r="W83" s="464"/>
      <c r="X83" s="464"/>
      <c r="Y83" s="464"/>
      <c r="Z83" s="458"/>
      <c r="AA83" s="465"/>
      <c r="AB83" s="464"/>
      <c r="AC83" s="464"/>
      <c r="AD83" s="464"/>
      <c r="AE83" s="464"/>
      <c r="AF83" s="465"/>
      <c r="AG83" s="458"/>
      <c r="AH83" s="458"/>
      <c r="AI83" s="458"/>
      <c r="AJ83" s="458"/>
      <c r="AK83" s="465"/>
      <c r="AL83" s="458"/>
      <c r="AM83" s="458"/>
      <c r="AN83" s="458"/>
      <c r="AO83" s="458"/>
      <c r="AP83" s="465"/>
      <c r="AQ83" s="458">
        <f>SUM(AQ101,AQ108)</f>
        <v>83.5</v>
      </c>
      <c r="AR83" s="458">
        <f>SUM(AR101,AR108)</f>
        <v>78.699999999999989</v>
      </c>
      <c r="AS83" s="458">
        <f>SUM(AS101,AS108)</f>
        <v>78.900000000000006</v>
      </c>
      <c r="AT83" s="458">
        <f>SUM(AT101,AT108)</f>
        <v>113.30000000000001</v>
      </c>
      <c r="AU83" s="465">
        <f>SUM(AQ83:AT83)</f>
        <v>354.4</v>
      </c>
      <c r="AV83" s="458">
        <v>173.1</v>
      </c>
      <c r="AW83" s="458">
        <v>165.1</v>
      </c>
      <c r="AX83" s="458">
        <v>190.9</v>
      </c>
      <c r="AY83" s="458">
        <v>210.2</v>
      </c>
      <c r="AZ83" s="465">
        <f>SUM(AV83:AY83)</f>
        <v>739.3</v>
      </c>
      <c r="BA83" s="458">
        <v>216.8</v>
      </c>
      <c r="BB83" s="458">
        <v>220</v>
      </c>
      <c r="BC83" s="458">
        <v>215.8</v>
      </c>
      <c r="BD83" s="458">
        <v>275.10000000000002</v>
      </c>
      <c r="BE83" s="465">
        <f>SUM(BA83:BD83)</f>
        <v>927.7</v>
      </c>
      <c r="BF83" s="458">
        <v>265.8</v>
      </c>
      <c r="BG83" s="458">
        <v>256.8</v>
      </c>
      <c r="BH83" s="458">
        <v>263.7</v>
      </c>
      <c r="BI83" s="458">
        <v>298.8</v>
      </c>
      <c r="BJ83" s="465">
        <f>SUM(BF83:BI83)</f>
        <v>1085.0999999999999</v>
      </c>
      <c r="BK83" s="458">
        <v>267.7</v>
      </c>
      <c r="BL83" s="458">
        <v>285.39999999999998</v>
      </c>
      <c r="BM83" s="458">
        <v>311.7</v>
      </c>
      <c r="BN83" s="458">
        <v>364.1</v>
      </c>
      <c r="BO83" s="465">
        <f>SUM(BK83:BN83)</f>
        <v>1228.9000000000001</v>
      </c>
      <c r="BP83" s="458">
        <v>314.39999999999998</v>
      </c>
      <c r="BQ83" s="458">
        <v>330.3</v>
      </c>
      <c r="BR83" s="458">
        <v>336.6</v>
      </c>
      <c r="BS83" s="458">
        <v>373.9</v>
      </c>
      <c r="BT83" s="465">
        <f>SUM(BP83:BS83)</f>
        <v>1355.2</v>
      </c>
      <c r="BU83" s="458">
        <v>357.2</v>
      </c>
      <c r="BV83" s="458">
        <v>366.5</v>
      </c>
      <c r="BW83" s="458">
        <v>402.5</v>
      </c>
      <c r="BX83" s="458">
        <v>382.7</v>
      </c>
      <c r="BY83" s="465">
        <f>SUM(BU83:BX83)</f>
        <v>1508.9</v>
      </c>
      <c r="BZ83" s="458">
        <v>406.2</v>
      </c>
      <c r="CA83" s="458">
        <v>412.2</v>
      </c>
      <c r="CB83" s="458">
        <v>429.6</v>
      </c>
      <c r="CC83" s="458">
        <v>488.5</v>
      </c>
      <c r="CD83" s="465">
        <f>SUM(BZ83:CC83)</f>
        <v>1736.5</v>
      </c>
      <c r="CE83" s="458">
        <v>501.1</v>
      </c>
      <c r="CF83" s="458">
        <v>516.70000000000005</v>
      </c>
      <c r="CG83" s="458">
        <v>529.5</v>
      </c>
      <c r="CH83" s="458">
        <v>572.70000000000005</v>
      </c>
      <c r="CI83" s="465">
        <f>SUM(CE83:CH83)</f>
        <v>2120</v>
      </c>
      <c r="CJ83" s="466">
        <f>CJ17+CJ27</f>
        <v>574.62</v>
      </c>
      <c r="CK83" s="466">
        <f>CK17+CK27</f>
        <v>590.15318214959143</v>
      </c>
      <c r="CL83" s="466">
        <f>CL17+CL27</f>
        <v>605.3957615263364</v>
      </c>
      <c r="CM83" s="466">
        <f>CM17+CM27</f>
        <v>646.6088845767008</v>
      </c>
      <c r="CN83" s="467">
        <f>SUM(CJ83:CM83)</f>
        <v>2416.7778282526288</v>
      </c>
      <c r="CO83" s="466">
        <f>CO17+CO27</f>
        <v>649.97931216671884</v>
      </c>
      <c r="CP83" s="466">
        <f>CP17+CP27</f>
        <v>671.10952523035837</v>
      </c>
      <c r="CQ83" s="466">
        <f>CQ17+CQ27</f>
        <v>691.79098301331157</v>
      </c>
      <c r="CR83" s="466">
        <f>CR17+CR27</f>
        <v>742.33764719821534</v>
      </c>
      <c r="CS83" s="467">
        <f>SUM(CO83:CR83)</f>
        <v>2755.2174676086042</v>
      </c>
      <c r="CT83" s="466">
        <f>CT17+CT27</f>
        <v>746.52480548396113</v>
      </c>
      <c r="CU83" s="466">
        <f>CU17+CU27</f>
        <v>767.55282714208647</v>
      </c>
      <c r="CV83" s="466">
        <f>CV17+CV27</f>
        <v>784.03372072958621</v>
      </c>
      <c r="CW83" s="466">
        <f>CW17+CW27</f>
        <v>834.12262570074233</v>
      </c>
      <c r="CX83" s="467">
        <f>SUM(CT83:CW83)</f>
        <v>3132.233979056376</v>
      </c>
      <c r="CY83" s="1113">
        <f>(CN83/BY83)^(1/3)-1</f>
        <v>0.1700167787283029</v>
      </c>
      <c r="DA83" s="126"/>
      <c r="DB83" s="460"/>
      <c r="DC83" s="460"/>
    </row>
    <row r="84" spans="1:107" ht="11.25" customHeight="1">
      <c r="A84" s="1913" t="s">
        <v>219</v>
      </c>
      <c r="B84" s="652"/>
      <c r="C84" s="1280"/>
      <c r="D84" s="653"/>
      <c r="E84" s="653"/>
      <c r="F84" s="1281"/>
      <c r="G84" s="870"/>
      <c r="H84" s="653"/>
      <c r="I84" s="653"/>
      <c r="J84" s="653"/>
      <c r="K84" s="1281"/>
      <c r="L84" s="1280"/>
      <c r="M84" s="1280"/>
      <c r="N84" s="653"/>
      <c r="O84" s="653"/>
      <c r="P84" s="1281"/>
      <c r="Q84" s="870"/>
      <c r="R84" s="653"/>
      <c r="S84" s="653"/>
      <c r="T84" s="653"/>
      <c r="U84" s="653"/>
      <c r="V84" s="870"/>
      <c r="W84" s="653"/>
      <c r="X84" s="653"/>
      <c r="Y84" s="653"/>
      <c r="Z84" s="653"/>
      <c r="AA84" s="870"/>
      <c r="AB84" s="653"/>
      <c r="AC84" s="653"/>
      <c r="AD84" s="653"/>
      <c r="AE84" s="653"/>
      <c r="AF84" s="870"/>
      <c r="AG84" s="1282"/>
      <c r="AH84" s="1282"/>
      <c r="AI84" s="1282"/>
      <c r="AJ84" s="1282"/>
      <c r="AK84" s="870"/>
      <c r="AL84" s="1282"/>
      <c r="AM84" s="1282"/>
      <c r="AN84" s="1282"/>
      <c r="AO84" s="1282"/>
      <c r="AP84" s="870"/>
      <c r="AQ84" s="507"/>
      <c r="AR84" s="507"/>
      <c r="AS84" s="507"/>
      <c r="AT84" s="507"/>
      <c r="AU84" s="1137"/>
      <c r="AV84" s="507">
        <f t="shared" ref="AV84:BT84" si="144">AV83/AQ83-1</f>
        <v>1.0730538922155688</v>
      </c>
      <c r="AW84" s="507">
        <f t="shared" si="144"/>
        <v>1.0978398983481577</v>
      </c>
      <c r="AX84" s="507">
        <f t="shared" si="144"/>
        <v>1.4195183776932825</v>
      </c>
      <c r="AY84" s="507">
        <f t="shared" si="144"/>
        <v>0.85525154457193264</v>
      </c>
      <c r="AZ84" s="1266">
        <f t="shared" si="144"/>
        <v>1.086060948081264</v>
      </c>
      <c r="BA84" s="507">
        <f t="shared" si="144"/>
        <v>0.25245522819179667</v>
      </c>
      <c r="BB84" s="507">
        <f t="shared" si="144"/>
        <v>0.33252574197456086</v>
      </c>
      <c r="BC84" s="507">
        <f t="shared" si="144"/>
        <v>0.13043478260869579</v>
      </c>
      <c r="BD84" s="507">
        <f t="shared" si="144"/>
        <v>0.3087535680304474</v>
      </c>
      <c r="BE84" s="1266">
        <f t="shared" si="144"/>
        <v>0.25483565534965513</v>
      </c>
      <c r="BF84" s="469">
        <f t="shared" si="144"/>
        <v>0.22601476014760147</v>
      </c>
      <c r="BG84" s="507">
        <f t="shared" si="144"/>
        <v>0.16727272727272724</v>
      </c>
      <c r="BH84" s="507">
        <f t="shared" si="144"/>
        <v>0.221964782205746</v>
      </c>
      <c r="BI84" s="507">
        <f t="shared" si="144"/>
        <v>8.6150490730643403E-2</v>
      </c>
      <c r="BJ84" s="1266">
        <f t="shared" si="144"/>
        <v>0.16966691818475788</v>
      </c>
      <c r="BK84" s="469">
        <f t="shared" si="144"/>
        <v>7.1482317531978978E-3</v>
      </c>
      <c r="BL84" s="507">
        <f t="shared" si="144"/>
        <v>0.11137071651090324</v>
      </c>
      <c r="BM84" s="507">
        <f t="shared" si="144"/>
        <v>0.18202502844141066</v>
      </c>
      <c r="BN84" s="507">
        <f t="shared" si="144"/>
        <v>0.21854082998661317</v>
      </c>
      <c r="BO84" s="1266">
        <f t="shared" si="144"/>
        <v>0.13252234817067565</v>
      </c>
      <c r="BP84" s="507">
        <f>BP83/BK83-1</f>
        <v>0.17444901008591707</v>
      </c>
      <c r="BQ84" s="507">
        <f>BQ83/BL83-1</f>
        <v>0.15732305536089708</v>
      </c>
      <c r="BR84" s="507">
        <f>BR83/BM83-1</f>
        <v>7.9884504331087625E-2</v>
      </c>
      <c r="BS84" s="507">
        <f>BS83/BN83-1</f>
        <v>2.6915682504806249E-2</v>
      </c>
      <c r="BT84" s="1266">
        <f t="shared" si="144"/>
        <v>0.10277483928716724</v>
      </c>
      <c r="BU84" s="507">
        <f t="shared" ref="BU84:CH84" si="145">BU83/BP83-1</f>
        <v>0.13613231552162852</v>
      </c>
      <c r="BV84" s="507">
        <f>BV83/BQ83-1</f>
        <v>0.10959733575537389</v>
      </c>
      <c r="BW84" s="507">
        <f>BW83/BR83-1</f>
        <v>0.19578134284016624</v>
      </c>
      <c r="BX84" s="507">
        <f>BX83/BS83-1</f>
        <v>2.3535704733885998E-2</v>
      </c>
      <c r="BY84" s="1266">
        <f t="shared" si="145"/>
        <v>0.11341499409681233</v>
      </c>
      <c r="BZ84" s="507">
        <f t="shared" si="145"/>
        <v>0.13717805151175821</v>
      </c>
      <c r="CA84" s="507">
        <f>CA83/BV83-1</f>
        <v>0.12469304229195077</v>
      </c>
      <c r="CB84" s="507">
        <f>CB83/BW83-1</f>
        <v>6.7329192546583982E-2</v>
      </c>
      <c r="CC84" s="507">
        <f>CC83/BX83-1</f>
        <v>0.27645675463809782</v>
      </c>
      <c r="CD84" s="472">
        <f t="shared" si="145"/>
        <v>0.15083835906952081</v>
      </c>
      <c r="CE84" s="507">
        <f t="shared" si="145"/>
        <v>0.23362875430822272</v>
      </c>
      <c r="CF84" s="469">
        <f t="shared" si="145"/>
        <v>0.25351770984958777</v>
      </c>
      <c r="CG84" s="469">
        <f t="shared" si="145"/>
        <v>0.23254189944134063</v>
      </c>
      <c r="CH84" s="469">
        <f t="shared" si="145"/>
        <v>0.17236438075742067</v>
      </c>
      <c r="CI84" s="472">
        <f t="shared" ref="CI84:CN84" si="146">CI83/CD83-1</f>
        <v>0.22084653037719559</v>
      </c>
      <c r="CJ84" s="475">
        <f t="shared" si="146"/>
        <v>0.14671722211135507</v>
      </c>
      <c r="CK84" s="475">
        <f t="shared" si="146"/>
        <v>0.14215827781999502</v>
      </c>
      <c r="CL84" s="475">
        <f t="shared" si="146"/>
        <v>0.14333477153226903</v>
      </c>
      <c r="CM84" s="475">
        <f t="shared" si="146"/>
        <v>0.12905340418491495</v>
      </c>
      <c r="CN84" s="476">
        <f t="shared" si="146"/>
        <v>0.13998954162859856</v>
      </c>
      <c r="CO84" s="475">
        <f t="shared" ref="CO84:CX84" si="147">CO83/CJ83-1</f>
        <v>0.13114634396073721</v>
      </c>
      <c r="CP84" s="475">
        <f t="shared" si="147"/>
        <v>0.13717852504986783</v>
      </c>
      <c r="CQ84" s="475">
        <f t="shared" si="147"/>
        <v>0.14270866592979403</v>
      </c>
      <c r="CR84" s="475">
        <f t="shared" si="147"/>
        <v>0.14804739759210528</v>
      </c>
      <c r="CS84" s="476">
        <f t="shared" si="147"/>
        <v>0.14003754726625961</v>
      </c>
      <c r="CT84" s="475">
        <f t="shared" si="147"/>
        <v>0.14853625570851792</v>
      </c>
      <c r="CU84" s="475">
        <f t="shared" si="147"/>
        <v>0.14370724641201282</v>
      </c>
      <c r="CV84" s="475">
        <f t="shared" si="147"/>
        <v>0.13333902866799829</v>
      </c>
      <c r="CW84" s="475">
        <f t="shared" si="147"/>
        <v>0.12364316810409459</v>
      </c>
      <c r="CX84" s="476">
        <f t="shared" si="147"/>
        <v>0.13683729719346038</v>
      </c>
      <c r="CY84" s="475"/>
      <c r="DA84" s="871"/>
      <c r="DB84" s="653"/>
      <c r="DC84" s="653"/>
    </row>
    <row r="85" spans="1:107" ht="11.25" customHeight="1">
      <c r="A85" s="1913" t="s">
        <v>220</v>
      </c>
      <c r="B85" s="652"/>
      <c r="C85" s="1280"/>
      <c r="D85" s="653"/>
      <c r="E85" s="653"/>
      <c r="F85" s="1281"/>
      <c r="G85" s="870"/>
      <c r="H85" s="653"/>
      <c r="I85" s="653"/>
      <c r="J85" s="653"/>
      <c r="K85" s="1281"/>
      <c r="L85" s="1280"/>
      <c r="M85" s="1280"/>
      <c r="N85" s="653"/>
      <c r="O85" s="653"/>
      <c r="P85" s="1281"/>
      <c r="Q85" s="870"/>
      <c r="R85" s="653"/>
      <c r="S85" s="653"/>
      <c r="T85" s="653"/>
      <c r="U85" s="653"/>
      <c r="V85" s="870"/>
      <c r="W85" s="653"/>
      <c r="X85" s="653"/>
      <c r="Y85" s="653"/>
      <c r="Z85" s="653"/>
      <c r="AA85" s="870"/>
      <c r="AB85" s="653"/>
      <c r="AC85" s="653"/>
      <c r="AD85" s="653"/>
      <c r="AE85" s="653"/>
      <c r="AF85" s="870"/>
      <c r="AG85" s="1282"/>
      <c r="AH85" s="1282"/>
      <c r="AI85" s="1282"/>
      <c r="AJ85" s="1282"/>
      <c r="AK85" s="870"/>
      <c r="AL85" s="1282"/>
      <c r="AM85" s="1282"/>
      <c r="AN85" s="1282"/>
      <c r="AO85" s="1282"/>
      <c r="AP85" s="870"/>
      <c r="AQ85" s="507"/>
      <c r="AR85" s="507"/>
      <c r="AS85" s="507"/>
      <c r="AT85" s="507"/>
      <c r="AU85" s="1137"/>
      <c r="AV85" s="507">
        <f>AV83/AT83-1</f>
        <v>0.52780229479258578</v>
      </c>
      <c r="AW85" s="507">
        <f>AW83/AV83-1</f>
        <v>-4.6216060080878085E-2</v>
      </c>
      <c r="AX85" s="507">
        <f>AX83/AW83-1</f>
        <v>0.15626892792247138</v>
      </c>
      <c r="AY85" s="507">
        <f>AY83/AX83-1</f>
        <v>0.10110005238344666</v>
      </c>
      <c r="AZ85" s="1266"/>
      <c r="BA85" s="507">
        <f>BA83/AY83-1</f>
        <v>3.1398667935299773E-2</v>
      </c>
      <c r="BB85" s="507">
        <f>BB83/BA83-1</f>
        <v>1.4760147601476037E-2</v>
      </c>
      <c r="BC85" s="469">
        <f>BC83/BB83-1</f>
        <v>-1.9090909090909047E-2</v>
      </c>
      <c r="BD85" s="507">
        <f>BD83/BC83-1</f>
        <v>0.27479147358665434</v>
      </c>
      <c r="BE85" s="1266"/>
      <c r="BF85" s="469">
        <f>BF83/BD83-1</f>
        <v>-3.3805888767720838E-2</v>
      </c>
      <c r="BG85" s="507">
        <f>BG83/BF83-1</f>
        <v>-3.3860045146726914E-2</v>
      </c>
      <c r="BH85" s="507">
        <f>BH83/BG83-1</f>
        <v>2.6869158878504606E-2</v>
      </c>
      <c r="BI85" s="507">
        <f>BI83/BH83-1</f>
        <v>0.13310580204778155</v>
      </c>
      <c r="BJ85" s="1266"/>
      <c r="BK85" s="469">
        <f>BK83/BI83-1</f>
        <v>-0.10408299866131199</v>
      </c>
      <c r="BL85" s="507">
        <f>BL83/BK83-1</f>
        <v>6.6118789689951329E-2</v>
      </c>
      <c r="BM85" s="507">
        <f>BM83/BL83-1</f>
        <v>9.2151366503153476E-2</v>
      </c>
      <c r="BN85" s="507">
        <f>BN83/BM83-1</f>
        <v>0.16811036252807199</v>
      </c>
      <c r="BO85" s="1266"/>
      <c r="BP85" s="507">
        <f>BP83/BN83-1</f>
        <v>-0.13650096127437528</v>
      </c>
      <c r="BQ85" s="507">
        <f>BQ83/BP83-1</f>
        <v>5.0572519083969647E-2</v>
      </c>
      <c r="BR85" s="507">
        <f>BR83/BQ83-1</f>
        <v>1.9073569482288777E-2</v>
      </c>
      <c r="BS85" s="507">
        <f>BS83/BR83-1</f>
        <v>0.11081402257872841</v>
      </c>
      <c r="BT85" s="1266"/>
      <c r="BU85" s="507">
        <f>BU83/BS83-1</f>
        <v>-4.4664348756351946E-2</v>
      </c>
      <c r="BV85" s="507">
        <f>BV83/BU83-1</f>
        <v>2.6035834266517455E-2</v>
      </c>
      <c r="BW85" s="507">
        <f>BW83/BV83-1</f>
        <v>9.8226466575716209E-2</v>
      </c>
      <c r="BX85" s="507">
        <f>BX83/BW83-1</f>
        <v>-4.9192546583850971E-2</v>
      </c>
      <c r="BY85" s="1266"/>
      <c r="BZ85" s="507">
        <f>BZ83/BX83-1</f>
        <v>6.14058008884244E-2</v>
      </c>
      <c r="CA85" s="507">
        <f>CA83/BZ83-1</f>
        <v>1.477104874446078E-2</v>
      </c>
      <c r="CB85" s="507">
        <f>CB83/CA83-1</f>
        <v>4.2212518195051008E-2</v>
      </c>
      <c r="CC85" s="507">
        <f>CC83/CB83-1</f>
        <v>0.13710428305400368</v>
      </c>
      <c r="CD85" s="508"/>
      <c r="CE85" s="507">
        <f>CE83/CC83-1</f>
        <v>2.5793244626407308E-2</v>
      </c>
      <c r="CF85" s="469">
        <f>CF83/CE83-1</f>
        <v>3.1131510676511764E-2</v>
      </c>
      <c r="CG85" s="469">
        <f>CG83/CF83-1</f>
        <v>2.4772595316431056E-2</v>
      </c>
      <c r="CH85" s="469">
        <f>CH83/CG83-1</f>
        <v>8.1586402266289104E-2</v>
      </c>
      <c r="CI85" s="508"/>
      <c r="CJ85" s="475">
        <f>CJ83/CH83-1</f>
        <v>3.3525405971712718E-3</v>
      </c>
      <c r="CK85" s="475">
        <f>CK83/CJ83-1</f>
        <v>2.7032094513924632E-2</v>
      </c>
      <c r="CL85" s="475">
        <f>CL83/CK83-1</f>
        <v>2.5828174510937885E-2</v>
      </c>
      <c r="CM85" s="475">
        <f>CM83/CL83-1</f>
        <v>6.8076332325910371E-2</v>
      </c>
      <c r="CN85" s="1267"/>
      <c r="CO85" s="475">
        <f>CO83/CM83-1</f>
        <v>5.2124671813387202E-3</v>
      </c>
      <c r="CP85" s="475">
        <f>CP83/CO83-1</f>
        <v>3.2509054777761337E-2</v>
      </c>
      <c r="CQ85" s="475">
        <f>CQ83/CP83-1</f>
        <v>3.0816814551774208E-2</v>
      </c>
      <c r="CR85" s="475">
        <f>CR83/CQ83-1</f>
        <v>7.3066381936248925E-2</v>
      </c>
      <c r="CS85" s="1267"/>
      <c r="CT85" s="475">
        <f>CT83/CR83-1</f>
        <v>5.6405037539848379E-3</v>
      </c>
      <c r="CU85" s="475">
        <f>CU83/CT83-1</f>
        <v>2.8167880696868819E-2</v>
      </c>
      <c r="CV85" s="475">
        <f>CV83/CU83-1</f>
        <v>2.1471999065999059E-2</v>
      </c>
      <c r="CW85" s="475">
        <f>CW83/CV83-1</f>
        <v>6.3886161585684942E-2</v>
      </c>
      <c r="CX85" s="1267"/>
      <c r="CY85" s="1283"/>
      <c r="DA85" s="871"/>
      <c r="DB85" s="653"/>
      <c r="DC85" s="653"/>
    </row>
    <row r="86" spans="1:107">
      <c r="A86" s="90"/>
      <c r="B86" s="90"/>
      <c r="C86" s="205"/>
      <c r="D86" s="206"/>
      <c r="E86" s="206"/>
      <c r="F86" s="207"/>
      <c r="G86" s="208"/>
      <c r="H86" s="205"/>
      <c r="I86" s="206"/>
      <c r="J86" s="206"/>
      <c r="K86" s="207"/>
      <c r="L86" s="205"/>
      <c r="M86" s="205"/>
      <c r="N86" s="206"/>
      <c r="O86" s="206"/>
      <c r="P86" s="207"/>
      <c r="Q86" s="208"/>
      <c r="R86" s="90"/>
      <c r="S86" s="90"/>
      <c r="T86" s="90"/>
      <c r="U86" s="90"/>
      <c r="V86" s="208"/>
      <c r="W86" s="90"/>
      <c r="X86" s="90"/>
      <c r="Y86" s="90"/>
      <c r="Z86" s="90"/>
      <c r="AA86" s="208"/>
      <c r="AB86" s="90"/>
      <c r="AC86" s="358"/>
      <c r="AD86" s="358"/>
      <c r="AE86" s="90"/>
      <c r="AF86" s="208"/>
      <c r="AG86" s="200"/>
      <c r="AH86" s="200"/>
      <c r="AI86" s="200"/>
      <c r="AJ86" s="200"/>
      <c r="AK86" s="522"/>
      <c r="AL86" s="200"/>
      <c r="AM86" s="200"/>
      <c r="AN86" s="200"/>
      <c r="AO86" s="200"/>
      <c r="AP86" s="522"/>
      <c r="AQ86" s="200"/>
      <c r="AR86" s="441"/>
      <c r="AS86" s="441"/>
      <c r="AT86" s="200"/>
      <c r="AU86" s="384"/>
      <c r="AV86" s="200"/>
      <c r="AW86" s="200"/>
      <c r="AX86" s="200"/>
      <c r="AY86" s="200"/>
      <c r="AZ86" s="384"/>
      <c r="BA86" s="441"/>
      <c r="BB86" s="441"/>
      <c r="BC86" s="200"/>
      <c r="BD86" s="200"/>
      <c r="BE86" s="384"/>
      <c r="BF86" s="200"/>
      <c r="BG86" s="441"/>
      <c r="BH86" s="441"/>
      <c r="BI86" s="200"/>
      <c r="BJ86" s="384"/>
      <c r="BK86" s="441"/>
      <c r="BL86" s="441"/>
      <c r="BM86" s="441"/>
      <c r="BN86" s="441"/>
      <c r="BO86" s="1918"/>
      <c r="BP86" s="441"/>
      <c r="BQ86" s="441"/>
      <c r="BR86" s="441"/>
      <c r="BS86" s="441"/>
      <c r="BT86" s="1918"/>
      <c r="BU86" s="441"/>
      <c r="BV86" s="441"/>
      <c r="BW86" s="441"/>
      <c r="BX86" s="441"/>
      <c r="BY86" s="1918"/>
      <c r="BZ86" s="441"/>
      <c r="CA86" s="441"/>
      <c r="CB86" s="441"/>
      <c r="CC86" s="441"/>
      <c r="CD86" s="1918"/>
      <c r="CE86" s="200"/>
      <c r="CF86" s="200"/>
      <c r="CG86" s="200"/>
      <c r="CH86" s="200"/>
      <c r="CI86" s="1918"/>
      <c r="CJ86" s="441"/>
      <c r="CK86" s="441"/>
      <c r="CL86" s="441"/>
      <c r="CM86" s="441"/>
      <c r="CN86" s="1919"/>
      <c r="CO86" s="441"/>
      <c r="CP86" s="441"/>
      <c r="CQ86" s="441"/>
      <c r="CR86" s="441"/>
      <c r="CS86" s="1919"/>
      <c r="CT86" s="441"/>
      <c r="CU86" s="441"/>
      <c r="CV86" s="441"/>
      <c r="CW86" s="441"/>
      <c r="CX86" s="1919"/>
      <c r="CY86" s="1724"/>
      <c r="DA86" s="201"/>
      <c r="DB86" s="200"/>
      <c r="DC86" s="200"/>
    </row>
    <row r="87" spans="1:107">
      <c r="A87" s="90"/>
      <c r="B87" s="90"/>
      <c r="C87" s="205"/>
      <c r="D87" s="206"/>
      <c r="E87" s="206"/>
      <c r="F87" s="207"/>
      <c r="G87" s="208"/>
      <c r="H87" s="205"/>
      <c r="I87" s="206"/>
      <c r="J87" s="206"/>
      <c r="K87" s="207"/>
      <c r="L87" s="205"/>
      <c r="M87" s="205"/>
      <c r="N87" s="206"/>
      <c r="O87" s="206"/>
      <c r="P87" s="207"/>
      <c r="Q87" s="208"/>
      <c r="R87" s="90"/>
      <c r="S87" s="90"/>
      <c r="T87" s="90"/>
      <c r="U87" s="90"/>
      <c r="V87" s="208"/>
      <c r="W87" s="90"/>
      <c r="X87" s="90"/>
      <c r="Y87" s="90"/>
      <c r="Z87" s="90"/>
      <c r="AA87" s="208"/>
      <c r="AB87" s="90"/>
      <c r="AC87" s="358"/>
      <c r="AD87" s="358"/>
      <c r="AE87" s="90"/>
      <c r="AF87" s="208"/>
      <c r="AG87" s="200"/>
      <c r="AH87" s="200"/>
      <c r="AI87" s="200"/>
      <c r="AJ87" s="200"/>
      <c r="AK87" s="522"/>
      <c r="AL87" s="200"/>
      <c r="AM87" s="200"/>
      <c r="AN87" s="200"/>
      <c r="AO87" s="200"/>
      <c r="AP87" s="522"/>
      <c r="AQ87" s="200"/>
      <c r="AR87" s="441"/>
      <c r="AS87" s="441"/>
      <c r="AT87" s="200"/>
      <c r="AU87" s="384"/>
      <c r="AV87" s="200"/>
      <c r="AW87" s="200"/>
      <c r="AX87" s="200"/>
      <c r="AY87" s="200"/>
      <c r="AZ87" s="384"/>
      <c r="BA87" s="441"/>
      <c r="BB87" s="441"/>
      <c r="BC87" s="200"/>
      <c r="BD87" s="200"/>
      <c r="BE87" s="384"/>
      <c r="BF87" s="200"/>
      <c r="BG87" s="441"/>
      <c r="BH87" s="441"/>
      <c r="BI87" s="200"/>
      <c r="BJ87" s="384"/>
      <c r="BK87" s="441"/>
      <c r="BL87" s="441"/>
      <c r="BM87" s="441"/>
      <c r="BN87" s="441"/>
      <c r="BO87" s="1918"/>
      <c r="BP87" s="441"/>
      <c r="BQ87" s="441"/>
      <c r="BR87" s="441"/>
      <c r="BS87" s="441"/>
      <c r="BT87" s="1918"/>
      <c r="BU87" s="441"/>
      <c r="BV87" s="441"/>
      <c r="BW87" s="441"/>
      <c r="BX87" s="441"/>
      <c r="BY87" s="1918"/>
      <c r="BZ87" s="441"/>
      <c r="CA87" s="441"/>
      <c r="CB87" s="441"/>
      <c r="CC87" s="441"/>
      <c r="CD87" s="1918"/>
      <c r="CE87" s="200"/>
      <c r="CF87" s="200"/>
      <c r="CG87" s="200"/>
      <c r="CH87" s="200"/>
      <c r="CI87" s="1918"/>
      <c r="CJ87" s="441"/>
      <c r="CK87" s="441"/>
      <c r="CL87" s="441"/>
      <c r="CM87" s="441"/>
      <c r="CN87" s="1919"/>
      <c r="CO87" s="441"/>
      <c r="CP87" s="441"/>
      <c r="CQ87" s="441"/>
      <c r="CR87" s="441"/>
      <c r="CS87" s="1919"/>
      <c r="CT87" s="441"/>
      <c r="CU87" s="441"/>
      <c r="CV87" s="441"/>
      <c r="CW87" s="441"/>
      <c r="CX87" s="1919"/>
      <c r="CY87" s="1724"/>
      <c r="DA87" s="201"/>
      <c r="DB87" s="200"/>
      <c r="DC87" s="200"/>
    </row>
    <row r="88" spans="1:107" ht="11.25" hidden="1" customHeight="1" outlineLevel="1">
      <c r="A88" s="1270" t="s">
        <v>499</v>
      </c>
      <c r="B88" s="654"/>
      <c r="C88" s="1271"/>
      <c r="D88" s="866"/>
      <c r="E88" s="866"/>
      <c r="F88" s="1272"/>
      <c r="G88" s="867"/>
      <c r="H88" s="1271"/>
      <c r="I88" s="866"/>
      <c r="J88" s="866"/>
      <c r="K88" s="1272"/>
      <c r="L88" s="1271"/>
      <c r="M88" s="1271"/>
      <c r="N88" s="866"/>
      <c r="O88" s="866"/>
      <c r="P88" s="1272"/>
      <c r="Q88" s="867"/>
      <c r="R88" s="866"/>
      <c r="S88" s="866"/>
      <c r="T88" s="866"/>
      <c r="U88" s="866"/>
      <c r="V88" s="867"/>
      <c r="W88" s="866"/>
      <c r="X88" s="866"/>
      <c r="Y88" s="866"/>
      <c r="Z88" s="866"/>
      <c r="AA88" s="867"/>
      <c r="AB88" s="866"/>
      <c r="AC88" s="866"/>
      <c r="AD88" s="866"/>
      <c r="AE88" s="866"/>
      <c r="AF88" s="867"/>
      <c r="AG88" s="1273"/>
      <c r="AH88" s="1273"/>
      <c r="AI88" s="1273"/>
      <c r="AJ88" s="1273"/>
      <c r="AK88" s="867"/>
      <c r="AL88" s="1273"/>
      <c r="AM88" s="1273"/>
      <c r="AN88" s="1273"/>
      <c r="AO88" s="1273"/>
      <c r="AP88" s="867"/>
      <c r="AQ88" s="1274"/>
      <c r="AR88" s="1274"/>
      <c r="AS88" s="1274"/>
      <c r="AT88" s="1275"/>
      <c r="AU88" s="1276"/>
      <c r="AV88" s="1274"/>
      <c r="AW88" s="1274"/>
      <c r="AX88" s="1274"/>
      <c r="AY88" s="1275"/>
      <c r="AZ88" s="1276"/>
      <c r="BA88" s="1277"/>
      <c r="BB88" s="1277"/>
      <c r="BC88" s="1324"/>
      <c r="BD88" s="1275"/>
      <c r="BE88" s="1276"/>
      <c r="BF88" s="1324"/>
      <c r="BG88" s="1279"/>
      <c r="BH88" s="1279"/>
      <c r="BI88" s="1275"/>
      <c r="BJ88" s="1276"/>
      <c r="BK88" s="1279"/>
      <c r="BL88" s="1279"/>
      <c r="BM88" s="1279"/>
      <c r="BN88" s="1279"/>
      <c r="BO88" s="1278"/>
      <c r="BP88" s="1279"/>
      <c r="BQ88" s="1279"/>
      <c r="BR88" s="1279"/>
      <c r="BS88" s="1279"/>
      <c r="BT88" s="1278"/>
      <c r="BU88" s="1279"/>
      <c r="BV88" s="1279"/>
      <c r="BW88" s="1279"/>
      <c r="BX88" s="1279"/>
      <c r="BY88" s="1278"/>
      <c r="BZ88" s="1279"/>
      <c r="CA88" s="1279"/>
      <c r="CB88" s="1279"/>
      <c r="CC88" s="1279"/>
      <c r="CD88" s="1832"/>
      <c r="CE88" s="1324"/>
      <c r="CF88" s="1324"/>
      <c r="CG88" s="1324"/>
      <c r="CH88" s="1324"/>
      <c r="CI88" s="1832"/>
      <c r="CJ88" s="1279"/>
      <c r="CK88" s="1279"/>
      <c r="CL88" s="1279"/>
      <c r="CM88" s="1279"/>
      <c r="CN88" s="1278"/>
      <c r="CO88" s="1279"/>
      <c r="CP88" s="1279"/>
      <c r="CQ88" s="1279"/>
      <c r="CR88" s="1279"/>
      <c r="CS88" s="1278"/>
      <c r="CT88" s="1279"/>
      <c r="CU88" s="1279"/>
      <c r="CV88" s="1279"/>
      <c r="CW88" s="1279"/>
      <c r="CX88" s="1278"/>
      <c r="CY88" s="1725"/>
      <c r="DA88" s="126"/>
      <c r="DB88" s="117"/>
      <c r="DC88" s="117"/>
    </row>
    <row r="89" spans="1:107" ht="11.25" hidden="1" customHeight="1" outlineLevel="1">
      <c r="A89" s="392" t="s">
        <v>76</v>
      </c>
      <c r="B89" s="114"/>
      <c r="C89" s="116"/>
      <c r="D89" s="117"/>
      <c r="E89" s="117"/>
      <c r="F89" s="118"/>
      <c r="G89" s="119"/>
      <c r="H89" s="116"/>
      <c r="I89" s="117"/>
      <c r="J89" s="117"/>
      <c r="K89" s="118"/>
      <c r="L89" s="116"/>
      <c r="M89" s="116"/>
      <c r="N89" s="117"/>
      <c r="O89" s="117"/>
      <c r="P89" s="118"/>
      <c r="Q89" s="119"/>
      <c r="R89" s="117"/>
      <c r="S89" s="117"/>
      <c r="T89" s="117"/>
      <c r="U89" s="117"/>
      <c r="V89" s="119"/>
      <c r="W89" s="117"/>
      <c r="X89" s="117"/>
      <c r="Y89" s="117"/>
      <c r="Z89" s="117"/>
      <c r="AA89" s="119"/>
      <c r="AB89" s="117"/>
      <c r="AC89" s="117"/>
      <c r="AD89" s="117"/>
      <c r="AE89" s="117"/>
      <c r="AF89" s="119"/>
      <c r="AG89" s="121"/>
      <c r="AH89" s="121"/>
      <c r="AI89" s="121"/>
      <c r="AJ89" s="121"/>
      <c r="AK89" s="119"/>
      <c r="AL89" s="121"/>
      <c r="AM89" s="121"/>
      <c r="AN89" s="121"/>
      <c r="AO89" s="121"/>
      <c r="AP89" s="119"/>
      <c r="AQ89" s="1113"/>
      <c r="AR89" s="1113"/>
      <c r="AS89" s="1113"/>
      <c r="AT89" s="1136"/>
      <c r="AU89" s="1137"/>
      <c r="AV89" s="1113"/>
      <c r="AW89" s="1113"/>
      <c r="AX89" s="1113"/>
      <c r="AY89" s="1136"/>
      <c r="AZ89" s="1137"/>
      <c r="BA89" s="1056"/>
      <c r="BB89" s="1056"/>
      <c r="BC89" s="1056"/>
      <c r="BD89" s="1136"/>
      <c r="BE89" s="1137"/>
      <c r="BF89" s="1295"/>
      <c r="BG89" s="1056"/>
      <c r="BH89" s="1056"/>
      <c r="BI89" s="1136"/>
      <c r="BJ89" s="1137"/>
      <c r="BK89" s="1056"/>
      <c r="BL89" s="1056"/>
      <c r="BM89" s="1056"/>
      <c r="BN89" s="1056"/>
      <c r="BO89" s="1268"/>
      <c r="BP89" s="1056"/>
      <c r="BQ89" s="1056"/>
      <c r="BR89" s="1056"/>
      <c r="BS89" s="1056"/>
      <c r="BT89" s="1268"/>
      <c r="BU89" s="1056"/>
      <c r="BV89" s="1056"/>
      <c r="BW89" s="1056"/>
      <c r="BX89" s="1056"/>
      <c r="BY89" s="1268"/>
      <c r="BZ89" s="1056"/>
      <c r="CA89" s="1056"/>
      <c r="CB89" s="1056"/>
      <c r="CC89" s="1056"/>
      <c r="CD89" s="1137"/>
      <c r="CE89" s="1295"/>
      <c r="CF89" s="1295"/>
      <c r="CG89" s="1295"/>
      <c r="CH89" s="1295"/>
      <c r="CI89" s="1137"/>
      <c r="CJ89" s="1056"/>
      <c r="CK89" s="1056"/>
      <c r="CL89" s="1056"/>
      <c r="CM89" s="1056"/>
      <c r="CN89" s="1268"/>
      <c r="CO89" s="1056"/>
      <c r="CP89" s="1056"/>
      <c r="CQ89" s="1056"/>
      <c r="CR89" s="1056"/>
      <c r="CS89" s="1268"/>
      <c r="CT89" s="1056"/>
      <c r="CU89" s="1056"/>
      <c r="CV89" s="1056"/>
      <c r="CW89" s="1056"/>
      <c r="CX89" s="1268"/>
      <c r="CY89" s="1719"/>
      <c r="DA89" s="126"/>
      <c r="DB89" s="117"/>
      <c r="DC89" s="117"/>
    </row>
    <row r="90" spans="1:107" ht="11.25" hidden="1" customHeight="1" outlineLevel="1">
      <c r="A90" s="457" t="s">
        <v>63</v>
      </c>
      <c r="B90" s="458"/>
      <c r="C90" s="459"/>
      <c r="D90" s="460"/>
      <c r="E90" s="460"/>
      <c r="F90" s="461"/>
      <c r="G90" s="462"/>
      <c r="H90" s="459"/>
      <c r="I90" s="460"/>
      <c r="J90" s="460"/>
      <c r="K90" s="461"/>
      <c r="L90" s="459"/>
      <c r="M90" s="459"/>
      <c r="N90" s="460"/>
      <c r="O90" s="460"/>
      <c r="P90" s="461"/>
      <c r="Q90" s="462"/>
      <c r="R90" s="460"/>
      <c r="S90" s="460"/>
      <c r="T90" s="460"/>
      <c r="U90" s="460"/>
      <c r="V90" s="463"/>
      <c r="W90" s="464"/>
      <c r="X90" s="464"/>
      <c r="Y90" s="464"/>
      <c r="Z90" s="458"/>
      <c r="AA90" s="465"/>
      <c r="AB90" s="464"/>
      <c r="AC90" s="464"/>
      <c r="AD90" s="464"/>
      <c r="AE90" s="464"/>
      <c r="AF90" s="465"/>
      <c r="AG90" s="458"/>
      <c r="AH90" s="458"/>
      <c r="AI90" s="458"/>
      <c r="AJ90" s="458"/>
      <c r="AK90" s="465"/>
      <c r="AL90" s="458"/>
      <c r="AM90" s="458"/>
      <c r="AN90" s="458"/>
      <c r="AO90" s="458"/>
      <c r="AP90" s="465"/>
      <c r="AQ90" s="458">
        <v>361.8</v>
      </c>
      <c r="AR90" s="458">
        <v>320.3</v>
      </c>
      <c r="AS90" s="458">
        <v>322.7</v>
      </c>
      <c r="AT90" s="458">
        <v>326.8</v>
      </c>
      <c r="AU90" s="465">
        <f>SUM(AQ90:AT90)</f>
        <v>1331.6</v>
      </c>
      <c r="AV90" s="458">
        <v>332.6</v>
      </c>
      <c r="AW90" s="458">
        <v>423.3</v>
      </c>
      <c r="AX90" s="458">
        <v>416.9</v>
      </c>
      <c r="AY90" s="458">
        <v>404.8</v>
      </c>
      <c r="AZ90" s="465">
        <f>SUM(AV90:AY90)</f>
        <v>1577.6000000000001</v>
      </c>
      <c r="BA90" s="458">
        <v>424.8</v>
      </c>
      <c r="BB90" s="458">
        <v>433.1</v>
      </c>
      <c r="BC90" s="458">
        <v>417.9</v>
      </c>
      <c r="BD90" s="458">
        <v>437.2</v>
      </c>
      <c r="BE90" s="465">
        <f>SUM(BA90:BD90)</f>
        <v>1713.0000000000002</v>
      </c>
      <c r="BF90" s="458">
        <f>BD90*(1+BF91)</f>
        <v>409.21919999999994</v>
      </c>
      <c r="BG90" s="466">
        <f>BF90*(1+BG91)</f>
        <v>448.09502399999991</v>
      </c>
      <c r="BH90" s="466">
        <f>BG90*(1+BH91)</f>
        <v>452.57597423999994</v>
      </c>
      <c r="BI90" s="458">
        <f>BH90*(1+BI91)</f>
        <v>470.67901320959993</v>
      </c>
      <c r="BJ90" s="465">
        <f>SUM(BF90:BI90)</f>
        <v>1780.5692114495996</v>
      </c>
      <c r="BK90" s="466">
        <f>BI90*(1+BK91)</f>
        <v>444.79166748307193</v>
      </c>
      <c r="BL90" s="466">
        <f>BK90*(1+BL91)</f>
        <v>462.58333418239482</v>
      </c>
      <c r="BM90" s="466">
        <f>BL90*(1+BM91)</f>
        <v>469.52208419513067</v>
      </c>
      <c r="BN90" s="466">
        <f>BM90*(1+BN91)</f>
        <v>492.99818840488723</v>
      </c>
      <c r="BO90" s="467">
        <f>SUM(BK90:BN90)</f>
        <v>1869.8952742654847</v>
      </c>
      <c r="BP90" s="466">
        <f>BN90*(1+BP91)</f>
        <v>478.2082427527406</v>
      </c>
      <c r="BQ90" s="466">
        <f>BP90*(1+BQ91)</f>
        <v>502.11865489037763</v>
      </c>
      <c r="BR90" s="466">
        <f>BQ90*(1+BR91)</f>
        <v>512.1610279881852</v>
      </c>
      <c r="BS90" s="466">
        <f>BR90*(1+BS91)</f>
        <v>542.89068966747629</v>
      </c>
      <c r="BT90" s="467">
        <f>SUM(BP90:BS90)</f>
        <v>2035.3786152987796</v>
      </c>
      <c r="BU90" s="466">
        <f>BS90*(1+BU91)</f>
        <v>526.60396897745204</v>
      </c>
      <c r="BV90" s="466">
        <f>BU90*(1+BV91)</f>
        <v>552.93416742632462</v>
      </c>
      <c r="BW90" s="466">
        <f>BV90*(1+BW91)</f>
        <v>563.99285077485115</v>
      </c>
      <c r="BX90" s="466">
        <f>BW90*(1+BX91)</f>
        <v>597.83242182134222</v>
      </c>
      <c r="BY90" s="467">
        <f>SUM(BU90:BX90)</f>
        <v>2241.36340899997</v>
      </c>
      <c r="BZ90" s="466">
        <f>BX90*(1+BZ91)</f>
        <v>579.8974491667019</v>
      </c>
      <c r="CA90" s="466">
        <f>BZ90*(1+CA91)</f>
        <v>608.89232162503697</v>
      </c>
      <c r="CB90" s="466">
        <f>CA90*(1+CB91)</f>
        <v>621.07016805753767</v>
      </c>
      <c r="CC90" s="466">
        <f>CB90*(1+CC91)</f>
        <v>658.33437814099</v>
      </c>
      <c r="CD90" s="465">
        <f>SUM(BZ90:CC90)</f>
        <v>2468.1943169902665</v>
      </c>
      <c r="CE90" s="458">
        <f>CC90*(1+CE91)</f>
        <v>638.58434679676031</v>
      </c>
      <c r="CF90" s="458">
        <f>CE90*(1+CF91)</f>
        <v>670.51356413659835</v>
      </c>
      <c r="CG90" s="458">
        <f>CF90*(1+CG91)</f>
        <v>683.92383541933032</v>
      </c>
      <c r="CH90" s="458">
        <f>CG90*(1+CH91)</f>
        <v>724.95926554449022</v>
      </c>
      <c r="CI90" s="465">
        <f>SUM(CE90:CH90)</f>
        <v>2717.9810118971791</v>
      </c>
      <c r="CJ90" s="466">
        <f>CH90*(1+CJ91)</f>
        <v>703.21048757815549</v>
      </c>
      <c r="CK90" s="466">
        <f>CJ90*(1+CK91)</f>
        <v>738.37101195706327</v>
      </c>
      <c r="CL90" s="466">
        <f>CK90*(1+CL91)</f>
        <v>753.13843219620458</v>
      </c>
      <c r="CM90" s="466">
        <f>CL90*(1+CM91)</f>
        <v>798.32673812797691</v>
      </c>
      <c r="CN90" s="467">
        <f>SUM(CJ90:CM90)</f>
        <v>2993.0466698594005</v>
      </c>
      <c r="CO90" s="466">
        <f>CM90*(1+CO91)</f>
        <v>774.37693598413762</v>
      </c>
      <c r="CP90" s="466">
        <f>CO90*(1+CP91)</f>
        <v>813.09578278334459</v>
      </c>
      <c r="CQ90" s="466">
        <f>CP90*(1+CQ91)</f>
        <v>829.35769843901153</v>
      </c>
      <c r="CR90" s="466">
        <f>CQ90*(1+CR91)</f>
        <v>879.11916034535227</v>
      </c>
      <c r="CS90" s="467">
        <f>SUM(CO90:CR90)</f>
        <v>3295.9495775518458</v>
      </c>
      <c r="CT90" s="466">
        <f>CR90*(1+CT91)</f>
        <v>852.74558553499173</v>
      </c>
      <c r="CU90" s="466">
        <f>CT90*(1+CU91)</f>
        <v>895.38286481174134</v>
      </c>
      <c r="CV90" s="466">
        <f>CU90*(1+CV91)</f>
        <v>913.29052210797613</v>
      </c>
      <c r="CW90" s="466">
        <f>CV90*(1+CW91)</f>
        <v>968.08795343445479</v>
      </c>
      <c r="CX90" s="467">
        <f>SUM(CT90:CW90)</f>
        <v>3629.5069258891644</v>
      </c>
      <c r="CY90" s="466"/>
      <c r="DA90" s="126"/>
      <c r="DB90" s="460"/>
      <c r="DC90" s="460"/>
    </row>
    <row r="91" spans="1:107" ht="11.25" hidden="1" customHeight="1" outlineLevel="1">
      <c r="A91" s="468" t="s">
        <v>78</v>
      </c>
      <c r="B91" s="652"/>
      <c r="C91" s="1280"/>
      <c r="D91" s="653"/>
      <c r="E91" s="653"/>
      <c r="F91" s="1281"/>
      <c r="G91" s="870"/>
      <c r="H91" s="1280"/>
      <c r="I91" s="653"/>
      <c r="J91" s="653"/>
      <c r="K91" s="1281"/>
      <c r="L91" s="1280"/>
      <c r="M91" s="1280"/>
      <c r="N91" s="653"/>
      <c r="O91" s="653"/>
      <c r="P91" s="1281"/>
      <c r="Q91" s="870"/>
      <c r="R91" s="653"/>
      <c r="S91" s="653"/>
      <c r="T91" s="653"/>
      <c r="U91" s="653"/>
      <c r="V91" s="870"/>
      <c r="W91" s="653"/>
      <c r="X91" s="653"/>
      <c r="Y91" s="653"/>
      <c r="Z91" s="653"/>
      <c r="AA91" s="870"/>
      <c r="AB91" s="653"/>
      <c r="AC91" s="653"/>
      <c r="AD91" s="653"/>
      <c r="AE91" s="653"/>
      <c r="AF91" s="870"/>
      <c r="AG91" s="1282"/>
      <c r="AH91" s="1282"/>
      <c r="AI91" s="1282"/>
      <c r="AJ91" s="1282"/>
      <c r="AK91" s="870"/>
      <c r="AL91" s="1282"/>
      <c r="AM91" s="1282"/>
      <c r="AN91" s="1282"/>
      <c r="AO91" s="1282"/>
      <c r="AP91" s="870"/>
      <c r="AQ91" s="507"/>
      <c r="AR91" s="507">
        <f>AR90/AQ90-1</f>
        <v>-0.11470425649530125</v>
      </c>
      <c r="AS91" s="507">
        <f>AS90/AR90-1</f>
        <v>7.4929753356227646E-3</v>
      </c>
      <c r="AT91" s="507">
        <f>AT90/AS90-1</f>
        <v>1.2705299039355467E-2</v>
      </c>
      <c r="AU91" s="1137"/>
      <c r="AV91" s="507">
        <f>AV90/AQ90-1</f>
        <v>-8.0707573244886643E-2</v>
      </c>
      <c r="AW91" s="507">
        <f>AW90/AV90-1</f>
        <v>0.2726999398677088</v>
      </c>
      <c r="AX91" s="507">
        <f>AX90/AW90-1</f>
        <v>-1.5119300732341245E-2</v>
      </c>
      <c r="AY91" s="507">
        <f>AY90/AX90-1</f>
        <v>-2.9023746701846931E-2</v>
      </c>
      <c r="AZ91" s="1137"/>
      <c r="BA91" s="507">
        <f>BA90/AY90-1</f>
        <v>4.9407114624505866E-2</v>
      </c>
      <c r="BB91" s="507">
        <f>BB90/BA90-1</f>
        <v>1.9538606403013192E-2</v>
      </c>
      <c r="BC91" s="507">
        <f>BC90/BB90-1</f>
        <v>-3.5095820826599011E-2</v>
      </c>
      <c r="BD91" s="507">
        <f>BD90/BC90-1</f>
        <v>4.618329743957883E-2</v>
      </c>
      <c r="BE91" s="1137"/>
      <c r="BF91" s="469">
        <v>-6.4000000000000001E-2</v>
      </c>
      <c r="BG91" s="475">
        <v>9.5000000000000001E-2</v>
      </c>
      <c r="BH91" s="475">
        <v>0.01</v>
      </c>
      <c r="BI91" s="507">
        <v>0.04</v>
      </c>
      <c r="BJ91" s="1137"/>
      <c r="BK91" s="475">
        <v>-5.5E-2</v>
      </c>
      <c r="BL91" s="475">
        <v>0.04</v>
      </c>
      <c r="BM91" s="475">
        <v>1.4999999999999999E-2</v>
      </c>
      <c r="BN91" s="475">
        <v>0.05</v>
      </c>
      <c r="BO91" s="476"/>
      <c r="BP91" s="475">
        <v>-0.03</v>
      </c>
      <c r="BQ91" s="475">
        <v>0.05</v>
      </c>
      <c r="BR91" s="475">
        <v>0.02</v>
      </c>
      <c r="BS91" s="475">
        <v>0.06</v>
      </c>
      <c r="BT91" s="476"/>
      <c r="BU91" s="475">
        <v>-0.03</v>
      </c>
      <c r="BV91" s="475">
        <v>0.05</v>
      </c>
      <c r="BW91" s="475">
        <v>0.02</v>
      </c>
      <c r="BX91" s="475">
        <v>0.06</v>
      </c>
      <c r="BY91" s="476"/>
      <c r="BZ91" s="475">
        <v>-0.03</v>
      </c>
      <c r="CA91" s="475">
        <v>0.05</v>
      </c>
      <c r="CB91" s="475">
        <v>0.02</v>
      </c>
      <c r="CC91" s="475">
        <v>0.06</v>
      </c>
      <c r="CD91" s="472"/>
      <c r="CE91" s="469">
        <v>-0.03</v>
      </c>
      <c r="CF91" s="469">
        <v>0.05</v>
      </c>
      <c r="CG91" s="469">
        <v>0.02</v>
      </c>
      <c r="CH91" s="469">
        <v>0.06</v>
      </c>
      <c r="CI91" s="472"/>
      <c r="CJ91" s="475">
        <v>-0.03</v>
      </c>
      <c r="CK91" s="475">
        <v>0.05</v>
      </c>
      <c r="CL91" s="475">
        <v>0.02</v>
      </c>
      <c r="CM91" s="475">
        <v>0.06</v>
      </c>
      <c r="CN91" s="476"/>
      <c r="CO91" s="475">
        <v>-0.03</v>
      </c>
      <c r="CP91" s="475">
        <v>0.05</v>
      </c>
      <c r="CQ91" s="475">
        <v>0.02</v>
      </c>
      <c r="CR91" s="475">
        <v>0.06</v>
      </c>
      <c r="CS91" s="476"/>
      <c r="CT91" s="475">
        <v>-0.03</v>
      </c>
      <c r="CU91" s="475">
        <v>0.05</v>
      </c>
      <c r="CV91" s="475">
        <v>0.02</v>
      </c>
      <c r="CW91" s="475">
        <v>0.06</v>
      </c>
      <c r="CX91" s="476"/>
      <c r="CY91" s="475"/>
      <c r="DA91" s="871"/>
      <c r="DB91" s="653"/>
      <c r="DC91" s="653"/>
    </row>
    <row r="92" spans="1:107" ht="11.25" hidden="1" customHeight="1" outlineLevel="1">
      <c r="A92" s="468" t="s">
        <v>77</v>
      </c>
      <c r="B92" s="652"/>
      <c r="C92" s="1280"/>
      <c r="D92" s="653"/>
      <c r="E92" s="653"/>
      <c r="F92" s="1281"/>
      <c r="G92" s="870"/>
      <c r="H92" s="1280"/>
      <c r="I92" s="653"/>
      <c r="J92" s="653"/>
      <c r="K92" s="1281"/>
      <c r="L92" s="1280"/>
      <c r="M92" s="1280"/>
      <c r="N92" s="653"/>
      <c r="O92" s="653"/>
      <c r="P92" s="1281"/>
      <c r="Q92" s="870"/>
      <c r="R92" s="653"/>
      <c r="S92" s="653"/>
      <c r="T92" s="653"/>
      <c r="U92" s="653"/>
      <c r="V92" s="870"/>
      <c r="W92" s="653"/>
      <c r="X92" s="653"/>
      <c r="Y92" s="653"/>
      <c r="Z92" s="653"/>
      <c r="AA92" s="870"/>
      <c r="AB92" s="653"/>
      <c r="AC92" s="653"/>
      <c r="AD92" s="653"/>
      <c r="AE92" s="653"/>
      <c r="AF92" s="870"/>
      <c r="AG92" s="1282"/>
      <c r="AH92" s="1282"/>
      <c r="AI92" s="1282"/>
      <c r="AJ92" s="1282"/>
      <c r="AK92" s="870"/>
      <c r="AL92" s="1282"/>
      <c r="AM92" s="1282"/>
      <c r="AN92" s="1282"/>
      <c r="AO92" s="1282"/>
      <c r="AP92" s="870"/>
      <c r="AQ92" s="507"/>
      <c r="AR92" s="507"/>
      <c r="AS92" s="507"/>
      <c r="AT92" s="507"/>
      <c r="AU92" s="1137"/>
      <c r="AV92" s="507">
        <f t="shared" ref="AV92:BO92" si="148">AV90/AQ90-1</f>
        <v>-8.0707573244886643E-2</v>
      </c>
      <c r="AW92" s="507">
        <f t="shared" si="148"/>
        <v>0.32157352482048074</v>
      </c>
      <c r="AX92" s="507">
        <f t="shared" si="148"/>
        <v>0.2919119925627518</v>
      </c>
      <c r="AY92" s="507">
        <f t="shared" si="148"/>
        <v>0.23867809057527545</v>
      </c>
      <c r="AZ92" s="1266">
        <f t="shared" si="148"/>
        <v>0.18474016221087441</v>
      </c>
      <c r="BA92" s="507">
        <f t="shared" si="148"/>
        <v>0.27720986169573059</v>
      </c>
      <c r="BB92" s="507">
        <f>BB90/AW90-1</f>
        <v>2.3151429246397459E-2</v>
      </c>
      <c r="BC92" s="469">
        <f t="shared" si="148"/>
        <v>2.3986567522187308E-3</v>
      </c>
      <c r="BD92" s="507">
        <f t="shared" si="148"/>
        <v>8.0039525691699476E-2</v>
      </c>
      <c r="BE92" s="508">
        <f t="shared" si="148"/>
        <v>8.5826572008113722E-2</v>
      </c>
      <c r="BF92" s="469">
        <f t="shared" si="148"/>
        <v>-3.6677966101695048E-2</v>
      </c>
      <c r="BG92" s="475">
        <f t="shared" si="148"/>
        <v>3.4622544447009629E-2</v>
      </c>
      <c r="BH92" s="475">
        <f t="shared" si="148"/>
        <v>8.2976727063890809E-2</v>
      </c>
      <c r="BI92" s="507">
        <f t="shared" si="148"/>
        <v>7.6575967999999772E-2</v>
      </c>
      <c r="BJ92" s="508">
        <f t="shared" si="148"/>
        <v>3.9444957063397235E-2</v>
      </c>
      <c r="BK92" s="475">
        <f t="shared" si="148"/>
        <v>8.6927659999999962E-2</v>
      </c>
      <c r="BL92" s="475">
        <f t="shared" si="148"/>
        <v>3.2333120000000104E-2</v>
      </c>
      <c r="BM92" s="475">
        <f t="shared" si="148"/>
        <v>3.7443679999999757E-2</v>
      </c>
      <c r="BN92" s="475">
        <f t="shared" si="148"/>
        <v>4.7419099999999936E-2</v>
      </c>
      <c r="BO92" s="1267">
        <f t="shared" si="148"/>
        <v>5.0167138823636437E-2</v>
      </c>
      <c r="BP92" s="475">
        <f t="shared" ref="BP92:BY92" si="149">BP90/BK90-1</f>
        <v>7.512859999999999E-2</v>
      </c>
      <c r="BQ92" s="475">
        <f t="shared" si="149"/>
        <v>8.5466374999999761E-2</v>
      </c>
      <c r="BR92" s="475">
        <f t="shared" si="149"/>
        <v>9.0813500000000102E-2</v>
      </c>
      <c r="BS92" s="475">
        <f t="shared" si="149"/>
        <v>0.10120219999999991</v>
      </c>
      <c r="BT92" s="1267">
        <f t="shared" si="149"/>
        <v>8.8498721458237117E-2</v>
      </c>
      <c r="BU92" s="475">
        <f t="shared" si="149"/>
        <v>0.10120220000000013</v>
      </c>
      <c r="BV92" s="475">
        <f t="shared" si="149"/>
        <v>0.10120220000000013</v>
      </c>
      <c r="BW92" s="475">
        <f t="shared" si="149"/>
        <v>0.10120220000000013</v>
      </c>
      <c r="BX92" s="475">
        <f t="shared" si="149"/>
        <v>0.10120220000000013</v>
      </c>
      <c r="BY92" s="1267">
        <f t="shared" si="149"/>
        <v>0.10120220000000013</v>
      </c>
      <c r="BZ92" s="475">
        <f t="shared" ref="BZ92:CN92" si="150">BZ90/BU90-1</f>
        <v>0.10120219999999991</v>
      </c>
      <c r="CA92" s="475">
        <f t="shared" si="150"/>
        <v>0.10120219999999991</v>
      </c>
      <c r="CB92" s="475">
        <f t="shared" si="150"/>
        <v>0.10120219999999969</v>
      </c>
      <c r="CC92" s="475">
        <f t="shared" si="150"/>
        <v>0.10120219999999991</v>
      </c>
      <c r="CD92" s="508">
        <f t="shared" si="150"/>
        <v>0.10120219999999991</v>
      </c>
      <c r="CE92" s="469">
        <f t="shared" si="150"/>
        <v>0.10120219999999991</v>
      </c>
      <c r="CF92" s="469">
        <f t="shared" si="150"/>
        <v>0.10120220000000013</v>
      </c>
      <c r="CG92" s="469">
        <f t="shared" si="150"/>
        <v>0.10120220000000013</v>
      </c>
      <c r="CH92" s="469">
        <f t="shared" si="150"/>
        <v>0.10120220000000013</v>
      </c>
      <c r="CI92" s="508">
        <f t="shared" si="150"/>
        <v>0.10120220000000013</v>
      </c>
      <c r="CJ92" s="475">
        <f t="shared" si="150"/>
        <v>0.10120220000000013</v>
      </c>
      <c r="CK92" s="475">
        <f t="shared" si="150"/>
        <v>0.10120220000000013</v>
      </c>
      <c r="CL92" s="475">
        <f t="shared" si="150"/>
        <v>0.10120220000000013</v>
      </c>
      <c r="CM92" s="475">
        <f t="shared" si="150"/>
        <v>0.10120220000000013</v>
      </c>
      <c r="CN92" s="1267">
        <f t="shared" si="150"/>
        <v>0.10120220000000035</v>
      </c>
      <c r="CO92" s="475">
        <f t="shared" ref="CO92:CX92" si="151">CO90/CJ90-1</f>
        <v>0.10120220000000013</v>
      </c>
      <c r="CP92" s="475">
        <f t="shared" si="151"/>
        <v>0.10120220000000035</v>
      </c>
      <c r="CQ92" s="475">
        <f t="shared" si="151"/>
        <v>0.10120220000000035</v>
      </c>
      <c r="CR92" s="475">
        <f t="shared" si="151"/>
        <v>0.10120220000000035</v>
      </c>
      <c r="CS92" s="1267">
        <f t="shared" si="151"/>
        <v>0.10120220000000013</v>
      </c>
      <c r="CT92" s="475">
        <f t="shared" si="151"/>
        <v>0.10120220000000035</v>
      </c>
      <c r="CU92" s="475">
        <f t="shared" si="151"/>
        <v>0.10120220000000013</v>
      </c>
      <c r="CV92" s="475">
        <f t="shared" si="151"/>
        <v>0.10120220000000013</v>
      </c>
      <c r="CW92" s="475">
        <f t="shared" si="151"/>
        <v>0.10120220000000013</v>
      </c>
      <c r="CX92" s="1267">
        <f t="shared" si="151"/>
        <v>0.10120220000000035</v>
      </c>
      <c r="CY92" s="1283"/>
      <c r="DA92" s="871"/>
      <c r="DB92" s="653"/>
      <c r="DC92" s="653"/>
    </row>
    <row r="93" spans="1:107" ht="11.25" hidden="1" customHeight="1" outlineLevel="1">
      <c r="A93" s="392"/>
      <c r="B93" s="114"/>
      <c r="C93" s="116"/>
      <c r="D93" s="117"/>
      <c r="E93" s="117"/>
      <c r="F93" s="118"/>
      <c r="G93" s="119"/>
      <c r="H93" s="116"/>
      <c r="I93" s="117"/>
      <c r="J93" s="117"/>
      <c r="K93" s="118"/>
      <c r="L93" s="116"/>
      <c r="M93" s="116"/>
      <c r="N93" s="117"/>
      <c r="O93" s="117"/>
      <c r="P93" s="118"/>
      <c r="Q93" s="119"/>
      <c r="R93" s="117"/>
      <c r="S93" s="117"/>
      <c r="T93" s="117"/>
      <c r="U93" s="117"/>
      <c r="V93" s="119"/>
      <c r="W93" s="117"/>
      <c r="X93" s="117"/>
      <c r="Y93" s="117"/>
      <c r="Z93" s="117"/>
      <c r="AA93" s="119"/>
      <c r="AB93" s="117"/>
      <c r="AC93" s="117"/>
      <c r="AD93" s="117"/>
      <c r="AE93" s="117"/>
      <c r="AF93" s="119"/>
      <c r="AG93" s="121"/>
      <c r="AH93" s="121"/>
      <c r="AI93" s="121"/>
      <c r="AJ93" s="121"/>
      <c r="AK93" s="119"/>
      <c r="AL93" s="121"/>
      <c r="AM93" s="121"/>
      <c r="AN93" s="121"/>
      <c r="AO93" s="121"/>
      <c r="AP93" s="119"/>
      <c r="AQ93" s="1136"/>
      <c r="AR93" s="1136"/>
      <c r="AS93" s="1136"/>
      <c r="AT93" s="1136"/>
      <c r="AU93" s="1137"/>
      <c r="AV93" s="1136"/>
      <c r="AW93" s="1136"/>
      <c r="AX93" s="1136"/>
      <c r="AY93" s="1136"/>
      <c r="AZ93" s="1137"/>
      <c r="BA93" s="1136"/>
      <c r="BB93" s="1136"/>
      <c r="BC93" s="1295"/>
      <c r="BD93" s="1136"/>
      <c r="BE93" s="1137"/>
      <c r="BF93" s="1295"/>
      <c r="BG93" s="1056"/>
      <c r="BH93" s="1056"/>
      <c r="BI93" s="1136"/>
      <c r="BJ93" s="1137"/>
      <c r="BK93" s="1056"/>
      <c r="BL93" s="1056"/>
      <c r="BM93" s="1056"/>
      <c r="BN93" s="1056"/>
      <c r="BO93" s="1268"/>
      <c r="BP93" s="1056"/>
      <c r="BQ93" s="1056"/>
      <c r="BR93" s="1056"/>
      <c r="BS93" s="1056"/>
      <c r="BT93" s="1268"/>
      <c r="BU93" s="1056"/>
      <c r="BV93" s="1056"/>
      <c r="BW93" s="1056"/>
      <c r="BX93" s="1056"/>
      <c r="BY93" s="1268"/>
      <c r="BZ93" s="1056"/>
      <c r="CA93" s="1056"/>
      <c r="CB93" s="1056"/>
      <c r="CC93" s="1056"/>
      <c r="CD93" s="1137"/>
      <c r="CE93" s="1295"/>
      <c r="CF93" s="1295"/>
      <c r="CG93" s="1295"/>
      <c r="CH93" s="1295"/>
      <c r="CI93" s="1137"/>
      <c r="CJ93" s="1056"/>
      <c r="CK93" s="1056"/>
      <c r="CL93" s="1056"/>
      <c r="CM93" s="1056"/>
      <c r="CN93" s="1268"/>
      <c r="CO93" s="1056"/>
      <c r="CP93" s="1056"/>
      <c r="CQ93" s="1056"/>
      <c r="CR93" s="1056"/>
      <c r="CS93" s="1268"/>
      <c r="CT93" s="1056"/>
      <c r="CU93" s="1056"/>
      <c r="CV93" s="1056"/>
      <c r="CW93" s="1056"/>
      <c r="CX93" s="1268"/>
      <c r="CY93" s="1719"/>
      <c r="DA93" s="126"/>
      <c r="DB93" s="117"/>
      <c r="DC93" s="117"/>
    </row>
    <row r="94" spans="1:107" ht="11.25" hidden="1" customHeight="1" outlineLevel="1">
      <c r="A94" s="457" t="s">
        <v>64</v>
      </c>
      <c r="B94" s="458"/>
      <c r="C94" s="459"/>
      <c r="D94" s="460"/>
      <c r="E94" s="460"/>
      <c r="F94" s="461"/>
      <c r="G94" s="462"/>
      <c r="H94" s="459"/>
      <c r="I94" s="460"/>
      <c r="J94" s="460"/>
      <c r="K94" s="461"/>
      <c r="L94" s="459"/>
      <c r="M94" s="459"/>
      <c r="N94" s="460"/>
      <c r="O94" s="460"/>
      <c r="P94" s="461"/>
      <c r="Q94" s="462"/>
      <c r="R94" s="460"/>
      <c r="S94" s="460"/>
      <c r="T94" s="460"/>
      <c r="U94" s="460"/>
      <c r="V94" s="463"/>
      <c r="W94" s="464"/>
      <c r="X94" s="464"/>
      <c r="Y94" s="464"/>
      <c r="Z94" s="458"/>
      <c r="AA94" s="465"/>
      <c r="AB94" s="464"/>
      <c r="AC94" s="464"/>
      <c r="AD94" s="464"/>
      <c r="AE94" s="464"/>
      <c r="AF94" s="465"/>
      <c r="AG94" s="458"/>
      <c r="AH94" s="458"/>
      <c r="AI94" s="458"/>
      <c r="AJ94" s="458"/>
      <c r="AK94" s="465"/>
      <c r="AL94" s="458"/>
      <c r="AM94" s="458"/>
      <c r="AN94" s="458"/>
      <c r="AO94" s="458"/>
      <c r="AP94" s="465"/>
      <c r="AQ94" s="458">
        <v>137.80000000000001</v>
      </c>
      <c r="AR94" s="458">
        <v>114.2</v>
      </c>
      <c r="AS94" s="458">
        <v>108.5</v>
      </c>
      <c r="AT94" s="458">
        <v>134.1</v>
      </c>
      <c r="AU94" s="465">
        <f>SUM(AQ94:AT94)</f>
        <v>494.6</v>
      </c>
      <c r="AV94" s="458">
        <v>130.6</v>
      </c>
      <c r="AW94" s="458">
        <v>139.30000000000001</v>
      </c>
      <c r="AX94" s="458">
        <v>157.69999999999999</v>
      </c>
      <c r="AY94" s="458">
        <v>165.9</v>
      </c>
      <c r="AZ94" s="465">
        <f>SUM(AV94:AY94)</f>
        <v>593.5</v>
      </c>
      <c r="BA94" s="458">
        <v>151.69999999999999</v>
      </c>
      <c r="BB94" s="458">
        <v>136.69999999999999</v>
      </c>
      <c r="BC94" s="458">
        <v>151.1</v>
      </c>
      <c r="BD94" s="458">
        <v>186.4</v>
      </c>
      <c r="BE94" s="465">
        <f>SUM(BA94:BD94)</f>
        <v>625.9</v>
      </c>
      <c r="BF94" s="458">
        <f>BD94*(1+BF95)</f>
        <v>166.828</v>
      </c>
      <c r="BG94" s="466">
        <f>BF94*(1+BG95)</f>
        <v>177.67182</v>
      </c>
      <c r="BH94" s="466">
        <f>BG94*(1+BH95)</f>
        <v>177.67182</v>
      </c>
      <c r="BI94" s="458">
        <f>BH94*(1+BI95)</f>
        <v>182.11361549999998</v>
      </c>
      <c r="BJ94" s="465">
        <f>SUM(BF94:BI94)</f>
        <v>704.28525549999995</v>
      </c>
      <c r="BK94" s="466">
        <f>BI94*(1+BK95)</f>
        <v>175.73963895749998</v>
      </c>
      <c r="BL94" s="466">
        <f>BK94*(1+BL95)</f>
        <v>182.76922451579998</v>
      </c>
      <c r="BM94" s="466">
        <f>BL94*(1+BM95)</f>
        <v>185.51076288353696</v>
      </c>
      <c r="BN94" s="466">
        <f>BM94*(1+BN95)</f>
        <v>193.85874721329611</v>
      </c>
      <c r="BO94" s="467">
        <f>SUM(BK94:BN94)</f>
        <v>737.87837357013291</v>
      </c>
      <c r="BP94" s="466">
        <f>BN94*(1+BP95)</f>
        <v>188.04298479689723</v>
      </c>
      <c r="BQ94" s="466">
        <f>BP94*(1+BQ95)</f>
        <v>194.62448926478862</v>
      </c>
      <c r="BR94" s="466">
        <f>BQ94*(1+BR95)</f>
        <v>197.54385660376045</v>
      </c>
      <c r="BS94" s="466">
        <f>BR94*(1+BS95)</f>
        <v>203.47017230187328</v>
      </c>
      <c r="BT94" s="467">
        <f>SUM(BP94:BS94)</f>
        <v>783.6815029673196</v>
      </c>
      <c r="BU94" s="466">
        <f>BS94*(1+BU95)</f>
        <v>197.36606713281708</v>
      </c>
      <c r="BV94" s="466">
        <f>BU94*(1+BV95)</f>
        <v>204.27387948246567</v>
      </c>
      <c r="BW94" s="466">
        <f>BV94*(1+BW95)</f>
        <v>207.33798767470265</v>
      </c>
      <c r="BX94" s="466">
        <f>BW94*(1+BX95)</f>
        <v>213.55812730494372</v>
      </c>
      <c r="BY94" s="467">
        <f>SUM(BU94:BX94)</f>
        <v>822.53606159492904</v>
      </c>
      <c r="BZ94" s="466">
        <f>BX94*(1+BZ95)</f>
        <v>207.15138348579541</v>
      </c>
      <c r="CA94" s="466">
        <f>BZ94*(1+CA95)</f>
        <v>214.40168190779823</v>
      </c>
      <c r="CB94" s="466">
        <f>CA94*(1+CB95)</f>
        <v>217.61770713641519</v>
      </c>
      <c r="CC94" s="466">
        <f>CB94*(1+CC95)</f>
        <v>224.14623835050764</v>
      </c>
      <c r="CD94" s="465">
        <f>SUM(BZ94:CC94)</f>
        <v>863.31701088051659</v>
      </c>
      <c r="CE94" s="458">
        <f>CC94*(1+CE95)</f>
        <v>217.4218511999924</v>
      </c>
      <c r="CF94" s="458">
        <f>CE94*(1+CF95)</f>
        <v>225.03161599199211</v>
      </c>
      <c r="CG94" s="458">
        <f>CF94*(1+CG95)</f>
        <v>228.40709023187196</v>
      </c>
      <c r="CH94" s="458">
        <f>CG94*(1+CH95)</f>
        <v>235.25930293882811</v>
      </c>
      <c r="CI94" s="465">
        <f>SUM(CE94:CH94)</f>
        <v>906.11986036268456</v>
      </c>
      <c r="CJ94" s="466">
        <f>CH94*(1+CJ95)</f>
        <v>228.20152385066325</v>
      </c>
      <c r="CK94" s="466">
        <f>CJ94*(1+CK95)</f>
        <v>236.18857718543646</v>
      </c>
      <c r="CL94" s="466">
        <f>CK94*(1+CL95)</f>
        <v>239.73140584321797</v>
      </c>
      <c r="CM94" s="466">
        <f>CL94*(1+CM95)</f>
        <v>246.9233480185145</v>
      </c>
      <c r="CN94" s="467">
        <f>SUM(CJ94:CM94)</f>
        <v>951.04485489783224</v>
      </c>
      <c r="CO94" s="466">
        <f>CM94*(1+CO95)</f>
        <v>239.51564757795907</v>
      </c>
      <c r="CP94" s="466">
        <f>CO94*(1+CP95)</f>
        <v>247.89869524318763</v>
      </c>
      <c r="CQ94" s="466">
        <f>CP94*(1+CQ95)</f>
        <v>251.61717567183541</v>
      </c>
      <c r="CR94" s="466">
        <f>CQ94*(1+CR95)</f>
        <v>259.16569094199048</v>
      </c>
      <c r="CS94" s="467">
        <f>SUM(CO94:CR94)</f>
        <v>998.19720943497259</v>
      </c>
      <c r="CT94" s="466">
        <f>CR94*(1+CT95)</f>
        <v>251.39072021373076</v>
      </c>
      <c r="CU94" s="466">
        <f>CT94*(1+CU95)</f>
        <v>260.18939542121132</v>
      </c>
      <c r="CV94" s="466">
        <f>CU94*(1+CV95)</f>
        <v>264.09223635252948</v>
      </c>
      <c r="CW94" s="466">
        <f>CV94*(1+CW95)</f>
        <v>272.0150034431054</v>
      </c>
      <c r="CX94" s="467">
        <f>SUM(CT94:CW94)</f>
        <v>1047.6873554305769</v>
      </c>
      <c r="CY94" s="466"/>
      <c r="DA94" s="126"/>
      <c r="DB94" s="460"/>
      <c r="DC94" s="460"/>
    </row>
    <row r="95" spans="1:107" ht="11.25" hidden="1" customHeight="1" outlineLevel="1">
      <c r="A95" s="468" t="s">
        <v>78</v>
      </c>
      <c r="B95" s="652"/>
      <c r="C95" s="1280"/>
      <c r="D95" s="653"/>
      <c r="E95" s="653"/>
      <c r="F95" s="1281"/>
      <c r="G95" s="870"/>
      <c r="H95" s="1280"/>
      <c r="I95" s="653"/>
      <c r="J95" s="653"/>
      <c r="K95" s="1281"/>
      <c r="L95" s="1280"/>
      <c r="M95" s="1280"/>
      <c r="N95" s="653"/>
      <c r="O95" s="653"/>
      <c r="P95" s="1281"/>
      <c r="Q95" s="870"/>
      <c r="R95" s="653"/>
      <c r="S95" s="653"/>
      <c r="T95" s="653"/>
      <c r="U95" s="653"/>
      <c r="V95" s="870"/>
      <c r="W95" s="653"/>
      <c r="X95" s="653"/>
      <c r="Y95" s="653"/>
      <c r="Z95" s="653"/>
      <c r="AA95" s="870"/>
      <c r="AB95" s="653"/>
      <c r="AC95" s="653"/>
      <c r="AD95" s="653"/>
      <c r="AE95" s="653"/>
      <c r="AF95" s="870"/>
      <c r="AG95" s="1282"/>
      <c r="AH95" s="1282"/>
      <c r="AI95" s="1282"/>
      <c r="AJ95" s="1282"/>
      <c r="AK95" s="870"/>
      <c r="AL95" s="1282"/>
      <c r="AM95" s="1282"/>
      <c r="AN95" s="1282"/>
      <c r="AO95" s="1282"/>
      <c r="AP95" s="870"/>
      <c r="AQ95" s="507"/>
      <c r="AR95" s="507">
        <f>AR94/AQ94-1</f>
        <v>-0.1712626995645864</v>
      </c>
      <c r="AS95" s="507">
        <f>AS94/AR94-1</f>
        <v>-4.9912434325744326E-2</v>
      </c>
      <c r="AT95" s="507">
        <f>AT94/AS94-1</f>
        <v>0.23594470046082949</v>
      </c>
      <c r="AU95" s="1137"/>
      <c r="AV95" s="507">
        <f>AV94/AQ94-1</f>
        <v>-5.2249637155297624E-2</v>
      </c>
      <c r="AW95" s="507">
        <f>AW94/AV94-1</f>
        <v>6.6615620214395266E-2</v>
      </c>
      <c r="AX95" s="507">
        <f>AX94/AW94-1</f>
        <v>0.13208901651112681</v>
      </c>
      <c r="AY95" s="507">
        <f>AY94/AX94-1</f>
        <v>5.1997463538363986E-2</v>
      </c>
      <c r="AZ95" s="1137"/>
      <c r="BA95" s="507">
        <f>BA94/AY94-1</f>
        <v>-8.5593731163351561E-2</v>
      </c>
      <c r="BB95" s="507">
        <f>BB94/BA94-1</f>
        <v>-9.8879367172050148E-2</v>
      </c>
      <c r="BC95" s="507">
        <f>BC94/BB94-1</f>
        <v>0.10534016093635712</v>
      </c>
      <c r="BD95" s="507">
        <f>BD94/BC94-1</f>
        <v>0.23362011912640646</v>
      </c>
      <c r="BE95" s="1137"/>
      <c r="BF95" s="469">
        <v>-0.105</v>
      </c>
      <c r="BG95" s="475">
        <v>6.5000000000000002E-2</v>
      </c>
      <c r="BH95" s="475">
        <v>0</v>
      </c>
      <c r="BI95" s="507">
        <v>2.5000000000000001E-2</v>
      </c>
      <c r="BJ95" s="1137"/>
      <c r="BK95" s="475">
        <v>-3.5000000000000003E-2</v>
      </c>
      <c r="BL95" s="475">
        <v>0.04</v>
      </c>
      <c r="BM95" s="475">
        <v>1.4999999999999999E-2</v>
      </c>
      <c r="BN95" s="475">
        <v>4.4999999999999998E-2</v>
      </c>
      <c r="BO95" s="476"/>
      <c r="BP95" s="475">
        <v>-0.03</v>
      </c>
      <c r="BQ95" s="475">
        <v>3.5000000000000003E-2</v>
      </c>
      <c r="BR95" s="475">
        <v>1.4999999999999999E-2</v>
      </c>
      <c r="BS95" s="475">
        <v>0.03</v>
      </c>
      <c r="BT95" s="476"/>
      <c r="BU95" s="475">
        <v>-0.03</v>
      </c>
      <c r="BV95" s="475">
        <v>3.5000000000000003E-2</v>
      </c>
      <c r="BW95" s="475">
        <v>1.4999999999999999E-2</v>
      </c>
      <c r="BX95" s="475">
        <v>0.03</v>
      </c>
      <c r="BY95" s="476"/>
      <c r="BZ95" s="475">
        <v>-0.03</v>
      </c>
      <c r="CA95" s="475">
        <v>3.5000000000000003E-2</v>
      </c>
      <c r="CB95" s="475">
        <v>1.4999999999999999E-2</v>
      </c>
      <c r="CC95" s="475">
        <v>0.03</v>
      </c>
      <c r="CD95" s="472"/>
      <c r="CE95" s="469">
        <v>-0.03</v>
      </c>
      <c r="CF95" s="469">
        <v>3.5000000000000003E-2</v>
      </c>
      <c r="CG95" s="469">
        <v>1.4999999999999999E-2</v>
      </c>
      <c r="CH95" s="469">
        <v>0.03</v>
      </c>
      <c r="CI95" s="472"/>
      <c r="CJ95" s="475">
        <v>-0.03</v>
      </c>
      <c r="CK95" s="475">
        <v>3.5000000000000003E-2</v>
      </c>
      <c r="CL95" s="475">
        <v>1.4999999999999999E-2</v>
      </c>
      <c r="CM95" s="475">
        <v>0.03</v>
      </c>
      <c r="CN95" s="476"/>
      <c r="CO95" s="475">
        <v>-0.03</v>
      </c>
      <c r="CP95" s="475">
        <v>3.5000000000000003E-2</v>
      </c>
      <c r="CQ95" s="475">
        <v>1.4999999999999999E-2</v>
      </c>
      <c r="CR95" s="475">
        <v>0.03</v>
      </c>
      <c r="CS95" s="476"/>
      <c r="CT95" s="475">
        <v>-0.03</v>
      </c>
      <c r="CU95" s="475">
        <v>3.5000000000000003E-2</v>
      </c>
      <c r="CV95" s="475">
        <v>1.4999999999999999E-2</v>
      </c>
      <c r="CW95" s="475">
        <v>0.03</v>
      </c>
      <c r="CX95" s="476"/>
      <c r="CY95" s="475"/>
      <c r="DA95" s="871"/>
      <c r="DB95" s="653"/>
      <c r="DC95" s="653"/>
    </row>
    <row r="96" spans="1:107" ht="11.25" hidden="1" customHeight="1" outlineLevel="1">
      <c r="A96" s="468" t="s">
        <v>77</v>
      </c>
      <c r="B96" s="652"/>
      <c r="C96" s="1280"/>
      <c r="D96" s="653"/>
      <c r="E96" s="653"/>
      <c r="F96" s="1281"/>
      <c r="G96" s="870"/>
      <c r="H96" s="1280"/>
      <c r="I96" s="653"/>
      <c r="J96" s="653"/>
      <c r="K96" s="1281"/>
      <c r="L96" s="1280"/>
      <c r="M96" s="1280"/>
      <c r="N96" s="653"/>
      <c r="O96" s="653"/>
      <c r="P96" s="1281"/>
      <c r="Q96" s="870"/>
      <c r="R96" s="653"/>
      <c r="S96" s="653"/>
      <c r="T96" s="653"/>
      <c r="U96" s="653"/>
      <c r="V96" s="870"/>
      <c r="W96" s="653"/>
      <c r="X96" s="653"/>
      <c r="Y96" s="653"/>
      <c r="Z96" s="653"/>
      <c r="AA96" s="870"/>
      <c r="AB96" s="653"/>
      <c r="AC96" s="653"/>
      <c r="AD96" s="653"/>
      <c r="AE96" s="653"/>
      <c r="AF96" s="870"/>
      <c r="AG96" s="1282"/>
      <c r="AH96" s="1282"/>
      <c r="AI96" s="1282"/>
      <c r="AJ96" s="1282"/>
      <c r="AK96" s="870"/>
      <c r="AL96" s="1282"/>
      <c r="AM96" s="1282"/>
      <c r="AN96" s="1282"/>
      <c r="AO96" s="1282"/>
      <c r="AP96" s="870"/>
      <c r="AQ96" s="507"/>
      <c r="AR96" s="507"/>
      <c r="AS96" s="507"/>
      <c r="AT96" s="507"/>
      <c r="AU96" s="1137"/>
      <c r="AV96" s="507">
        <f t="shared" ref="AV96:BO96" si="152">AV94/AQ94-1</f>
        <v>-5.2249637155297624E-2</v>
      </c>
      <c r="AW96" s="507">
        <f t="shared" si="152"/>
        <v>0.21978984238178634</v>
      </c>
      <c r="AX96" s="507">
        <f t="shared" si="152"/>
        <v>0.45345622119815654</v>
      </c>
      <c r="AY96" s="507">
        <f t="shared" si="152"/>
        <v>0.23713646532438482</v>
      </c>
      <c r="AZ96" s="1266">
        <f t="shared" si="152"/>
        <v>0.19995956328346143</v>
      </c>
      <c r="BA96" s="507">
        <f>BA94/AV94-1</f>
        <v>0.16156202143950993</v>
      </c>
      <c r="BB96" s="507">
        <f>BB94/AW94-1</f>
        <v>-1.866475233309417E-2</v>
      </c>
      <c r="BC96" s="469">
        <f>BC94/AX94-1</f>
        <v>-4.1851616994292962E-2</v>
      </c>
      <c r="BD96" s="507">
        <f t="shared" si="152"/>
        <v>0.12356841470765523</v>
      </c>
      <c r="BE96" s="508">
        <f t="shared" si="152"/>
        <v>5.459140690817188E-2</v>
      </c>
      <c r="BF96" s="469">
        <f t="shared" si="152"/>
        <v>9.9723137771918324E-2</v>
      </c>
      <c r="BG96" s="475">
        <f t="shared" si="152"/>
        <v>0.29972070226773972</v>
      </c>
      <c r="BH96" s="475">
        <f t="shared" si="152"/>
        <v>0.17585585704831241</v>
      </c>
      <c r="BI96" s="507">
        <f t="shared" si="152"/>
        <v>-2.2995625000000186E-2</v>
      </c>
      <c r="BJ96" s="508">
        <f>BJ94/BE94-1</f>
        <v>0.12523606886084027</v>
      </c>
      <c r="BK96" s="475">
        <f t="shared" si="152"/>
        <v>5.3418124999999872E-2</v>
      </c>
      <c r="BL96" s="475">
        <f t="shared" si="152"/>
        <v>2.8689999999999882E-2</v>
      </c>
      <c r="BM96" s="475">
        <f t="shared" si="152"/>
        <v>4.4120349999999808E-2</v>
      </c>
      <c r="BN96" s="475">
        <f t="shared" si="152"/>
        <v>6.4493429999999741E-2</v>
      </c>
      <c r="BO96" s="1267">
        <f t="shared" si="152"/>
        <v>4.7698170319189659E-2</v>
      </c>
      <c r="BP96" s="475">
        <f t="shared" ref="BP96:BY96" si="153">BP94/BK94-1</f>
        <v>7.0008939999999908E-2</v>
      </c>
      <c r="BQ96" s="475">
        <f t="shared" si="153"/>
        <v>6.4864666249999869E-2</v>
      </c>
      <c r="BR96" s="475">
        <f t="shared" si="153"/>
        <v>6.4864666249999869E-2</v>
      </c>
      <c r="BS96" s="475">
        <f t="shared" si="153"/>
        <v>4.9579527499999942E-2</v>
      </c>
      <c r="BT96" s="1267">
        <f t="shared" si="153"/>
        <v>6.207409112097162E-2</v>
      </c>
      <c r="BU96" s="475">
        <f t="shared" si="153"/>
        <v>4.9579527499999942E-2</v>
      </c>
      <c r="BV96" s="475">
        <f t="shared" si="153"/>
        <v>4.9579527499999942E-2</v>
      </c>
      <c r="BW96" s="475">
        <f t="shared" si="153"/>
        <v>4.9579527499999942E-2</v>
      </c>
      <c r="BX96" s="475">
        <f t="shared" si="153"/>
        <v>4.9579527499999942E-2</v>
      </c>
      <c r="BY96" s="1267">
        <f t="shared" si="153"/>
        <v>4.9579527499999942E-2</v>
      </c>
      <c r="BZ96" s="475">
        <f t="shared" ref="BZ96:CN96" si="154">BZ94/BU94-1</f>
        <v>4.9579527499999942E-2</v>
      </c>
      <c r="CA96" s="475">
        <f t="shared" si="154"/>
        <v>4.9579527499999942E-2</v>
      </c>
      <c r="CB96" s="475">
        <f t="shared" si="154"/>
        <v>4.957952749999972E-2</v>
      </c>
      <c r="CC96" s="475">
        <f t="shared" si="154"/>
        <v>4.957952749999972E-2</v>
      </c>
      <c r="CD96" s="508">
        <f t="shared" si="154"/>
        <v>4.9579527500000165E-2</v>
      </c>
      <c r="CE96" s="469">
        <f t="shared" si="154"/>
        <v>4.957952749999972E-2</v>
      </c>
      <c r="CF96" s="469">
        <f t="shared" si="154"/>
        <v>4.957952749999972E-2</v>
      </c>
      <c r="CG96" s="469">
        <f t="shared" si="154"/>
        <v>4.957952749999972E-2</v>
      </c>
      <c r="CH96" s="469">
        <f t="shared" si="154"/>
        <v>4.957952749999972E-2</v>
      </c>
      <c r="CI96" s="508">
        <f t="shared" si="154"/>
        <v>4.9579527499999498E-2</v>
      </c>
      <c r="CJ96" s="475">
        <f t="shared" si="154"/>
        <v>4.957952749999972E-2</v>
      </c>
      <c r="CK96" s="475">
        <f t="shared" si="154"/>
        <v>4.957952749999972E-2</v>
      </c>
      <c r="CL96" s="475">
        <f t="shared" si="154"/>
        <v>4.957952749999972E-2</v>
      </c>
      <c r="CM96" s="475">
        <f t="shared" si="154"/>
        <v>4.957952749999972E-2</v>
      </c>
      <c r="CN96" s="1267">
        <f t="shared" si="154"/>
        <v>4.957952749999972E-2</v>
      </c>
      <c r="CO96" s="475">
        <f t="shared" ref="CO96:CX96" si="155">CO94/CJ94-1</f>
        <v>4.957952749999972E-2</v>
      </c>
      <c r="CP96" s="475">
        <f t="shared" si="155"/>
        <v>4.957952749999972E-2</v>
      </c>
      <c r="CQ96" s="475">
        <f t="shared" si="155"/>
        <v>4.957952749999972E-2</v>
      </c>
      <c r="CR96" s="475">
        <f t="shared" si="155"/>
        <v>4.9579527499999942E-2</v>
      </c>
      <c r="CS96" s="1267">
        <f t="shared" si="155"/>
        <v>4.957952749999972E-2</v>
      </c>
      <c r="CT96" s="475">
        <f t="shared" si="155"/>
        <v>4.957952749999972E-2</v>
      </c>
      <c r="CU96" s="475">
        <f t="shared" si="155"/>
        <v>4.957952749999972E-2</v>
      </c>
      <c r="CV96" s="475">
        <f t="shared" si="155"/>
        <v>4.9579527499999942E-2</v>
      </c>
      <c r="CW96" s="475">
        <f t="shared" si="155"/>
        <v>4.9579527499999942E-2</v>
      </c>
      <c r="CX96" s="1267">
        <f t="shared" si="155"/>
        <v>4.957952749999972E-2</v>
      </c>
      <c r="CY96" s="1283"/>
      <c r="DA96" s="871"/>
      <c r="DB96" s="653"/>
      <c r="DC96" s="653"/>
    </row>
    <row r="97" spans="1:107" ht="11.25" hidden="1" customHeight="1" outlineLevel="1">
      <c r="A97" s="392"/>
      <c r="B97" s="114"/>
      <c r="C97" s="116"/>
      <c r="D97" s="117"/>
      <c r="E97" s="117"/>
      <c r="F97" s="118"/>
      <c r="G97" s="119"/>
      <c r="H97" s="116"/>
      <c r="I97" s="117"/>
      <c r="J97" s="117"/>
      <c r="K97" s="118"/>
      <c r="L97" s="116"/>
      <c r="M97" s="116"/>
      <c r="N97" s="117"/>
      <c r="O97" s="117"/>
      <c r="P97" s="118"/>
      <c r="Q97" s="119"/>
      <c r="R97" s="117"/>
      <c r="S97" s="117"/>
      <c r="T97" s="117"/>
      <c r="U97" s="117"/>
      <c r="V97" s="119"/>
      <c r="W97" s="117"/>
      <c r="X97" s="117"/>
      <c r="Y97" s="117"/>
      <c r="Z97" s="117"/>
      <c r="AA97" s="119"/>
      <c r="AB97" s="117"/>
      <c r="AC97" s="117"/>
      <c r="AD97" s="117"/>
      <c r="AE97" s="117"/>
      <c r="AF97" s="119"/>
      <c r="AG97" s="121"/>
      <c r="AH97" s="121"/>
      <c r="AI97" s="121"/>
      <c r="AJ97" s="121"/>
      <c r="AK97" s="119"/>
      <c r="AL97" s="121"/>
      <c r="AM97" s="121"/>
      <c r="AN97" s="121"/>
      <c r="AO97" s="121"/>
      <c r="AP97" s="119"/>
      <c r="AQ97" s="1136"/>
      <c r="AR97" s="1136"/>
      <c r="AS97" s="1136"/>
      <c r="AT97" s="1136"/>
      <c r="AU97" s="1137"/>
      <c r="AV97" s="1136"/>
      <c r="AW97" s="1136"/>
      <c r="AX97" s="1136"/>
      <c r="AY97" s="1136"/>
      <c r="AZ97" s="1137"/>
      <c r="BA97" s="1136">
        <f>SUM(BA94,AW94:AY94)/SUM(AV94,AR94:AT94)-1</f>
        <v>0.26097661058678723</v>
      </c>
      <c r="BB97" s="1136"/>
      <c r="BC97" s="1295"/>
      <c r="BD97" s="1136"/>
      <c r="BE97" s="1137"/>
      <c r="BF97" s="1295"/>
      <c r="BG97" s="1062"/>
      <c r="BH97" s="1056"/>
      <c r="BI97" s="1136"/>
      <c r="BJ97" s="1137"/>
      <c r="BK97" s="1136"/>
      <c r="BL97" s="1062"/>
      <c r="BM97" s="1056"/>
      <c r="BN97" s="1056"/>
      <c r="BO97" s="1268"/>
      <c r="BP97" s="1136"/>
      <c r="BQ97" s="1056"/>
      <c r="BR97" s="1056"/>
      <c r="BS97" s="1056"/>
      <c r="BT97" s="1268"/>
      <c r="BU97" s="1136"/>
      <c r="BV97" s="1056"/>
      <c r="BW97" s="1056"/>
      <c r="BX97" s="1056"/>
      <c r="BY97" s="1268"/>
      <c r="BZ97" s="1136"/>
      <c r="CA97" s="1056"/>
      <c r="CB97" s="1056"/>
      <c r="CC97" s="1056"/>
      <c r="CD97" s="1137"/>
      <c r="CE97" s="1136"/>
      <c r="CF97" s="1295"/>
      <c r="CG97" s="1295"/>
      <c r="CH97" s="1295"/>
      <c r="CI97" s="1137"/>
      <c r="CJ97" s="1136"/>
      <c r="CK97" s="1056"/>
      <c r="CL97" s="1056"/>
      <c r="CM97" s="1056"/>
      <c r="CN97" s="1268"/>
      <c r="CO97" s="1136"/>
      <c r="CP97" s="1056"/>
      <c r="CQ97" s="1056"/>
      <c r="CR97" s="1056"/>
      <c r="CS97" s="1268"/>
      <c r="CT97" s="1136"/>
      <c r="CU97" s="1056"/>
      <c r="CV97" s="1056"/>
      <c r="CW97" s="1056"/>
      <c r="CX97" s="1268"/>
      <c r="CY97" s="1719"/>
      <c r="DA97" s="126"/>
      <c r="DB97" s="117"/>
      <c r="DC97" s="117"/>
    </row>
    <row r="98" spans="1:107" ht="11.25" hidden="1" customHeight="1" outlineLevel="1">
      <c r="A98" s="478" t="s">
        <v>94</v>
      </c>
      <c r="B98" s="479"/>
      <c r="C98" s="480"/>
      <c r="D98" s="481"/>
      <c r="E98" s="481"/>
      <c r="F98" s="482"/>
      <c r="G98" s="483"/>
      <c r="H98" s="480"/>
      <c r="I98" s="481"/>
      <c r="J98" s="481"/>
      <c r="K98" s="482"/>
      <c r="L98" s="480"/>
      <c r="M98" s="480"/>
      <c r="N98" s="481"/>
      <c r="O98" s="481"/>
      <c r="P98" s="482"/>
      <c r="Q98" s="483"/>
      <c r="R98" s="481"/>
      <c r="S98" s="481"/>
      <c r="T98" s="481"/>
      <c r="U98" s="481"/>
      <c r="V98" s="484"/>
      <c r="W98" s="485"/>
      <c r="X98" s="485"/>
      <c r="Y98" s="485"/>
      <c r="Z98" s="479"/>
      <c r="AA98" s="486"/>
      <c r="AB98" s="485"/>
      <c r="AC98" s="485"/>
      <c r="AD98" s="485"/>
      <c r="AE98" s="485"/>
      <c r="AF98" s="486"/>
      <c r="AG98" s="479"/>
      <c r="AH98" s="479"/>
      <c r="AI98" s="479"/>
      <c r="AJ98" s="479"/>
      <c r="AK98" s="486"/>
      <c r="AL98" s="479"/>
      <c r="AM98" s="479"/>
      <c r="AN98" s="479"/>
      <c r="AO98" s="479"/>
      <c r="AP98" s="486"/>
      <c r="AQ98" s="479">
        <v>149.9</v>
      </c>
      <c r="AR98" s="479">
        <v>137.80000000000001</v>
      </c>
      <c r="AS98" s="479">
        <v>138.1</v>
      </c>
      <c r="AT98" s="479">
        <v>131.80000000000001</v>
      </c>
      <c r="AU98" s="486">
        <f>SUM(AQ98:AT98)</f>
        <v>557.60000000000014</v>
      </c>
      <c r="AV98" s="479">
        <v>165.9</v>
      </c>
      <c r="AW98" s="479">
        <v>156</v>
      </c>
      <c r="AX98" s="479">
        <v>162.6</v>
      </c>
      <c r="AY98" s="479">
        <v>169.9</v>
      </c>
      <c r="AZ98" s="486">
        <f>SUM(AV98:AY98)</f>
        <v>654.4</v>
      </c>
      <c r="BA98" s="479">
        <v>181.8</v>
      </c>
      <c r="BB98" s="479">
        <v>182</v>
      </c>
      <c r="BC98" s="479">
        <v>174.6</v>
      </c>
      <c r="BD98" s="479">
        <v>201.7</v>
      </c>
      <c r="BE98" s="486">
        <f>SUM(BA98:BD98)</f>
        <v>740.09999999999991</v>
      </c>
      <c r="BF98" s="479">
        <f>BD98*(1+BF99)</f>
        <v>193.63199999999998</v>
      </c>
      <c r="BG98" s="487">
        <f>BF98*(1+BG99)</f>
        <v>194.60015999999996</v>
      </c>
      <c r="BH98" s="487">
        <f>BG98*(1+BH99)</f>
        <v>190.70815679999995</v>
      </c>
      <c r="BI98" s="479">
        <f>BH98*(1+BI99)</f>
        <v>194.52231993599995</v>
      </c>
      <c r="BJ98" s="486">
        <f>SUM(BF98:BI98)</f>
        <v>773.46263673599981</v>
      </c>
      <c r="BK98" s="487">
        <f>BI98*(1+BK99)</f>
        <v>192.57709673663993</v>
      </c>
      <c r="BL98" s="487">
        <f>BK98*(1+BL99)</f>
        <v>197.39152415505592</v>
      </c>
      <c r="BM98" s="487">
        <f>BL98*(1+BM99)</f>
        <v>202.32631225893229</v>
      </c>
      <c r="BN98" s="487">
        <f>BM98*(1+BN99)</f>
        <v>211.43099631058422</v>
      </c>
      <c r="BO98" s="488">
        <f>SUM(BK98:BN98)</f>
        <v>803.72592946121233</v>
      </c>
      <c r="BP98" s="487">
        <f>BN98*(1+BP99)</f>
        <v>205.51092841388785</v>
      </c>
      <c r="BQ98" s="487">
        <f>BP98*(1+BQ99)</f>
        <v>209.62114698216561</v>
      </c>
      <c r="BR98" s="487">
        <f>BQ98*(1+BR99)</f>
        <v>209.62114698216561</v>
      </c>
      <c r="BS98" s="487">
        <f>BR98*(1+BS99)</f>
        <v>213.81356992180892</v>
      </c>
      <c r="BT98" s="488">
        <f>SUM(BP98:BS98)</f>
        <v>838.56679230002806</v>
      </c>
      <c r="BU98" s="487">
        <f>BS98*(1+BU99)</f>
        <v>207.82678996399827</v>
      </c>
      <c r="BV98" s="487">
        <f>BU98*(1+BV99)</f>
        <v>211.98332576327823</v>
      </c>
      <c r="BW98" s="487">
        <f>BV98*(1+BW99)</f>
        <v>211.98332576327823</v>
      </c>
      <c r="BX98" s="487">
        <f>BW98*(1+BX99)</f>
        <v>216.22299227854379</v>
      </c>
      <c r="BY98" s="488">
        <f>SUM(BU98:BX98)</f>
        <v>848.01643376909851</v>
      </c>
      <c r="BZ98" s="487">
        <f>BX98*(1+BZ99)</f>
        <v>210.16874849474456</v>
      </c>
      <c r="CA98" s="487">
        <f>BZ98*(1+CA99)</f>
        <v>214.37212346463946</v>
      </c>
      <c r="CB98" s="487">
        <f>CA98*(1+CB99)</f>
        <v>214.37212346463946</v>
      </c>
      <c r="CC98" s="487">
        <f>CB98*(1+CC99)</f>
        <v>218.65956593393224</v>
      </c>
      <c r="CD98" s="486">
        <f>SUM(BZ98:CC98)</f>
        <v>857.57256135795569</v>
      </c>
      <c r="CE98" s="479">
        <f>CC98*(1+CE99)</f>
        <v>212.53709808778214</v>
      </c>
      <c r="CF98" s="479">
        <f>CE98*(1+CF99)</f>
        <v>216.78784004953778</v>
      </c>
      <c r="CG98" s="479">
        <f>CF98*(1+CG99)</f>
        <v>216.78784004953778</v>
      </c>
      <c r="CH98" s="479">
        <f>CG98*(1+CH99)</f>
        <v>221.12359685052854</v>
      </c>
      <c r="CI98" s="486">
        <f>SUM(CE98:CH98)</f>
        <v>867.23637503738621</v>
      </c>
      <c r="CJ98" s="487">
        <f>CH98*(1+CJ99)</f>
        <v>214.93213613871373</v>
      </c>
      <c r="CK98" s="487">
        <f>CJ98*(1+CK99)</f>
        <v>219.23077886148801</v>
      </c>
      <c r="CL98" s="487">
        <f>CK98*(1+CL99)</f>
        <v>219.23077886148801</v>
      </c>
      <c r="CM98" s="487">
        <f>CL98*(1+CM99)</f>
        <v>223.61539443871777</v>
      </c>
      <c r="CN98" s="488">
        <f>SUM(CJ98:CM98)</f>
        <v>877.00908830040748</v>
      </c>
      <c r="CO98" s="487">
        <f>CM98*(1+CO99)</f>
        <v>217.35416339443367</v>
      </c>
      <c r="CP98" s="487">
        <f>CO98*(1+CP99)</f>
        <v>221.70124666232235</v>
      </c>
      <c r="CQ98" s="487">
        <f>CP98*(1+CQ99)</f>
        <v>221.70124666232235</v>
      </c>
      <c r="CR98" s="487">
        <f>CQ98*(1+CR99)</f>
        <v>226.13527159556881</v>
      </c>
      <c r="CS98" s="488">
        <f>SUM(CO98:CR98)</f>
        <v>886.8919283146472</v>
      </c>
      <c r="CT98" s="487">
        <f>CR98*(1+CT99)</f>
        <v>219.80348399089289</v>
      </c>
      <c r="CU98" s="487">
        <f>CT98*(1+CU99)</f>
        <v>224.19955367071074</v>
      </c>
      <c r="CV98" s="487">
        <f>CU98*(1+CV99)</f>
        <v>224.19955367071074</v>
      </c>
      <c r="CW98" s="487">
        <f>CV98*(1+CW99)</f>
        <v>228.68354474412496</v>
      </c>
      <c r="CX98" s="488">
        <f>SUM(CT98:CW98)</f>
        <v>896.88613607643924</v>
      </c>
      <c r="CY98" s="487"/>
      <c r="DA98" s="126"/>
      <c r="DB98" s="481"/>
      <c r="DC98" s="481"/>
    </row>
    <row r="99" spans="1:107" ht="11.25" hidden="1" customHeight="1" outlineLevel="1">
      <c r="A99" s="489" t="s">
        <v>78</v>
      </c>
      <c r="B99" s="469"/>
      <c r="C99" s="470"/>
      <c r="D99" s="469"/>
      <c r="E99" s="469"/>
      <c r="F99" s="471"/>
      <c r="G99" s="472"/>
      <c r="H99" s="470"/>
      <c r="I99" s="469"/>
      <c r="J99" s="469"/>
      <c r="K99" s="471"/>
      <c r="L99" s="470"/>
      <c r="M99" s="470"/>
      <c r="N99" s="469"/>
      <c r="O99" s="469"/>
      <c r="P99" s="471"/>
      <c r="Q99" s="472"/>
      <c r="R99" s="469"/>
      <c r="S99" s="469"/>
      <c r="T99" s="469"/>
      <c r="U99" s="469"/>
      <c r="V99" s="473"/>
      <c r="W99" s="469"/>
      <c r="X99" s="469"/>
      <c r="Y99" s="469"/>
      <c r="Z99" s="469"/>
      <c r="AA99" s="472"/>
      <c r="AB99" s="469"/>
      <c r="AC99" s="469"/>
      <c r="AD99" s="469"/>
      <c r="AE99" s="469"/>
      <c r="AF99" s="474"/>
      <c r="AG99" s="469"/>
      <c r="AH99" s="469"/>
      <c r="AI99" s="469"/>
      <c r="AJ99" s="469"/>
      <c r="AK99" s="474"/>
      <c r="AL99" s="469"/>
      <c r="AM99" s="469"/>
      <c r="AN99" s="469"/>
      <c r="AO99" s="469"/>
      <c r="AP99" s="474"/>
      <c r="AQ99" s="469"/>
      <c r="AR99" s="507">
        <f>AR98/AQ98-1</f>
        <v>-8.0720480320213395E-2</v>
      </c>
      <c r="AS99" s="507">
        <f>AS98/AR98-1</f>
        <v>2.1770682148039011E-3</v>
      </c>
      <c r="AT99" s="507">
        <f>AT98/AS98-1</f>
        <v>-4.5619116582186647E-2</v>
      </c>
      <c r="AU99" s="472"/>
      <c r="AV99" s="507">
        <f>AV98/AQ98-1</f>
        <v>0.10673782521681119</v>
      </c>
      <c r="AW99" s="507">
        <f>AW98/AV98-1</f>
        <v>-5.9674502712477429E-2</v>
      </c>
      <c r="AX99" s="507">
        <f>AX98/AW98-1</f>
        <v>4.2307692307692379E-2</v>
      </c>
      <c r="AY99" s="507">
        <f>AY98/AX98-1</f>
        <v>4.4895448954489714E-2</v>
      </c>
      <c r="AZ99" s="1137"/>
      <c r="BA99" s="507">
        <f>BA98/AY98-1</f>
        <v>7.0041200706297824E-2</v>
      </c>
      <c r="BB99" s="507">
        <f>BB98/BA98-1</f>
        <v>1.1001100110010764E-3</v>
      </c>
      <c r="BC99" s="507">
        <f>BC98/BB98-1</f>
        <v>-4.0659340659340737E-2</v>
      </c>
      <c r="BD99" s="507">
        <f>BD98/BC98-1</f>
        <v>0.1552119129438716</v>
      </c>
      <c r="BE99" s="1137"/>
      <c r="BF99" s="469">
        <v>-0.04</v>
      </c>
      <c r="BG99" s="475">
        <v>5.0000000000000001E-3</v>
      </c>
      <c r="BH99" s="475">
        <v>-0.02</v>
      </c>
      <c r="BI99" s="507">
        <v>0.02</v>
      </c>
      <c r="BJ99" s="1137"/>
      <c r="BK99" s="475">
        <v>-0.01</v>
      </c>
      <c r="BL99" s="475">
        <v>2.5000000000000001E-2</v>
      </c>
      <c r="BM99" s="475">
        <v>2.5000000000000001E-2</v>
      </c>
      <c r="BN99" s="475">
        <v>4.4999999999999998E-2</v>
      </c>
      <c r="BO99" s="476"/>
      <c r="BP99" s="475">
        <v>-2.8000000000000001E-2</v>
      </c>
      <c r="BQ99" s="475">
        <v>0.02</v>
      </c>
      <c r="BR99" s="475">
        <v>0</v>
      </c>
      <c r="BS99" s="475">
        <v>0.02</v>
      </c>
      <c r="BT99" s="476"/>
      <c r="BU99" s="475">
        <v>-2.8000000000000001E-2</v>
      </c>
      <c r="BV99" s="475">
        <v>0.02</v>
      </c>
      <c r="BW99" s="475">
        <v>0</v>
      </c>
      <c r="BX99" s="475">
        <v>0.02</v>
      </c>
      <c r="BY99" s="476"/>
      <c r="BZ99" s="475">
        <v>-2.8000000000000001E-2</v>
      </c>
      <c r="CA99" s="475">
        <v>0.02</v>
      </c>
      <c r="CB99" s="475">
        <v>0</v>
      </c>
      <c r="CC99" s="475">
        <v>0.02</v>
      </c>
      <c r="CD99" s="472"/>
      <c r="CE99" s="469">
        <v>-2.8000000000000001E-2</v>
      </c>
      <c r="CF99" s="469">
        <v>0.02</v>
      </c>
      <c r="CG99" s="469">
        <v>0</v>
      </c>
      <c r="CH99" s="469">
        <v>0.02</v>
      </c>
      <c r="CI99" s="472"/>
      <c r="CJ99" s="475">
        <v>-2.8000000000000001E-2</v>
      </c>
      <c r="CK99" s="475">
        <v>0.02</v>
      </c>
      <c r="CL99" s="475">
        <v>0</v>
      </c>
      <c r="CM99" s="475">
        <v>0.02</v>
      </c>
      <c r="CN99" s="476"/>
      <c r="CO99" s="475">
        <v>-2.8000000000000001E-2</v>
      </c>
      <c r="CP99" s="475">
        <v>0.02</v>
      </c>
      <c r="CQ99" s="475">
        <v>0</v>
      </c>
      <c r="CR99" s="475">
        <v>0.02</v>
      </c>
      <c r="CS99" s="476"/>
      <c r="CT99" s="475">
        <v>-2.8000000000000001E-2</v>
      </c>
      <c r="CU99" s="475">
        <v>0.02</v>
      </c>
      <c r="CV99" s="475">
        <v>0</v>
      </c>
      <c r="CW99" s="475">
        <v>0.02</v>
      </c>
      <c r="CX99" s="476"/>
      <c r="CY99" s="475"/>
      <c r="DA99" s="871"/>
      <c r="DB99" s="469"/>
      <c r="DC99" s="469"/>
    </row>
    <row r="100" spans="1:107" ht="11.25" hidden="1" customHeight="1" outlineLevel="1">
      <c r="A100" s="489" t="s">
        <v>77</v>
      </c>
      <c r="B100" s="469"/>
      <c r="C100" s="470"/>
      <c r="D100" s="469"/>
      <c r="E100" s="469"/>
      <c r="F100" s="471"/>
      <c r="G100" s="472"/>
      <c r="H100" s="470"/>
      <c r="I100" s="469"/>
      <c r="J100" s="469"/>
      <c r="K100" s="471"/>
      <c r="L100" s="470"/>
      <c r="M100" s="470"/>
      <c r="N100" s="469"/>
      <c r="O100" s="469"/>
      <c r="P100" s="471"/>
      <c r="Q100" s="472"/>
      <c r="R100" s="469"/>
      <c r="S100" s="469"/>
      <c r="T100" s="469"/>
      <c r="U100" s="469"/>
      <c r="V100" s="473"/>
      <c r="W100" s="469"/>
      <c r="X100" s="469"/>
      <c r="Y100" s="469"/>
      <c r="Z100" s="469"/>
      <c r="AA100" s="472"/>
      <c r="AB100" s="469"/>
      <c r="AC100" s="469"/>
      <c r="AD100" s="469"/>
      <c r="AE100" s="469"/>
      <c r="AF100" s="472"/>
      <c r="AG100" s="469"/>
      <c r="AH100" s="469"/>
      <c r="AI100" s="469"/>
      <c r="AJ100" s="469"/>
      <c r="AK100" s="472"/>
      <c r="AL100" s="469"/>
      <c r="AM100" s="469"/>
      <c r="AN100" s="469"/>
      <c r="AO100" s="469"/>
      <c r="AP100" s="472"/>
      <c r="AQ100" s="469"/>
      <c r="AR100" s="469"/>
      <c r="AS100" s="469"/>
      <c r="AT100" s="469"/>
      <c r="AU100" s="472"/>
      <c r="AV100" s="507">
        <f t="shared" ref="AV100:BO100" si="156">AV98/AQ98-1</f>
        <v>0.10673782521681119</v>
      </c>
      <c r="AW100" s="507">
        <f t="shared" si="156"/>
        <v>0.13207547169811318</v>
      </c>
      <c r="AX100" s="507">
        <f t="shared" si="156"/>
        <v>0.17740767559739323</v>
      </c>
      <c r="AY100" s="507">
        <f t="shared" si="156"/>
        <v>0.2890743550834598</v>
      </c>
      <c r="AZ100" s="1266">
        <f t="shared" si="156"/>
        <v>0.17360114777618341</v>
      </c>
      <c r="BA100" s="507">
        <f t="shared" si="156"/>
        <v>9.5840867992766698E-2</v>
      </c>
      <c r="BB100" s="507">
        <f t="shared" si="156"/>
        <v>0.16666666666666674</v>
      </c>
      <c r="BC100" s="469">
        <f t="shared" si="156"/>
        <v>7.3800738007380184E-2</v>
      </c>
      <c r="BD100" s="507">
        <f t="shared" si="156"/>
        <v>0.18716892289582088</v>
      </c>
      <c r="BE100" s="1266">
        <f t="shared" si="156"/>
        <v>0.13095965770171136</v>
      </c>
      <c r="BF100" s="469">
        <f t="shared" si="156"/>
        <v>6.5082508250824844E-2</v>
      </c>
      <c r="BG100" s="475">
        <f t="shared" si="156"/>
        <v>6.923164835164819E-2</v>
      </c>
      <c r="BH100" s="475">
        <f t="shared" si="156"/>
        <v>9.2257484536082179E-2</v>
      </c>
      <c r="BI100" s="507">
        <f t="shared" si="156"/>
        <v>-3.5585920000000271E-2</v>
      </c>
      <c r="BJ100" s="1266">
        <f t="shared" si="156"/>
        <v>4.5078552541548245E-2</v>
      </c>
      <c r="BK100" s="475">
        <f t="shared" si="156"/>
        <v>-5.447980000000241E-3</v>
      </c>
      <c r="BL100" s="475">
        <f t="shared" si="156"/>
        <v>1.4344099999999749E-2</v>
      </c>
      <c r="BM100" s="475">
        <f t="shared" si="156"/>
        <v>6.0921124999999687E-2</v>
      </c>
      <c r="BN100" s="475">
        <f t="shared" si="156"/>
        <v>8.6924093749999543E-2</v>
      </c>
      <c r="BO100" s="476">
        <f t="shared" si="156"/>
        <v>3.9127026035702395E-2</v>
      </c>
      <c r="BP100" s="475">
        <f t="shared" ref="BP100:BY100" si="157">BP98/BK98-1</f>
        <v>6.7161837499999599E-2</v>
      </c>
      <c r="BQ100" s="475">
        <f t="shared" si="157"/>
        <v>6.1956169999999755E-2</v>
      </c>
      <c r="BR100" s="475">
        <f t="shared" si="157"/>
        <v>3.6054799999999831E-2</v>
      </c>
      <c r="BS100" s="475">
        <f t="shared" si="157"/>
        <v>1.1268799999999857E-2</v>
      </c>
      <c r="BT100" s="476">
        <f t="shared" si="157"/>
        <v>4.3349183548391679E-2</v>
      </c>
      <c r="BU100" s="475">
        <f t="shared" si="157"/>
        <v>1.1268799999999857E-2</v>
      </c>
      <c r="BV100" s="475">
        <f t="shared" si="157"/>
        <v>1.1268799999999857E-2</v>
      </c>
      <c r="BW100" s="475">
        <f t="shared" si="157"/>
        <v>1.1268799999999857E-2</v>
      </c>
      <c r="BX100" s="475">
        <f t="shared" si="157"/>
        <v>1.1268799999999857E-2</v>
      </c>
      <c r="BY100" s="476">
        <f t="shared" si="157"/>
        <v>1.1268799999999857E-2</v>
      </c>
      <c r="BZ100" s="475">
        <f t="shared" ref="BZ100:CN100" si="158">BZ98/BU98-1</f>
        <v>1.1268799999999857E-2</v>
      </c>
      <c r="CA100" s="475">
        <f t="shared" si="158"/>
        <v>1.1268800000000079E-2</v>
      </c>
      <c r="CB100" s="475">
        <f t="shared" si="158"/>
        <v>1.1268800000000079E-2</v>
      </c>
      <c r="CC100" s="475">
        <f t="shared" si="158"/>
        <v>1.1268800000000079E-2</v>
      </c>
      <c r="CD100" s="472">
        <f t="shared" si="158"/>
        <v>1.1268799999999857E-2</v>
      </c>
      <c r="CE100" s="469">
        <f t="shared" si="158"/>
        <v>1.1268800000000079E-2</v>
      </c>
      <c r="CF100" s="469">
        <f t="shared" si="158"/>
        <v>1.1268799999999857E-2</v>
      </c>
      <c r="CG100" s="469">
        <f t="shared" si="158"/>
        <v>1.1268799999999857E-2</v>
      </c>
      <c r="CH100" s="469">
        <f t="shared" si="158"/>
        <v>1.1268800000000079E-2</v>
      </c>
      <c r="CI100" s="472">
        <f t="shared" si="158"/>
        <v>1.1268800000000079E-2</v>
      </c>
      <c r="CJ100" s="475">
        <f t="shared" si="158"/>
        <v>1.1268799999999857E-2</v>
      </c>
      <c r="CK100" s="475">
        <f t="shared" si="158"/>
        <v>1.1268800000000079E-2</v>
      </c>
      <c r="CL100" s="475">
        <f t="shared" si="158"/>
        <v>1.1268800000000079E-2</v>
      </c>
      <c r="CM100" s="475">
        <f t="shared" si="158"/>
        <v>1.1268799999999857E-2</v>
      </c>
      <c r="CN100" s="476">
        <f t="shared" si="158"/>
        <v>1.1268800000000079E-2</v>
      </c>
      <c r="CO100" s="475">
        <f t="shared" ref="CO100:CX100" si="159">CO98/CJ98-1</f>
        <v>1.1268800000000079E-2</v>
      </c>
      <c r="CP100" s="475">
        <f t="shared" si="159"/>
        <v>1.1268800000000079E-2</v>
      </c>
      <c r="CQ100" s="475">
        <f t="shared" si="159"/>
        <v>1.1268800000000079E-2</v>
      </c>
      <c r="CR100" s="475">
        <f t="shared" si="159"/>
        <v>1.1268800000000079E-2</v>
      </c>
      <c r="CS100" s="476">
        <f t="shared" si="159"/>
        <v>1.1268800000000079E-2</v>
      </c>
      <c r="CT100" s="475">
        <f t="shared" si="159"/>
        <v>1.1268800000000079E-2</v>
      </c>
      <c r="CU100" s="475">
        <f t="shared" si="159"/>
        <v>1.1268800000000079E-2</v>
      </c>
      <c r="CV100" s="475">
        <f t="shared" si="159"/>
        <v>1.1268800000000079E-2</v>
      </c>
      <c r="CW100" s="475">
        <f t="shared" si="159"/>
        <v>1.1268800000000079E-2</v>
      </c>
      <c r="CX100" s="476">
        <f t="shared" si="159"/>
        <v>1.1268799999999857E-2</v>
      </c>
      <c r="CY100" s="475"/>
      <c r="DA100" s="871"/>
      <c r="DB100" s="469"/>
      <c r="DC100" s="469"/>
    </row>
    <row r="101" spans="1:107" ht="11.25" hidden="1" customHeight="1" outlineLevel="1">
      <c r="A101" s="478" t="s">
        <v>50</v>
      </c>
      <c r="B101" s="479"/>
      <c r="C101" s="480"/>
      <c r="D101" s="481"/>
      <c r="E101" s="481"/>
      <c r="F101" s="482"/>
      <c r="G101" s="483"/>
      <c r="H101" s="480"/>
      <c r="I101" s="481"/>
      <c r="J101" s="481"/>
      <c r="K101" s="482"/>
      <c r="L101" s="480"/>
      <c r="M101" s="480"/>
      <c r="N101" s="481"/>
      <c r="O101" s="481"/>
      <c r="P101" s="482"/>
      <c r="Q101" s="483"/>
      <c r="R101" s="481"/>
      <c r="S101" s="481"/>
      <c r="T101" s="481"/>
      <c r="U101" s="481"/>
      <c r="V101" s="484"/>
      <c r="W101" s="485"/>
      <c r="X101" s="485"/>
      <c r="Y101" s="485"/>
      <c r="Z101" s="479"/>
      <c r="AA101" s="486"/>
      <c r="AB101" s="485"/>
      <c r="AC101" s="485"/>
      <c r="AD101" s="485"/>
      <c r="AE101" s="485"/>
      <c r="AF101" s="486"/>
      <c r="AG101" s="479"/>
      <c r="AH101" s="479"/>
      <c r="AI101" s="479"/>
      <c r="AJ101" s="479"/>
      <c r="AK101" s="486"/>
      <c r="AL101" s="479"/>
      <c r="AM101" s="479"/>
      <c r="AN101" s="479"/>
      <c r="AO101" s="479"/>
      <c r="AP101" s="486"/>
      <c r="AQ101" s="479">
        <v>76.400000000000006</v>
      </c>
      <c r="AR101" s="479">
        <v>71.099999999999994</v>
      </c>
      <c r="AS101" s="479">
        <v>71.2</v>
      </c>
      <c r="AT101" s="479">
        <v>79.2</v>
      </c>
      <c r="AU101" s="486">
        <f>SUM(AQ101:AT101)</f>
        <v>297.89999999999998</v>
      </c>
      <c r="AV101" s="479">
        <v>78.900000000000006</v>
      </c>
      <c r="AW101" s="479">
        <v>75.900000000000006</v>
      </c>
      <c r="AX101" s="479">
        <v>93.5</v>
      </c>
      <c r="AY101" s="479">
        <v>103.4</v>
      </c>
      <c r="AZ101" s="486">
        <f>SUM(AV101:AY101)</f>
        <v>351.70000000000005</v>
      </c>
      <c r="BA101" s="479">
        <v>104.8</v>
      </c>
      <c r="BB101" s="479">
        <v>101.5</v>
      </c>
      <c r="BC101" s="479">
        <v>95.8</v>
      </c>
      <c r="BD101" s="479">
        <v>140.69999999999999</v>
      </c>
      <c r="BE101" s="486">
        <f>SUM(BA101:BD101)</f>
        <v>442.8</v>
      </c>
      <c r="BF101" s="479">
        <f>BD101*(1+BF102)</f>
        <v>90.751499999999993</v>
      </c>
      <c r="BG101" s="487">
        <f>BF101*(1+BG102)</f>
        <v>88.936469999999986</v>
      </c>
      <c r="BH101" s="487">
        <f>BG101*(1+BH102)</f>
        <v>91.159881749999983</v>
      </c>
      <c r="BI101" s="479">
        <f>BH101*(1+BI102)</f>
        <v>95.717875837499989</v>
      </c>
      <c r="BJ101" s="486">
        <f>SUM(BF101:BI101)</f>
        <v>366.56572758749996</v>
      </c>
      <c r="BK101" s="487">
        <f>BI101*(1+BK102)</f>
        <v>95.717875837499989</v>
      </c>
      <c r="BL101" s="487">
        <f>BK101*(1+BL102)</f>
        <v>98.397976360949997</v>
      </c>
      <c r="BM101" s="487">
        <f>BL101*(1+BM102)</f>
        <v>98.397976360949997</v>
      </c>
      <c r="BN101" s="487">
        <f>BM101*(1+BN102)</f>
        <v>103.80986506080224</v>
      </c>
      <c r="BO101" s="488">
        <f>SUM(BK101:BN101)</f>
        <v>396.32369362020222</v>
      </c>
      <c r="BP101" s="487">
        <f>BN101*(1+BP102)</f>
        <v>98.619371807762121</v>
      </c>
      <c r="BQ101" s="487">
        <f>BP101*(1+BQ102)</f>
        <v>100.09866238487854</v>
      </c>
      <c r="BR101" s="487">
        <f>BQ101*(1+BR102)</f>
        <v>100.09866238487854</v>
      </c>
      <c r="BS101" s="487">
        <f>BR101*(1+BS102)</f>
        <v>103.10162225642489</v>
      </c>
      <c r="BT101" s="488">
        <f>SUM(BP101:BS101)</f>
        <v>401.91831883394411</v>
      </c>
      <c r="BU101" s="487">
        <f>BS101*(1+BU102)</f>
        <v>97.946541143603639</v>
      </c>
      <c r="BV101" s="487">
        <f>BU101*(1+BV102)</f>
        <v>99.41573926075769</v>
      </c>
      <c r="BW101" s="487">
        <f>BV101*(1+BW102)</f>
        <v>99.41573926075769</v>
      </c>
      <c r="BX101" s="487">
        <f>BW101*(1+BX102)</f>
        <v>102.39821143858042</v>
      </c>
      <c r="BY101" s="488">
        <f>SUM(BU101:BX101)</f>
        <v>399.17623110369942</v>
      </c>
      <c r="BZ101" s="487">
        <f>BX101*(1+BZ102)</f>
        <v>97.278300866651392</v>
      </c>
      <c r="CA101" s="487">
        <f>BZ101*(1+CA102)</f>
        <v>98.737475379651158</v>
      </c>
      <c r="CB101" s="487">
        <f>CA101*(1+CB102)</f>
        <v>98.737475379651158</v>
      </c>
      <c r="CC101" s="487">
        <f>CB101*(1+CC102)</f>
        <v>101.69959964104069</v>
      </c>
      <c r="CD101" s="486">
        <f>SUM(BZ101:CC101)</f>
        <v>396.45285126699434</v>
      </c>
      <c r="CE101" s="479">
        <f>CC101*(1+CE102)</f>
        <v>96.614619658988659</v>
      </c>
      <c r="CF101" s="479">
        <f>CE101*(1+CF102)</f>
        <v>98.063838953873486</v>
      </c>
      <c r="CG101" s="479">
        <f>CF101*(1+CG102)</f>
        <v>98.063838953873486</v>
      </c>
      <c r="CH101" s="479">
        <f>CG101*(1+CH102)</f>
        <v>101.00575412248969</v>
      </c>
      <c r="CI101" s="486">
        <f>SUM(CE101:CH101)</f>
        <v>393.74805168922529</v>
      </c>
      <c r="CJ101" s="487">
        <f>CH101*(1+CJ102)</f>
        <v>95.955466416365198</v>
      </c>
      <c r="CK101" s="487">
        <f>CJ101*(1+CK102)</f>
        <v>97.394798412610669</v>
      </c>
      <c r="CL101" s="487">
        <f>CK101*(1+CL102)</f>
        <v>97.394798412610669</v>
      </c>
      <c r="CM101" s="487">
        <f>CL101*(1+CM102)</f>
        <v>100.31664236498899</v>
      </c>
      <c r="CN101" s="488">
        <f>SUM(CJ101:CM101)</f>
        <v>391.06170560657552</v>
      </c>
      <c r="CO101" s="487">
        <f>CM101*(1+CO102)</f>
        <v>95.300810246739545</v>
      </c>
      <c r="CP101" s="487">
        <f>CO101*(1+CP102)</f>
        <v>96.730322400440627</v>
      </c>
      <c r="CQ101" s="487">
        <f>CP101*(1+CQ102)</f>
        <v>96.730322400440627</v>
      </c>
      <c r="CR101" s="487">
        <f>CQ101*(1+CR102)</f>
        <v>99.632232072453846</v>
      </c>
      <c r="CS101" s="488">
        <f>SUM(CO101:CR101)</f>
        <v>388.39368712007467</v>
      </c>
      <c r="CT101" s="487">
        <f>CR101*(1+CT102)</f>
        <v>94.65062046883115</v>
      </c>
      <c r="CU101" s="487">
        <f>CT101*(1+CU102)</f>
        <v>96.070379775863614</v>
      </c>
      <c r="CV101" s="487">
        <f>CU101*(1+CV102)</f>
        <v>96.070379775863614</v>
      </c>
      <c r="CW101" s="487">
        <f>CV101*(1+CW102)</f>
        <v>98.95249116913952</v>
      </c>
      <c r="CX101" s="488">
        <f>SUM(CT101:CW101)</f>
        <v>385.74387118969793</v>
      </c>
      <c r="CY101" s="487"/>
      <c r="DA101" s="126"/>
      <c r="DB101" s="481"/>
      <c r="DC101" s="481"/>
    </row>
    <row r="102" spans="1:107" ht="11.25" hidden="1" customHeight="1" outlineLevel="1">
      <c r="A102" s="489" t="s">
        <v>78</v>
      </c>
      <c r="B102" s="469"/>
      <c r="C102" s="470"/>
      <c r="D102" s="469"/>
      <c r="E102" s="469"/>
      <c r="F102" s="471"/>
      <c r="G102" s="472"/>
      <c r="H102" s="470"/>
      <c r="I102" s="469"/>
      <c r="J102" s="469"/>
      <c r="K102" s="471"/>
      <c r="L102" s="470"/>
      <c r="M102" s="470"/>
      <c r="N102" s="469"/>
      <c r="O102" s="469"/>
      <c r="P102" s="471"/>
      <c r="Q102" s="472"/>
      <c r="R102" s="469"/>
      <c r="S102" s="469"/>
      <c r="T102" s="469"/>
      <c r="U102" s="469"/>
      <c r="V102" s="473"/>
      <c r="W102" s="469"/>
      <c r="X102" s="469"/>
      <c r="Y102" s="469"/>
      <c r="Z102" s="469"/>
      <c r="AA102" s="472"/>
      <c r="AB102" s="469"/>
      <c r="AC102" s="469"/>
      <c r="AD102" s="469"/>
      <c r="AE102" s="469"/>
      <c r="AF102" s="474"/>
      <c r="AG102" s="469"/>
      <c r="AH102" s="469"/>
      <c r="AI102" s="469"/>
      <c r="AJ102" s="469"/>
      <c r="AK102" s="474"/>
      <c r="AL102" s="469"/>
      <c r="AM102" s="469"/>
      <c r="AN102" s="469"/>
      <c r="AO102" s="469"/>
      <c r="AP102" s="474"/>
      <c r="AQ102" s="469"/>
      <c r="AR102" s="469"/>
      <c r="AS102" s="469"/>
      <c r="AT102" s="469"/>
      <c r="AU102" s="472"/>
      <c r="AV102" s="507">
        <f>AV101/AQ101-1</f>
        <v>3.2722513089005201E-2</v>
      </c>
      <c r="AW102" s="507">
        <f>AW101/AV101-1</f>
        <v>-3.802281368821292E-2</v>
      </c>
      <c r="AX102" s="507">
        <f>AX101/AW101-1</f>
        <v>0.23188405797101441</v>
      </c>
      <c r="AY102" s="507">
        <f>AY101/AX101-1</f>
        <v>0.10588235294117654</v>
      </c>
      <c r="AZ102" s="1137"/>
      <c r="BA102" s="507">
        <f>BA101/AY101-1</f>
        <v>1.3539651837524147E-2</v>
      </c>
      <c r="BB102" s="507">
        <f>BB101/BA101-1</f>
        <v>-3.1488549618320594E-2</v>
      </c>
      <c r="BC102" s="507">
        <f>BC101/BB101-1</f>
        <v>-5.615763546798036E-2</v>
      </c>
      <c r="BD102" s="507">
        <f>BD101/BC101-1</f>
        <v>0.46868475991649272</v>
      </c>
      <c r="BE102" s="1137"/>
      <c r="BF102" s="469">
        <v>-0.35499999999999998</v>
      </c>
      <c r="BG102" s="475">
        <v>-0.02</v>
      </c>
      <c r="BH102" s="475">
        <v>2.5000000000000001E-2</v>
      </c>
      <c r="BI102" s="507">
        <v>0.05</v>
      </c>
      <c r="BJ102" s="1137"/>
      <c r="BK102" s="475">
        <v>0</v>
      </c>
      <c r="BL102" s="475">
        <v>2.8000000000000001E-2</v>
      </c>
      <c r="BM102" s="475">
        <v>0</v>
      </c>
      <c r="BN102" s="475">
        <v>5.5E-2</v>
      </c>
      <c r="BO102" s="476"/>
      <c r="BP102" s="475">
        <v>-0.05</v>
      </c>
      <c r="BQ102" s="475">
        <v>1.4999999999999999E-2</v>
      </c>
      <c r="BR102" s="475">
        <v>0</v>
      </c>
      <c r="BS102" s="475">
        <v>0.03</v>
      </c>
      <c r="BT102" s="476"/>
      <c r="BU102" s="475">
        <v>-0.05</v>
      </c>
      <c r="BV102" s="475">
        <v>1.4999999999999999E-2</v>
      </c>
      <c r="BW102" s="475">
        <v>0</v>
      </c>
      <c r="BX102" s="475">
        <v>0.03</v>
      </c>
      <c r="BY102" s="476"/>
      <c r="BZ102" s="475">
        <v>-0.05</v>
      </c>
      <c r="CA102" s="475">
        <v>1.4999999999999999E-2</v>
      </c>
      <c r="CB102" s="475">
        <v>0</v>
      </c>
      <c r="CC102" s="475">
        <v>0.03</v>
      </c>
      <c r="CD102" s="472"/>
      <c r="CE102" s="469">
        <v>-0.05</v>
      </c>
      <c r="CF102" s="469">
        <v>1.4999999999999999E-2</v>
      </c>
      <c r="CG102" s="469">
        <v>0</v>
      </c>
      <c r="CH102" s="469">
        <v>0.03</v>
      </c>
      <c r="CI102" s="472"/>
      <c r="CJ102" s="475">
        <v>-0.05</v>
      </c>
      <c r="CK102" s="475">
        <v>1.4999999999999999E-2</v>
      </c>
      <c r="CL102" s="475">
        <v>0</v>
      </c>
      <c r="CM102" s="475">
        <v>0.03</v>
      </c>
      <c r="CN102" s="476"/>
      <c r="CO102" s="475">
        <v>-0.05</v>
      </c>
      <c r="CP102" s="475">
        <v>1.4999999999999999E-2</v>
      </c>
      <c r="CQ102" s="475">
        <v>0</v>
      </c>
      <c r="CR102" s="475">
        <v>0.03</v>
      </c>
      <c r="CS102" s="476"/>
      <c r="CT102" s="475">
        <v>-0.05</v>
      </c>
      <c r="CU102" s="475">
        <v>1.4999999999999999E-2</v>
      </c>
      <c r="CV102" s="475">
        <v>0</v>
      </c>
      <c r="CW102" s="475">
        <v>0.03</v>
      </c>
      <c r="CX102" s="476"/>
      <c r="CY102" s="475"/>
      <c r="DA102" s="871"/>
      <c r="DB102" s="469"/>
      <c r="DC102" s="469"/>
    </row>
    <row r="103" spans="1:107" ht="11.25" hidden="1" customHeight="1" outlineLevel="1">
      <c r="A103" s="489" t="s">
        <v>77</v>
      </c>
      <c r="B103" s="469"/>
      <c r="C103" s="470"/>
      <c r="D103" s="469"/>
      <c r="E103" s="469"/>
      <c r="F103" s="471"/>
      <c r="G103" s="472"/>
      <c r="H103" s="470"/>
      <c r="I103" s="469"/>
      <c r="J103" s="469"/>
      <c r="K103" s="471"/>
      <c r="L103" s="470"/>
      <c r="M103" s="470"/>
      <c r="N103" s="469"/>
      <c r="O103" s="469"/>
      <c r="P103" s="471"/>
      <c r="Q103" s="472"/>
      <c r="R103" s="469"/>
      <c r="S103" s="469"/>
      <c r="T103" s="469"/>
      <c r="U103" s="469"/>
      <c r="V103" s="473"/>
      <c r="W103" s="469"/>
      <c r="X103" s="469"/>
      <c r="Y103" s="469"/>
      <c r="Z103" s="469"/>
      <c r="AA103" s="472"/>
      <c r="AB103" s="469"/>
      <c r="AC103" s="469"/>
      <c r="AD103" s="469"/>
      <c r="AE103" s="469"/>
      <c r="AF103" s="472"/>
      <c r="AG103" s="469"/>
      <c r="AH103" s="469"/>
      <c r="AI103" s="469"/>
      <c r="AJ103" s="469"/>
      <c r="AK103" s="472"/>
      <c r="AL103" s="469"/>
      <c r="AM103" s="469"/>
      <c r="AN103" s="469"/>
      <c r="AO103" s="469"/>
      <c r="AP103" s="472"/>
      <c r="AQ103" s="469"/>
      <c r="AR103" s="469"/>
      <c r="AS103" s="469"/>
      <c r="AT103" s="469"/>
      <c r="AU103" s="472"/>
      <c r="AV103" s="507">
        <f t="shared" ref="AV103:BD103" si="160">AV101/AQ101-1</f>
        <v>3.2722513089005201E-2</v>
      </c>
      <c r="AW103" s="507">
        <f t="shared" si="160"/>
        <v>6.7510548523206815E-2</v>
      </c>
      <c r="AX103" s="507">
        <f t="shared" si="160"/>
        <v>0.3132022471910112</v>
      </c>
      <c r="AY103" s="507">
        <f t="shared" si="160"/>
        <v>0.30555555555555558</v>
      </c>
      <c r="AZ103" s="1266">
        <f t="shared" si="160"/>
        <v>0.18059751594494822</v>
      </c>
      <c r="BA103" s="507">
        <f t="shared" si="160"/>
        <v>0.32826362484157157</v>
      </c>
      <c r="BB103" s="507">
        <f>BB101/AW101-1</f>
        <v>0.33728590250329371</v>
      </c>
      <c r="BC103" s="469">
        <f t="shared" si="160"/>
        <v>2.4598930481283476E-2</v>
      </c>
      <c r="BD103" s="507">
        <f t="shared" si="160"/>
        <v>0.36073500967117966</v>
      </c>
      <c r="BE103" s="1266">
        <f>+BE101/AZ101-1</f>
        <v>0.25902758032413975</v>
      </c>
      <c r="BF103" s="469">
        <f>BF101/BA101-1</f>
        <v>-0.13405057251908403</v>
      </c>
      <c r="BG103" s="475">
        <f>BG101/BB101-1</f>
        <v>-0.12377862068965528</v>
      </c>
      <c r="BH103" s="475">
        <f>BH101/BC101-1</f>
        <v>-4.8435472338204777E-2</v>
      </c>
      <c r="BI103" s="507">
        <f>BI101/BD101-1</f>
        <v>-0.31970237499999998</v>
      </c>
      <c r="BJ103" s="1266">
        <f>+BJ101/BE101-1</f>
        <v>-0.17216412017276428</v>
      </c>
      <c r="BK103" s="475">
        <f>BK101/BF101-1</f>
        <v>5.4724999999999913E-2</v>
      </c>
      <c r="BL103" s="475">
        <f>BL101/BG101-1</f>
        <v>0.10638500000000017</v>
      </c>
      <c r="BM103" s="475">
        <f>BM101/BH101-1</f>
        <v>7.9400000000000137E-2</v>
      </c>
      <c r="BN103" s="475">
        <f>BN101/BI101-1</f>
        <v>8.454000000000006E-2</v>
      </c>
      <c r="BO103" s="476">
        <f>+BO101/BJ101-1</f>
        <v>8.1180437212584167E-2</v>
      </c>
      <c r="BP103" s="475">
        <f>BP101/BK101-1</f>
        <v>3.0313000000000034E-2</v>
      </c>
      <c r="BQ103" s="475">
        <f>BQ101/BL101-1</f>
        <v>1.7283749999999598E-2</v>
      </c>
      <c r="BR103" s="475">
        <f>BR101/BM101-1</f>
        <v>1.7283749999999598E-2</v>
      </c>
      <c r="BS103" s="475">
        <f>BS101/BN101-1</f>
        <v>-6.8225000000002867E-3</v>
      </c>
      <c r="BT103" s="476">
        <f>+BT101/BO101-1</f>
        <v>1.4116302668250924E-2</v>
      </c>
      <c r="BU103" s="475">
        <f>BU101/BP101-1</f>
        <v>-6.8225000000002867E-3</v>
      </c>
      <c r="BV103" s="475">
        <f>BV101/BQ101-1</f>
        <v>-6.8225000000001756E-3</v>
      </c>
      <c r="BW103" s="475">
        <f>BW101/BR101-1</f>
        <v>-6.8225000000001756E-3</v>
      </c>
      <c r="BX103" s="475">
        <f>BX101/BS101-1</f>
        <v>-6.8225000000000646E-3</v>
      </c>
      <c r="BY103" s="476">
        <f>+BY101/BT101-1</f>
        <v>-6.8225000000002867E-3</v>
      </c>
      <c r="BZ103" s="475">
        <f>BZ101/BU101-1</f>
        <v>-6.8225000000000646E-3</v>
      </c>
      <c r="CA103" s="475">
        <f>CA101/BV101-1</f>
        <v>-6.8225000000000646E-3</v>
      </c>
      <c r="CB103" s="475">
        <f>CB101/BW101-1</f>
        <v>-6.8225000000000646E-3</v>
      </c>
      <c r="CC103" s="475">
        <f>CC101/BX101-1</f>
        <v>-6.8225000000000646E-3</v>
      </c>
      <c r="CD103" s="472">
        <f>+CD101/BY101-1</f>
        <v>-6.8225000000001756E-3</v>
      </c>
      <c r="CE103" s="469">
        <f>CE101/BZ101-1</f>
        <v>-6.8225000000000646E-3</v>
      </c>
      <c r="CF103" s="469">
        <f>CF101/CA101-1</f>
        <v>-6.8225000000000646E-3</v>
      </c>
      <c r="CG103" s="469">
        <f>CG101/CB101-1</f>
        <v>-6.8225000000000646E-3</v>
      </c>
      <c r="CH103" s="469">
        <f>CH101/CC101-1</f>
        <v>-6.8224999999999536E-3</v>
      </c>
      <c r="CI103" s="472">
        <f>+CI101/CD101-1</f>
        <v>-6.8224999999999536E-3</v>
      </c>
      <c r="CJ103" s="475">
        <f>CJ101/CE101-1</f>
        <v>-6.8225000000000646E-3</v>
      </c>
      <c r="CK103" s="475">
        <f>CK101/CF101-1</f>
        <v>-6.8225000000001756E-3</v>
      </c>
      <c r="CL103" s="475">
        <f>CL101/CG101-1</f>
        <v>-6.8225000000001756E-3</v>
      </c>
      <c r="CM103" s="475">
        <f>CM101/CH101-1</f>
        <v>-6.8225000000000646E-3</v>
      </c>
      <c r="CN103" s="476">
        <f>+CN101/CI101-1</f>
        <v>-6.8225000000000646E-3</v>
      </c>
      <c r="CO103" s="475">
        <f>CO101/CJ101-1</f>
        <v>-6.8225000000000646E-3</v>
      </c>
      <c r="CP103" s="475">
        <f>CP101/CK101-1</f>
        <v>-6.8225000000000646E-3</v>
      </c>
      <c r="CQ103" s="475">
        <f>CQ101/CL101-1</f>
        <v>-6.8225000000000646E-3</v>
      </c>
      <c r="CR103" s="475">
        <f>CR101/CM101-1</f>
        <v>-6.8225000000000646E-3</v>
      </c>
      <c r="CS103" s="476">
        <f>+CS101/CN101-1</f>
        <v>-6.8224999999999536E-3</v>
      </c>
      <c r="CT103" s="475">
        <f>CT101/CO101-1</f>
        <v>-6.8225000000001756E-3</v>
      </c>
      <c r="CU103" s="475">
        <f>CU101/CP101-1</f>
        <v>-6.8225000000000646E-3</v>
      </c>
      <c r="CV103" s="475">
        <f>CV101/CQ101-1</f>
        <v>-6.8225000000000646E-3</v>
      </c>
      <c r="CW103" s="475">
        <f>CW101/CR101-1</f>
        <v>-6.8225000000000646E-3</v>
      </c>
      <c r="CX103" s="476">
        <f>+CX101/CS101-1</f>
        <v>-6.8225000000000646E-3</v>
      </c>
      <c r="CY103" s="475"/>
      <c r="DA103" s="871"/>
      <c r="DB103" s="469"/>
      <c r="DC103" s="469"/>
    </row>
    <row r="104" spans="1:107" ht="11.25" hidden="1" customHeight="1" outlineLevel="1">
      <c r="A104" s="457" t="s">
        <v>65</v>
      </c>
      <c r="B104" s="458"/>
      <c r="C104" s="459"/>
      <c r="D104" s="460"/>
      <c r="E104" s="460"/>
      <c r="F104" s="461"/>
      <c r="G104" s="462"/>
      <c r="H104" s="459"/>
      <c r="I104" s="460"/>
      <c r="J104" s="460"/>
      <c r="K104" s="461"/>
      <c r="L104" s="459"/>
      <c r="M104" s="459"/>
      <c r="N104" s="460"/>
      <c r="O104" s="460"/>
      <c r="P104" s="461"/>
      <c r="Q104" s="462"/>
      <c r="R104" s="460"/>
      <c r="S104" s="460"/>
      <c r="T104" s="460"/>
      <c r="U104" s="460"/>
      <c r="V104" s="463"/>
      <c r="W104" s="464"/>
      <c r="X104" s="464"/>
      <c r="Y104" s="464"/>
      <c r="Z104" s="458"/>
      <c r="AA104" s="465"/>
      <c r="AB104" s="464"/>
      <c r="AC104" s="464"/>
      <c r="AD104" s="464"/>
      <c r="AE104" s="464"/>
      <c r="AF104" s="465"/>
      <c r="AG104" s="458"/>
      <c r="AH104" s="458"/>
      <c r="AI104" s="458"/>
      <c r="AJ104" s="458"/>
      <c r="AK104" s="465"/>
      <c r="AL104" s="458"/>
      <c r="AM104" s="458"/>
      <c r="AN104" s="458"/>
      <c r="AO104" s="458"/>
      <c r="AP104" s="465"/>
      <c r="AQ104" s="458">
        <v>226.3</v>
      </c>
      <c r="AR104" s="458">
        <v>208.9</v>
      </c>
      <c r="AS104" s="458">
        <v>209.3</v>
      </c>
      <c r="AT104" s="458">
        <v>211</v>
      </c>
      <c r="AU104" s="465">
        <f>SUM(AQ104:AT104)</f>
        <v>855.5</v>
      </c>
      <c r="AV104" s="458">
        <v>244.8</v>
      </c>
      <c r="AW104" s="458">
        <v>231.9</v>
      </c>
      <c r="AX104" s="458">
        <v>256.10000000000002</v>
      </c>
      <c r="AY104" s="458">
        <v>273.3</v>
      </c>
      <c r="AZ104" s="465">
        <f>SUM(AV104:AY104)</f>
        <v>1006.1000000000001</v>
      </c>
      <c r="BA104" s="458">
        <f>SUM(BA98,BA101)</f>
        <v>286.60000000000002</v>
      </c>
      <c r="BB104" s="458">
        <f>BB98+BB101</f>
        <v>283.5</v>
      </c>
      <c r="BC104" s="458">
        <f>BC98+BC101</f>
        <v>270.39999999999998</v>
      </c>
      <c r="BD104" s="458">
        <f>SUM(BD98,BD101)</f>
        <v>342.4</v>
      </c>
      <c r="BE104" s="465">
        <f>SUM(BA104:BD104)</f>
        <v>1182.9000000000001</v>
      </c>
      <c r="BF104" s="458">
        <f>SUM(BF98,BF101)</f>
        <v>284.38349999999997</v>
      </c>
      <c r="BG104" s="466">
        <f>SUM(BG98,BG101)</f>
        <v>283.53662999999995</v>
      </c>
      <c r="BH104" s="466">
        <f>SUM(BH98,BH101)</f>
        <v>281.86803854999994</v>
      </c>
      <c r="BI104" s="458">
        <f>SUM(BI98,BI101)</f>
        <v>290.24019577349992</v>
      </c>
      <c r="BJ104" s="465">
        <f>SUM(BF104:BI104)</f>
        <v>1140.0283643234998</v>
      </c>
      <c r="BK104" s="466">
        <f>SUM(BK98,BK101)</f>
        <v>288.29497257413993</v>
      </c>
      <c r="BL104" s="466">
        <f>SUM(BL98,BL101)</f>
        <v>295.78950051600589</v>
      </c>
      <c r="BM104" s="466">
        <f>SUM(BM98,BM101)</f>
        <v>300.72428861988226</v>
      </c>
      <c r="BN104" s="466">
        <f>SUM(BN98,BN101)</f>
        <v>315.24086137138647</v>
      </c>
      <c r="BO104" s="467">
        <f>SUM(BK104:BN104)</f>
        <v>1200.0496230814147</v>
      </c>
      <c r="BP104" s="466">
        <f>SUM(BP98,BP101)</f>
        <v>304.13030022164997</v>
      </c>
      <c r="BQ104" s="466">
        <f>SUM(BQ98,BQ101)</f>
        <v>309.71980936704415</v>
      </c>
      <c r="BR104" s="466">
        <f>SUM(BR98,BR101)</f>
        <v>309.71980936704415</v>
      </c>
      <c r="BS104" s="466">
        <f>SUM(BS98,BS101)</f>
        <v>316.91519217823384</v>
      </c>
      <c r="BT104" s="467">
        <f>SUM(BP104:BS104)</f>
        <v>1240.4851111339722</v>
      </c>
      <c r="BU104" s="466">
        <f>SUM(BU98,BU101)</f>
        <v>305.7733311076019</v>
      </c>
      <c r="BV104" s="466">
        <f>SUM(BV98,BV101)</f>
        <v>311.39906502403591</v>
      </c>
      <c r="BW104" s="466">
        <f>SUM(BW98,BW101)</f>
        <v>311.39906502403591</v>
      </c>
      <c r="BX104" s="466">
        <f>SUM(BX98,BX101)</f>
        <v>318.62120371712422</v>
      </c>
      <c r="BY104" s="467">
        <f>SUM(BU104:BX104)</f>
        <v>1247.1926648727979</v>
      </c>
      <c r="BZ104" s="466">
        <f>SUM(BZ98,BZ101)</f>
        <v>307.44704936139595</v>
      </c>
      <c r="CA104" s="466">
        <f>SUM(CA98,CA101)</f>
        <v>313.10959884429064</v>
      </c>
      <c r="CB104" s="466">
        <f>SUM(CB98,CB101)</f>
        <v>313.10959884429064</v>
      </c>
      <c r="CC104" s="466">
        <f>SUM(CC98,CC101)</f>
        <v>320.35916557497296</v>
      </c>
      <c r="CD104" s="465">
        <f>SUM(BZ104:CC104)</f>
        <v>1254.0254126249501</v>
      </c>
      <c r="CE104" s="458">
        <f>SUM(CE98,CE101)</f>
        <v>309.15171774677083</v>
      </c>
      <c r="CF104" s="458">
        <f>SUM(CF98,CF101)</f>
        <v>314.85167900341128</v>
      </c>
      <c r="CG104" s="458">
        <f>SUM(CG98,CG101)</f>
        <v>314.85167900341128</v>
      </c>
      <c r="CH104" s="458">
        <f>SUM(CH98,CH101)</f>
        <v>322.12935097301823</v>
      </c>
      <c r="CI104" s="465">
        <f>SUM(CE104:CH104)</f>
        <v>1260.9844267266117</v>
      </c>
      <c r="CJ104" s="466">
        <f>SUM(CJ98,CJ101)</f>
        <v>310.88760255507896</v>
      </c>
      <c r="CK104" s="466">
        <f>SUM(CK98,CK101)</f>
        <v>316.62557727409865</v>
      </c>
      <c r="CL104" s="466">
        <f>SUM(CL98,CL101)</f>
        <v>316.62557727409865</v>
      </c>
      <c r="CM104" s="466">
        <f>SUM(CM98,CM101)</f>
        <v>323.93203680370675</v>
      </c>
      <c r="CN104" s="467">
        <f>SUM(CJ104:CM104)</f>
        <v>1268.070793906983</v>
      </c>
      <c r="CO104" s="466">
        <f>SUM(CO98,CO101)</f>
        <v>312.65497364117323</v>
      </c>
      <c r="CP104" s="466">
        <f>SUM(CP98,CP101)</f>
        <v>318.43156906276295</v>
      </c>
      <c r="CQ104" s="466">
        <f>SUM(CQ98,CQ101)</f>
        <v>318.43156906276295</v>
      </c>
      <c r="CR104" s="466">
        <f>SUM(CR98,CR101)</f>
        <v>325.76750366802264</v>
      </c>
      <c r="CS104" s="467">
        <f>SUM(CO104:CR104)</f>
        <v>1275.2856154347219</v>
      </c>
      <c r="CT104" s="466">
        <f>SUM(CT98,CT101)</f>
        <v>314.45410445972402</v>
      </c>
      <c r="CU104" s="466">
        <f>SUM(CU98,CU101)</f>
        <v>320.26993344657433</v>
      </c>
      <c r="CV104" s="466">
        <f>SUM(CV98,CV101)</f>
        <v>320.26993344657433</v>
      </c>
      <c r="CW104" s="466">
        <f>SUM(CW98,CW101)</f>
        <v>327.63603591326449</v>
      </c>
      <c r="CX104" s="467">
        <f>SUM(CT104:CW104)</f>
        <v>1282.6300072661372</v>
      </c>
      <c r="CY104" s="466"/>
      <c r="DA104" s="126"/>
      <c r="DB104" s="460"/>
      <c r="DC104" s="460"/>
    </row>
    <row r="105" spans="1:107" ht="11.25" hidden="1" customHeight="1" outlineLevel="1">
      <c r="A105" s="468" t="s">
        <v>78</v>
      </c>
      <c r="B105" s="652"/>
      <c r="C105" s="1280"/>
      <c r="D105" s="653"/>
      <c r="E105" s="653"/>
      <c r="F105" s="1281"/>
      <c r="G105" s="870"/>
      <c r="H105" s="1280"/>
      <c r="I105" s="653"/>
      <c r="J105" s="653"/>
      <c r="K105" s="1281"/>
      <c r="L105" s="1280"/>
      <c r="M105" s="1280"/>
      <c r="N105" s="653"/>
      <c r="O105" s="653"/>
      <c r="P105" s="1281"/>
      <c r="Q105" s="870"/>
      <c r="R105" s="653"/>
      <c r="S105" s="653"/>
      <c r="T105" s="653"/>
      <c r="U105" s="653"/>
      <c r="V105" s="870"/>
      <c r="W105" s="653"/>
      <c r="X105" s="653"/>
      <c r="Y105" s="653"/>
      <c r="Z105" s="653"/>
      <c r="AA105" s="870"/>
      <c r="AB105" s="653"/>
      <c r="AC105" s="653"/>
      <c r="AD105" s="653"/>
      <c r="AE105" s="653"/>
      <c r="AF105" s="870"/>
      <c r="AG105" s="1282"/>
      <c r="AH105" s="1282"/>
      <c r="AI105" s="1282"/>
      <c r="AJ105" s="1282"/>
      <c r="AK105" s="870"/>
      <c r="AL105" s="1282"/>
      <c r="AM105" s="1282"/>
      <c r="AN105" s="1282"/>
      <c r="AO105" s="1282"/>
      <c r="AP105" s="870"/>
      <c r="AQ105" s="507"/>
      <c r="AR105" s="507">
        <f>AR104/AQ104-1</f>
        <v>-7.688908528501992E-2</v>
      </c>
      <c r="AS105" s="507">
        <f>AS104/AR104-1</f>
        <v>1.9147917663955294E-3</v>
      </c>
      <c r="AT105" s="507">
        <f>AT104/AS104-1</f>
        <v>8.1223124701383931E-3</v>
      </c>
      <c r="AU105" s="1137"/>
      <c r="AV105" s="507">
        <f>AV104/AQ104-1</f>
        <v>8.1749889527176212E-2</v>
      </c>
      <c r="AW105" s="507">
        <f>AW104/AV104-1</f>
        <v>-5.2696078431372584E-2</v>
      </c>
      <c r="AX105" s="507">
        <f>AX104/AW104-1</f>
        <v>0.10435532557136695</v>
      </c>
      <c r="AY105" s="507">
        <f>AY104/AX104-1</f>
        <v>6.7161265130808223E-2</v>
      </c>
      <c r="AZ105" s="1137"/>
      <c r="BA105" s="507">
        <f>BA104/AY104-1</f>
        <v>4.8664471276985033E-2</v>
      </c>
      <c r="BB105" s="507">
        <f>BB104/BA104-1</f>
        <v>-1.0816468946266644E-2</v>
      </c>
      <c r="BC105" s="507">
        <f>BC104/BB104-1</f>
        <v>-4.6208112874779661E-2</v>
      </c>
      <c r="BD105" s="507">
        <f>BD104/BC104-1</f>
        <v>0.26627218934911245</v>
      </c>
      <c r="BE105" s="1137"/>
      <c r="BF105" s="469">
        <f>BF104/BD104-1</f>
        <v>-0.16944071261682248</v>
      </c>
      <c r="BG105" s="475">
        <f>BG104/BF104-1</f>
        <v>-2.9779153853863871E-3</v>
      </c>
      <c r="BH105" s="475">
        <f>BH104/BG104-1</f>
        <v>-5.884923757470073E-3</v>
      </c>
      <c r="BI105" s="507">
        <f>BI104/BH104-1</f>
        <v>2.9702399983227767E-2</v>
      </c>
      <c r="BJ105" s="1137"/>
      <c r="BK105" s="475">
        <f>BF105</f>
        <v>-0.16944071261682248</v>
      </c>
      <c r="BL105" s="475">
        <f>BG105</f>
        <v>-2.9779153853863871E-3</v>
      </c>
      <c r="BM105" s="475">
        <f>BH105</f>
        <v>-5.884923757470073E-3</v>
      </c>
      <c r="BN105" s="475">
        <f>BI105</f>
        <v>2.9702399983227767E-2</v>
      </c>
      <c r="BO105" s="1311"/>
      <c r="BP105" s="475">
        <f>BK105</f>
        <v>-0.16944071261682248</v>
      </c>
      <c r="BQ105" s="475">
        <f>BL105</f>
        <v>-2.9779153853863871E-3</v>
      </c>
      <c r="BR105" s="475">
        <f>BM105</f>
        <v>-5.884923757470073E-3</v>
      </c>
      <c r="BS105" s="475">
        <f>BN105</f>
        <v>2.9702399983227767E-2</v>
      </c>
      <c r="BT105" s="1311"/>
      <c r="BU105" s="475">
        <f>BP105</f>
        <v>-0.16944071261682248</v>
      </c>
      <c r="BV105" s="475">
        <f>BQ105</f>
        <v>-2.9779153853863871E-3</v>
      </c>
      <c r="BW105" s="475">
        <f>BR105</f>
        <v>-5.884923757470073E-3</v>
      </c>
      <c r="BX105" s="475">
        <f>BS105</f>
        <v>2.9702399983227767E-2</v>
      </c>
      <c r="BY105" s="1311"/>
      <c r="BZ105" s="475">
        <f>BU105</f>
        <v>-0.16944071261682248</v>
      </c>
      <c r="CA105" s="475">
        <f>BV105</f>
        <v>-2.9779153853863871E-3</v>
      </c>
      <c r="CB105" s="475">
        <f>BW105</f>
        <v>-5.884923757470073E-3</v>
      </c>
      <c r="CC105" s="475">
        <f>BX105</f>
        <v>2.9702399983227767E-2</v>
      </c>
      <c r="CD105" s="1144"/>
      <c r="CE105" s="469">
        <f>BZ105</f>
        <v>-0.16944071261682248</v>
      </c>
      <c r="CF105" s="469">
        <f>CA105</f>
        <v>-2.9779153853863871E-3</v>
      </c>
      <c r="CG105" s="469">
        <f>CB105</f>
        <v>-5.884923757470073E-3</v>
      </c>
      <c r="CH105" s="469">
        <f>CC105</f>
        <v>2.9702399983227767E-2</v>
      </c>
      <c r="CI105" s="1144"/>
      <c r="CJ105" s="475">
        <f>CE105</f>
        <v>-0.16944071261682248</v>
      </c>
      <c r="CK105" s="475">
        <f>CF105</f>
        <v>-2.9779153853863871E-3</v>
      </c>
      <c r="CL105" s="475">
        <f>CG105</f>
        <v>-5.884923757470073E-3</v>
      </c>
      <c r="CM105" s="475">
        <f>CH105</f>
        <v>2.9702399983227767E-2</v>
      </c>
      <c r="CN105" s="1311"/>
      <c r="CO105" s="475">
        <f>CJ105</f>
        <v>-0.16944071261682248</v>
      </c>
      <c r="CP105" s="475">
        <f>CK105</f>
        <v>-2.9779153853863871E-3</v>
      </c>
      <c r="CQ105" s="475">
        <f>CL105</f>
        <v>-5.884923757470073E-3</v>
      </c>
      <c r="CR105" s="475">
        <f>CM105</f>
        <v>2.9702399983227767E-2</v>
      </c>
      <c r="CS105" s="1311"/>
      <c r="CT105" s="475">
        <f>CO105</f>
        <v>-0.16944071261682248</v>
      </c>
      <c r="CU105" s="475">
        <f>CP105</f>
        <v>-2.9779153853863871E-3</v>
      </c>
      <c r="CV105" s="475">
        <f>CQ105</f>
        <v>-5.884923757470073E-3</v>
      </c>
      <c r="CW105" s="475">
        <f>CR105</f>
        <v>2.9702399983227767E-2</v>
      </c>
      <c r="CX105" s="1311"/>
      <c r="CY105" s="1726"/>
      <c r="DA105" s="871"/>
      <c r="DB105" s="653"/>
      <c r="DC105" s="653"/>
    </row>
    <row r="106" spans="1:107" ht="11.25" hidden="1" customHeight="1" outlineLevel="1">
      <c r="A106" s="468" t="s">
        <v>77</v>
      </c>
      <c r="B106" s="652"/>
      <c r="C106" s="1280"/>
      <c r="D106" s="653"/>
      <c r="E106" s="653"/>
      <c r="F106" s="1281"/>
      <c r="G106" s="870"/>
      <c r="H106" s="1280"/>
      <c r="I106" s="653"/>
      <c r="J106" s="653"/>
      <c r="K106" s="1281"/>
      <c r="L106" s="1280"/>
      <c r="M106" s="1280"/>
      <c r="N106" s="653"/>
      <c r="O106" s="653"/>
      <c r="P106" s="1281"/>
      <c r="Q106" s="870"/>
      <c r="R106" s="653"/>
      <c r="S106" s="653"/>
      <c r="T106" s="653"/>
      <c r="U106" s="653"/>
      <c r="V106" s="870"/>
      <c r="W106" s="653"/>
      <c r="X106" s="653"/>
      <c r="Y106" s="653"/>
      <c r="Z106" s="653"/>
      <c r="AA106" s="870"/>
      <c r="AB106" s="653"/>
      <c r="AC106" s="653"/>
      <c r="AD106" s="653"/>
      <c r="AE106" s="653"/>
      <c r="AF106" s="870"/>
      <c r="AG106" s="1282"/>
      <c r="AH106" s="1282"/>
      <c r="AI106" s="1282"/>
      <c r="AJ106" s="1282"/>
      <c r="AK106" s="870"/>
      <c r="AL106" s="1282"/>
      <c r="AM106" s="1282"/>
      <c r="AN106" s="1282"/>
      <c r="AO106" s="1282"/>
      <c r="AP106" s="870"/>
      <c r="AQ106" s="507"/>
      <c r="AR106" s="507"/>
      <c r="AS106" s="507"/>
      <c r="AT106" s="507"/>
      <c r="AU106" s="1137"/>
      <c r="AV106" s="507">
        <f t="shared" ref="AV106:BO106" si="161">AV104/AQ104-1</f>
        <v>8.1749889527176212E-2</v>
      </c>
      <c r="AW106" s="507">
        <f t="shared" si="161"/>
        <v>0.11010052656773572</v>
      </c>
      <c r="AX106" s="507">
        <f t="shared" si="161"/>
        <v>0.22360248447204967</v>
      </c>
      <c r="AY106" s="507">
        <f t="shared" si="161"/>
        <v>0.29526066350710911</v>
      </c>
      <c r="AZ106" s="1266">
        <f t="shared" si="161"/>
        <v>0.1760374050263005</v>
      </c>
      <c r="BA106" s="507">
        <f t="shared" si="161"/>
        <v>0.17075163398692816</v>
      </c>
      <c r="BB106" s="507">
        <f t="shared" si="161"/>
        <v>0.22250970245795609</v>
      </c>
      <c r="BC106" s="469">
        <f t="shared" si="161"/>
        <v>5.5837563451776484E-2</v>
      </c>
      <c r="BD106" s="507">
        <f t="shared" si="161"/>
        <v>0.25283571167215491</v>
      </c>
      <c r="BE106" s="1266">
        <f t="shared" si="161"/>
        <v>0.17572805884106946</v>
      </c>
      <c r="BF106" s="469">
        <f t="shared" si="161"/>
        <v>-7.7337752965808138E-3</v>
      </c>
      <c r="BG106" s="475">
        <f t="shared" si="161"/>
        <v>1.2920634920621232E-4</v>
      </c>
      <c r="BH106" s="475">
        <f t="shared" si="161"/>
        <v>4.2411385170118221E-2</v>
      </c>
      <c r="BI106" s="507">
        <f t="shared" si="161"/>
        <v>-0.15233587682973149</v>
      </c>
      <c r="BJ106" s="1266">
        <f t="shared" si="161"/>
        <v>-3.6242823295714155E-2</v>
      </c>
      <c r="BK106" s="475">
        <f t="shared" si="161"/>
        <v>1.3754217717061534E-2</v>
      </c>
      <c r="BL106" s="475">
        <f t="shared" si="161"/>
        <v>4.3214418242912611E-2</v>
      </c>
      <c r="BM106" s="475">
        <f t="shared" si="161"/>
        <v>6.6897439549668647E-2</v>
      </c>
      <c r="BN106" s="475">
        <f t="shared" si="161"/>
        <v>8.6137847072694118E-2</v>
      </c>
      <c r="BO106" s="476">
        <f t="shared" si="161"/>
        <v>5.2648917023684572E-2</v>
      </c>
      <c r="BP106" s="475">
        <f t="shared" ref="BP106:BY106" si="162">BP104/BK104-1</f>
        <v>5.4927519221438015E-2</v>
      </c>
      <c r="BQ106" s="475">
        <f t="shared" si="162"/>
        <v>4.7095345936001065E-2</v>
      </c>
      <c r="BR106" s="475">
        <f t="shared" si="162"/>
        <v>2.991285069937355E-2</v>
      </c>
      <c r="BS106" s="475">
        <f t="shared" si="162"/>
        <v>5.3112746855326076E-3</v>
      </c>
      <c r="BT106" s="476">
        <f t="shared" si="162"/>
        <v>3.369484667536482E-2</v>
      </c>
      <c r="BU106" s="475">
        <f t="shared" si="162"/>
        <v>5.4023912933189866E-3</v>
      </c>
      <c r="BV106" s="475">
        <f t="shared" si="162"/>
        <v>5.4218542250286106E-3</v>
      </c>
      <c r="BW106" s="475">
        <f t="shared" si="162"/>
        <v>5.4218542250286106E-3</v>
      </c>
      <c r="BX106" s="475">
        <f t="shared" si="162"/>
        <v>5.3831800462595947E-3</v>
      </c>
      <c r="BY106" s="476">
        <f t="shared" si="162"/>
        <v>5.4072021329576447E-3</v>
      </c>
      <c r="BZ106" s="475">
        <f t="shared" ref="BZ106:CN106" si="163">BZ104/BU104-1</f>
        <v>5.4737221448690754E-3</v>
      </c>
      <c r="CA106" s="475">
        <f t="shared" si="163"/>
        <v>5.4930602316443089E-3</v>
      </c>
      <c r="CB106" s="475">
        <f t="shared" si="163"/>
        <v>5.4930602316443089E-3</v>
      </c>
      <c r="CC106" s="475">
        <f t="shared" si="163"/>
        <v>5.4546333940528324E-3</v>
      </c>
      <c r="CD106" s="472">
        <f t="shared" si="163"/>
        <v>5.4785021950471968E-3</v>
      </c>
      <c r="CE106" s="469">
        <f t="shared" si="163"/>
        <v>5.5445917887833041E-3</v>
      </c>
      <c r="CF106" s="469">
        <f t="shared" si="163"/>
        <v>5.5638031077640537E-3</v>
      </c>
      <c r="CG106" s="469">
        <f t="shared" si="163"/>
        <v>5.5638031077640537E-3</v>
      </c>
      <c r="CH106" s="469">
        <f t="shared" si="163"/>
        <v>5.525627446519854E-3</v>
      </c>
      <c r="CI106" s="472">
        <f t="shared" si="163"/>
        <v>5.5493405728475054E-3</v>
      </c>
      <c r="CJ106" s="475">
        <f t="shared" si="163"/>
        <v>5.6149932497868704E-3</v>
      </c>
      <c r="CK106" s="475">
        <f t="shared" si="163"/>
        <v>5.6340759442738975E-3</v>
      </c>
      <c r="CL106" s="475">
        <f t="shared" si="163"/>
        <v>5.6340759442738975E-3</v>
      </c>
      <c r="CM106" s="475">
        <f t="shared" si="163"/>
        <v>5.5961551632701667E-3</v>
      </c>
      <c r="CN106" s="476">
        <f t="shared" si="163"/>
        <v>5.6197103074198118E-3</v>
      </c>
      <c r="CO106" s="475">
        <f t="shared" ref="CO106:CX106" si="164">CO104/CJ104-1</f>
        <v>5.6849197959933928E-3</v>
      </c>
      <c r="CP106" s="475">
        <f t="shared" si="164"/>
        <v>5.7038720756943384E-3</v>
      </c>
      <c r="CQ106" s="475">
        <f t="shared" si="164"/>
        <v>5.7038720756943384E-3</v>
      </c>
      <c r="CR106" s="475">
        <f t="shared" si="164"/>
        <v>5.6662097470405737E-3</v>
      </c>
      <c r="CS106" s="476">
        <f t="shared" si="164"/>
        <v>5.6896046832761726E-3</v>
      </c>
      <c r="CT106" s="475">
        <f t="shared" si="164"/>
        <v>5.7543649397229224E-3</v>
      </c>
      <c r="CU106" s="475">
        <f t="shared" si="164"/>
        <v>5.7731850809334961E-3</v>
      </c>
      <c r="CV106" s="475">
        <f t="shared" si="164"/>
        <v>5.7731850809334961E-3</v>
      </c>
      <c r="CW106" s="475">
        <f t="shared" si="164"/>
        <v>5.7357846445789118E-3</v>
      </c>
      <c r="CX106" s="476">
        <f t="shared" si="164"/>
        <v>5.7590172291810404E-3</v>
      </c>
      <c r="CY106" s="475"/>
      <c r="DA106" s="871"/>
      <c r="DB106" s="653"/>
      <c r="DC106" s="653"/>
    </row>
    <row r="107" spans="1:107" ht="11.25" hidden="1" customHeight="1" outlineLevel="1">
      <c r="A107" s="392"/>
      <c r="B107" s="114"/>
      <c r="C107" s="116"/>
      <c r="D107" s="117"/>
      <c r="E107" s="117"/>
      <c r="F107" s="118"/>
      <c r="G107" s="119"/>
      <c r="H107" s="116"/>
      <c r="I107" s="117"/>
      <c r="J107" s="117"/>
      <c r="K107" s="118"/>
      <c r="L107" s="116"/>
      <c r="M107" s="116"/>
      <c r="N107" s="117"/>
      <c r="O107" s="117"/>
      <c r="P107" s="118"/>
      <c r="Q107" s="119"/>
      <c r="R107" s="117"/>
      <c r="S107" s="117"/>
      <c r="T107" s="117"/>
      <c r="U107" s="117"/>
      <c r="V107" s="119"/>
      <c r="W107" s="117"/>
      <c r="X107" s="117"/>
      <c r="Y107" s="117"/>
      <c r="Z107" s="117"/>
      <c r="AA107" s="119"/>
      <c r="AB107" s="117"/>
      <c r="AC107" s="117"/>
      <c r="AD107" s="117"/>
      <c r="AE107" s="117"/>
      <c r="AF107" s="119"/>
      <c r="AG107" s="121"/>
      <c r="AH107" s="121"/>
      <c r="AI107" s="121"/>
      <c r="AJ107" s="121"/>
      <c r="AK107" s="119"/>
      <c r="AL107" s="121"/>
      <c r="AM107" s="121"/>
      <c r="AN107" s="121"/>
      <c r="AO107" s="121"/>
      <c r="AP107" s="119"/>
      <c r="AQ107" s="1136"/>
      <c r="AR107" s="1136"/>
      <c r="AS107" s="1136"/>
      <c r="AT107" s="1136"/>
      <c r="AU107" s="1137"/>
      <c r="AV107" s="1136"/>
      <c r="AW107" s="1136"/>
      <c r="AX107" s="1136"/>
      <c r="AY107" s="1136"/>
      <c r="AZ107" s="1137"/>
      <c r="BA107" s="1136"/>
      <c r="BB107" s="1136"/>
      <c r="BC107" s="1295"/>
      <c r="BD107" s="1136"/>
      <c r="BE107" s="1137"/>
      <c r="BF107" s="1295"/>
      <c r="BG107" s="1056"/>
      <c r="BH107" s="1056"/>
      <c r="BI107" s="1136"/>
      <c r="BJ107" s="1137"/>
      <c r="BK107" s="1056"/>
      <c r="BL107" s="1056"/>
      <c r="BM107" s="1056"/>
      <c r="BN107" s="1056"/>
      <c r="BO107" s="1268"/>
      <c r="BP107" s="1056"/>
      <c r="BQ107" s="1056"/>
      <c r="BR107" s="1056"/>
      <c r="BS107" s="1056"/>
      <c r="BT107" s="1268"/>
      <c r="BU107" s="1056"/>
      <c r="BV107" s="1056"/>
      <c r="BW107" s="1056"/>
      <c r="BX107" s="1056"/>
      <c r="BY107" s="1268"/>
      <c r="BZ107" s="1056"/>
      <c r="CA107" s="1056"/>
      <c r="CB107" s="1056"/>
      <c r="CC107" s="1056"/>
      <c r="CD107" s="1137"/>
      <c r="CE107" s="1295"/>
      <c r="CF107" s="1295"/>
      <c r="CG107" s="1295"/>
      <c r="CH107" s="1295"/>
      <c r="CI107" s="1137"/>
      <c r="CJ107" s="1056"/>
      <c r="CK107" s="1056"/>
      <c r="CL107" s="1056"/>
      <c r="CM107" s="1056"/>
      <c r="CN107" s="1268"/>
      <c r="CO107" s="1056"/>
      <c r="CP107" s="1056"/>
      <c r="CQ107" s="1056"/>
      <c r="CR107" s="1056"/>
      <c r="CS107" s="1268"/>
      <c r="CT107" s="1056"/>
      <c r="CU107" s="1056"/>
      <c r="CV107" s="1056"/>
      <c r="CW107" s="1056"/>
      <c r="CX107" s="1268"/>
      <c r="CY107" s="1719"/>
      <c r="DA107" s="126"/>
      <c r="DB107" s="117"/>
      <c r="DC107" s="117"/>
    </row>
    <row r="108" spans="1:107" ht="11.25" hidden="1" customHeight="1" outlineLevel="1">
      <c r="A108" s="457" t="s">
        <v>201</v>
      </c>
      <c r="B108" s="458"/>
      <c r="C108" s="459"/>
      <c r="D108" s="460"/>
      <c r="E108" s="460"/>
      <c r="F108" s="461"/>
      <c r="G108" s="462"/>
      <c r="H108" s="459"/>
      <c r="I108" s="460"/>
      <c r="J108" s="460"/>
      <c r="K108" s="461"/>
      <c r="L108" s="459"/>
      <c r="M108" s="459"/>
      <c r="N108" s="460"/>
      <c r="O108" s="460"/>
      <c r="P108" s="461"/>
      <c r="Q108" s="462"/>
      <c r="R108" s="460"/>
      <c r="S108" s="460"/>
      <c r="T108" s="460"/>
      <c r="U108" s="460"/>
      <c r="V108" s="463"/>
      <c r="W108" s="464"/>
      <c r="X108" s="464"/>
      <c r="Y108" s="464"/>
      <c r="Z108" s="458"/>
      <c r="AA108" s="465"/>
      <c r="AB108" s="464"/>
      <c r="AC108" s="464"/>
      <c r="AD108" s="464"/>
      <c r="AE108" s="464"/>
      <c r="AF108" s="465"/>
      <c r="AG108" s="458"/>
      <c r="AH108" s="458"/>
      <c r="AI108" s="458"/>
      <c r="AJ108" s="458"/>
      <c r="AK108" s="465"/>
      <c r="AL108" s="458"/>
      <c r="AM108" s="458"/>
      <c r="AN108" s="458"/>
      <c r="AO108" s="458"/>
      <c r="AP108" s="465"/>
      <c r="AQ108" s="458">
        <v>7.1</v>
      </c>
      <c r="AR108" s="458">
        <v>7.6</v>
      </c>
      <c r="AS108" s="458">
        <v>7.7</v>
      </c>
      <c r="AT108" s="458">
        <v>34.1</v>
      </c>
      <c r="AU108" s="465">
        <f>SUM(AQ108:AT108)</f>
        <v>56.5</v>
      </c>
      <c r="AV108" s="458">
        <v>96</v>
      </c>
      <c r="AW108" s="458">
        <v>91.9</v>
      </c>
      <c r="AX108" s="458">
        <v>99.8</v>
      </c>
      <c r="AY108" s="458">
        <v>109</v>
      </c>
      <c r="AZ108" s="465">
        <f>SUM(AV108:AY108)</f>
        <v>396.7</v>
      </c>
      <c r="BA108" s="458">
        <v>110.9</v>
      </c>
      <c r="BB108" s="458">
        <v>115.9</v>
      </c>
      <c r="BC108" s="458">
        <v>118.2</v>
      </c>
      <c r="BD108" s="458">
        <v>131.1</v>
      </c>
      <c r="BE108" s="465">
        <f>SUM(BA108:BD108)</f>
        <v>476.1</v>
      </c>
      <c r="BF108" s="458">
        <f>BD108*(1+BF109)</f>
        <v>135.03299999999999</v>
      </c>
      <c r="BG108" s="466">
        <f>BF108*(1+BG109)</f>
        <v>140.43431999999999</v>
      </c>
      <c r="BH108" s="466">
        <f>BG108*(1+BH109)</f>
        <v>145.34952119999997</v>
      </c>
      <c r="BI108" s="458">
        <f>BH108*(1+BI109)</f>
        <v>156.68678385359999</v>
      </c>
      <c r="BJ108" s="465">
        <f>SUM(BF108:BI108)</f>
        <v>577.50362505359999</v>
      </c>
      <c r="BK108" s="466">
        <f>BI108*(1+BK109)</f>
        <v>162.17082128847599</v>
      </c>
      <c r="BL108" s="466">
        <f>BK108*(1+BL109)</f>
        <v>167.03594592713029</v>
      </c>
      <c r="BM108" s="466">
        <f>BL108*(1+BM109)</f>
        <v>171.21184457530853</v>
      </c>
      <c r="BN108" s="466">
        <f>BM108*(1+BN109)</f>
        <v>179.77243680407398</v>
      </c>
      <c r="BO108" s="467">
        <f>SUM(BK108:BN108)</f>
        <v>680.19104859498884</v>
      </c>
      <c r="BP108" s="466">
        <f>BN108*(1+BP109)</f>
        <v>186.06447209221656</v>
      </c>
      <c r="BQ108" s="466">
        <f>BP108*(1+BQ109)</f>
        <v>191.64640625498308</v>
      </c>
      <c r="BR108" s="466">
        <f>BQ108*(1+BR109)</f>
        <v>196.43756641135764</v>
      </c>
      <c r="BS108" s="466">
        <f>BR108*(1+BS109)</f>
        <v>206.25944473192553</v>
      </c>
      <c r="BT108" s="467">
        <f>SUM(BP108:BS108)</f>
        <v>780.40788949048283</v>
      </c>
      <c r="BU108" s="466">
        <f>BS108*(1+BU109)</f>
        <v>213.47852529754292</v>
      </c>
      <c r="BV108" s="466">
        <f>BU108*(1+BV109)</f>
        <v>219.88288105646922</v>
      </c>
      <c r="BW108" s="466">
        <f>BV108*(1+BW109)</f>
        <v>225.37995308288092</v>
      </c>
      <c r="BX108" s="466">
        <f>BW108*(1+BX109)</f>
        <v>236.64895073702496</v>
      </c>
      <c r="BY108" s="467">
        <f>SUM(BU108:BX108)</f>
        <v>895.39031017391801</v>
      </c>
      <c r="BZ108" s="466">
        <f>BX108*(1+BZ109)</f>
        <v>244.93166401282082</v>
      </c>
      <c r="CA108" s="466">
        <f>BZ108*(1+CA109)</f>
        <v>252.27961393320544</v>
      </c>
      <c r="CB108" s="466">
        <f>CA108*(1+CB109)</f>
        <v>258.58660428153553</v>
      </c>
      <c r="CC108" s="466">
        <f>CB108*(1+CC109)</f>
        <v>271.51593449561233</v>
      </c>
      <c r="CD108" s="465">
        <f>SUM(BZ108:CC108)</f>
        <v>1027.3138167231741</v>
      </c>
      <c r="CE108" s="458">
        <f>CC108*(1+CE109)</f>
        <v>281.01899220295871</v>
      </c>
      <c r="CF108" s="458">
        <f>CE108*(1+CF109)</f>
        <v>289.44956196904747</v>
      </c>
      <c r="CG108" s="458">
        <f>CF108*(1+CG109)</f>
        <v>296.68580101827365</v>
      </c>
      <c r="CH108" s="458">
        <f>CG108*(1+CH109)</f>
        <v>311.52009106918734</v>
      </c>
      <c r="CI108" s="465">
        <f>SUM(CE108:CH108)</f>
        <v>1178.6744462594672</v>
      </c>
      <c r="CJ108" s="466">
        <f>CH108*(1+CJ109)</f>
        <v>322.42329425660887</v>
      </c>
      <c r="CK108" s="466">
        <f>CJ108*(1+CK109)</f>
        <v>332.09599308430717</v>
      </c>
      <c r="CL108" s="466">
        <f>CK108*(1+CL109)</f>
        <v>340.39839291141482</v>
      </c>
      <c r="CM108" s="466">
        <f>CL108*(1+CM109)</f>
        <v>357.4183125569856</v>
      </c>
      <c r="CN108" s="467">
        <f>SUM(CJ108:CM108)</f>
        <v>1352.3359928093164</v>
      </c>
      <c r="CO108" s="466">
        <f>CM108*(1+CO109)</f>
        <v>369.92795349648009</v>
      </c>
      <c r="CP108" s="466">
        <f>CO108*(1+CP109)</f>
        <v>381.02579210137452</v>
      </c>
      <c r="CQ108" s="466">
        <f>CP108*(1+CQ109)</f>
        <v>390.55143690390884</v>
      </c>
      <c r="CR108" s="466">
        <f>CQ108*(1+CR109)</f>
        <v>410.07900874910428</v>
      </c>
      <c r="CS108" s="467">
        <f>SUM(CO108:CR108)</f>
        <v>1551.5841912508677</v>
      </c>
      <c r="CT108" s="466">
        <f>CR108*(1+CT109)</f>
        <v>424.43177405532288</v>
      </c>
      <c r="CU108" s="466">
        <f>CT108*(1+CU109)</f>
        <v>437.16472727698255</v>
      </c>
      <c r="CV108" s="466">
        <f>CU108*(1+CV109)</f>
        <v>448.09384545890708</v>
      </c>
      <c r="CW108" s="466">
        <f>CV108*(1+CW109)</f>
        <v>470.49853773185248</v>
      </c>
      <c r="CX108" s="467">
        <f>SUM(CT108:CW108)</f>
        <v>1780.1888845230651</v>
      </c>
      <c r="CY108" s="466"/>
      <c r="DA108" s="126"/>
      <c r="DB108" s="460"/>
      <c r="DC108" s="460"/>
    </row>
    <row r="109" spans="1:107" ht="11.25" hidden="1" customHeight="1" outlineLevel="1">
      <c r="A109" s="468" t="s">
        <v>78</v>
      </c>
      <c r="B109" s="652"/>
      <c r="C109" s="1280"/>
      <c r="D109" s="653"/>
      <c r="E109" s="653"/>
      <c r="F109" s="1281"/>
      <c r="G109" s="870"/>
      <c r="H109" s="1280"/>
      <c r="I109" s="653"/>
      <c r="J109" s="653"/>
      <c r="K109" s="1281"/>
      <c r="L109" s="1280"/>
      <c r="M109" s="1280"/>
      <c r="N109" s="653"/>
      <c r="O109" s="653"/>
      <c r="P109" s="1281"/>
      <c r="Q109" s="870"/>
      <c r="R109" s="653"/>
      <c r="S109" s="653"/>
      <c r="T109" s="653"/>
      <c r="U109" s="653"/>
      <c r="V109" s="870"/>
      <c r="W109" s="653"/>
      <c r="X109" s="653"/>
      <c r="Y109" s="653"/>
      <c r="Z109" s="653"/>
      <c r="AA109" s="870"/>
      <c r="AB109" s="653"/>
      <c r="AC109" s="653"/>
      <c r="AD109" s="653"/>
      <c r="AE109" s="653"/>
      <c r="AF109" s="870"/>
      <c r="AG109" s="1282"/>
      <c r="AH109" s="1282"/>
      <c r="AI109" s="1282"/>
      <c r="AJ109" s="1282"/>
      <c r="AK109" s="870"/>
      <c r="AL109" s="1282"/>
      <c r="AM109" s="1282"/>
      <c r="AN109" s="1282"/>
      <c r="AO109" s="1282"/>
      <c r="AP109" s="870"/>
      <c r="AQ109" s="507"/>
      <c r="AR109" s="507">
        <f>AR108/AQ108-1</f>
        <v>7.0422535211267512E-2</v>
      </c>
      <c r="AS109" s="507">
        <f>AS108/AR108-1</f>
        <v>1.3157894736842257E-2</v>
      </c>
      <c r="AT109" s="507">
        <f>AT108/AS108-1</f>
        <v>3.4285714285714288</v>
      </c>
      <c r="AU109" s="1137"/>
      <c r="AV109" s="507">
        <f>AV108/AQ108-1</f>
        <v>12.521126760563382</v>
      </c>
      <c r="AW109" s="507">
        <f>AW108/AV108-1</f>
        <v>-4.2708333333333237E-2</v>
      </c>
      <c r="AX109" s="507">
        <f>AX108/AW108-1</f>
        <v>8.5963003264417637E-2</v>
      </c>
      <c r="AY109" s="507">
        <f>AY108/AX108-1</f>
        <v>9.2184368737475042E-2</v>
      </c>
      <c r="AZ109" s="1137"/>
      <c r="BA109" s="507">
        <f>BA108/AY108-1</f>
        <v>1.7431192660550598E-2</v>
      </c>
      <c r="BB109" s="507">
        <f>BB108/BA108-1</f>
        <v>4.508566275924264E-2</v>
      </c>
      <c r="BC109" s="507">
        <f>BC108/BB108-1</f>
        <v>1.9844693701466687E-2</v>
      </c>
      <c r="BD109" s="507">
        <f>BD108/BC108-1</f>
        <v>0.10913705583756328</v>
      </c>
      <c r="BE109" s="1137"/>
      <c r="BF109" s="469">
        <v>0.03</v>
      </c>
      <c r="BG109" s="475">
        <v>0.04</v>
      </c>
      <c r="BH109" s="475">
        <v>3.5000000000000003E-2</v>
      </c>
      <c r="BI109" s="507">
        <v>7.8E-2</v>
      </c>
      <c r="BJ109" s="1137"/>
      <c r="BK109" s="475">
        <v>3.5000000000000003E-2</v>
      </c>
      <c r="BL109" s="475">
        <v>0.03</v>
      </c>
      <c r="BM109" s="475">
        <v>2.5000000000000001E-2</v>
      </c>
      <c r="BN109" s="475">
        <v>0.05</v>
      </c>
      <c r="BO109" s="1311"/>
      <c r="BP109" s="475">
        <v>3.5000000000000003E-2</v>
      </c>
      <c r="BQ109" s="475">
        <v>0.03</v>
      </c>
      <c r="BR109" s="475">
        <v>2.5000000000000001E-2</v>
      </c>
      <c r="BS109" s="475">
        <v>0.05</v>
      </c>
      <c r="BT109" s="1311"/>
      <c r="BU109" s="475">
        <v>3.5000000000000003E-2</v>
      </c>
      <c r="BV109" s="475">
        <v>0.03</v>
      </c>
      <c r="BW109" s="475">
        <v>2.5000000000000001E-2</v>
      </c>
      <c r="BX109" s="475">
        <v>0.05</v>
      </c>
      <c r="BY109" s="1311"/>
      <c r="BZ109" s="475">
        <v>3.5000000000000003E-2</v>
      </c>
      <c r="CA109" s="475">
        <v>0.03</v>
      </c>
      <c r="CB109" s="475">
        <v>2.5000000000000001E-2</v>
      </c>
      <c r="CC109" s="475">
        <v>0.05</v>
      </c>
      <c r="CD109" s="1144"/>
      <c r="CE109" s="469">
        <v>3.5000000000000003E-2</v>
      </c>
      <c r="CF109" s="469">
        <v>0.03</v>
      </c>
      <c r="CG109" s="469">
        <v>2.5000000000000001E-2</v>
      </c>
      <c r="CH109" s="469">
        <v>0.05</v>
      </c>
      <c r="CI109" s="1144"/>
      <c r="CJ109" s="475">
        <v>3.5000000000000003E-2</v>
      </c>
      <c r="CK109" s="475">
        <v>0.03</v>
      </c>
      <c r="CL109" s="475">
        <v>2.5000000000000001E-2</v>
      </c>
      <c r="CM109" s="475">
        <v>0.05</v>
      </c>
      <c r="CN109" s="1311"/>
      <c r="CO109" s="475">
        <v>3.5000000000000003E-2</v>
      </c>
      <c r="CP109" s="475">
        <v>0.03</v>
      </c>
      <c r="CQ109" s="475">
        <v>2.5000000000000001E-2</v>
      </c>
      <c r="CR109" s="475">
        <v>0.05</v>
      </c>
      <c r="CS109" s="1311"/>
      <c r="CT109" s="475">
        <v>3.5000000000000003E-2</v>
      </c>
      <c r="CU109" s="475">
        <v>0.03</v>
      </c>
      <c r="CV109" s="475">
        <v>2.5000000000000001E-2</v>
      </c>
      <c r="CW109" s="475">
        <v>0.05</v>
      </c>
      <c r="CX109" s="1311"/>
      <c r="CY109" s="1726"/>
      <c r="DA109" s="871"/>
      <c r="DB109" s="653"/>
      <c r="DC109" s="653"/>
    </row>
    <row r="110" spans="1:107" ht="11.25" hidden="1" customHeight="1" outlineLevel="1">
      <c r="A110" s="468" t="s">
        <v>77</v>
      </c>
      <c r="B110" s="652"/>
      <c r="C110" s="1280"/>
      <c r="D110" s="653"/>
      <c r="E110" s="653"/>
      <c r="F110" s="1281"/>
      <c r="G110" s="870"/>
      <c r="H110" s="1280"/>
      <c r="I110" s="653"/>
      <c r="J110" s="653"/>
      <c r="K110" s="1281"/>
      <c r="L110" s="1280"/>
      <c r="M110" s="1280"/>
      <c r="N110" s="653"/>
      <c r="O110" s="653"/>
      <c r="P110" s="1281"/>
      <c r="Q110" s="870"/>
      <c r="R110" s="653"/>
      <c r="S110" s="653"/>
      <c r="T110" s="653"/>
      <c r="U110" s="653"/>
      <c r="V110" s="870"/>
      <c r="W110" s="653"/>
      <c r="X110" s="653"/>
      <c r="Y110" s="653"/>
      <c r="Z110" s="653"/>
      <c r="AA110" s="870"/>
      <c r="AB110" s="653"/>
      <c r="AC110" s="653"/>
      <c r="AD110" s="653"/>
      <c r="AE110" s="653"/>
      <c r="AF110" s="870"/>
      <c r="AG110" s="1282"/>
      <c r="AH110" s="1282"/>
      <c r="AI110" s="1282"/>
      <c r="AJ110" s="1282"/>
      <c r="AK110" s="870"/>
      <c r="AL110" s="1282"/>
      <c r="AM110" s="1282"/>
      <c r="AN110" s="1282"/>
      <c r="AO110" s="1282"/>
      <c r="AP110" s="870"/>
      <c r="AQ110" s="507"/>
      <c r="AR110" s="507"/>
      <c r="AS110" s="507"/>
      <c r="AT110" s="507"/>
      <c r="AU110" s="1137"/>
      <c r="AV110" s="507">
        <f t="shared" ref="AV110:BO110" si="165">AV108/AQ108-1</f>
        <v>12.521126760563382</v>
      </c>
      <c r="AW110" s="507">
        <f t="shared" si="165"/>
        <v>11.092105263157896</v>
      </c>
      <c r="AX110" s="507">
        <f t="shared" si="165"/>
        <v>11.961038961038961</v>
      </c>
      <c r="AY110" s="507">
        <f t="shared" si="165"/>
        <v>2.1964809384164221</v>
      </c>
      <c r="AZ110" s="1266">
        <f t="shared" si="165"/>
        <v>6.0212389380530968</v>
      </c>
      <c r="BA110" s="507">
        <f t="shared" si="165"/>
        <v>0.15520833333333339</v>
      </c>
      <c r="BB110" s="507">
        <f t="shared" si="165"/>
        <v>0.26115342763873772</v>
      </c>
      <c r="BC110" s="469">
        <f t="shared" si="165"/>
        <v>0.18436873747494986</v>
      </c>
      <c r="BD110" s="507">
        <f t="shared" si="165"/>
        <v>0.20275229357798152</v>
      </c>
      <c r="BE110" s="1266">
        <f t="shared" si="165"/>
        <v>0.20015124779430304</v>
      </c>
      <c r="BF110" s="469">
        <f t="shared" si="165"/>
        <v>0.21761045987376004</v>
      </c>
      <c r="BG110" s="475">
        <f t="shared" si="165"/>
        <v>0.21168524590163917</v>
      </c>
      <c r="BH110" s="475">
        <f t="shared" si="165"/>
        <v>0.22969138071065953</v>
      </c>
      <c r="BI110" s="507">
        <f t="shared" si="165"/>
        <v>0.19516997600000008</v>
      </c>
      <c r="BJ110" s="1266">
        <f t="shared" si="165"/>
        <v>0.2129880803478259</v>
      </c>
      <c r="BK110" s="475">
        <f t="shared" si="165"/>
        <v>0.20097177200000016</v>
      </c>
      <c r="BL110" s="475">
        <f t="shared" si="165"/>
        <v>0.18942396650000015</v>
      </c>
      <c r="BM110" s="475">
        <f t="shared" si="165"/>
        <v>0.1779319475000003</v>
      </c>
      <c r="BN110" s="475">
        <f t="shared" si="165"/>
        <v>0.14733631250000023</v>
      </c>
      <c r="BO110" s="476">
        <f t="shared" si="165"/>
        <v>0.17781260426176226</v>
      </c>
      <c r="BP110" s="475">
        <f t="shared" ref="BP110:BY110" si="166">BP108/BK108-1</f>
        <v>0.14733631250000001</v>
      </c>
      <c r="BQ110" s="475">
        <f t="shared" si="166"/>
        <v>0.14733631250000023</v>
      </c>
      <c r="BR110" s="475">
        <f t="shared" si="166"/>
        <v>0.14733631250000001</v>
      </c>
      <c r="BS110" s="475">
        <f t="shared" si="166"/>
        <v>0.14733631250000001</v>
      </c>
      <c r="BT110" s="476">
        <f t="shared" si="166"/>
        <v>0.14733631250000001</v>
      </c>
      <c r="BU110" s="475">
        <f t="shared" si="166"/>
        <v>0.14733631250000001</v>
      </c>
      <c r="BV110" s="475">
        <f t="shared" si="166"/>
        <v>0.14733631250000001</v>
      </c>
      <c r="BW110" s="475">
        <f t="shared" si="166"/>
        <v>0.14733631250000001</v>
      </c>
      <c r="BX110" s="475">
        <f t="shared" si="166"/>
        <v>0.14733631249999979</v>
      </c>
      <c r="BY110" s="476">
        <f t="shared" si="166"/>
        <v>0.14733631250000001</v>
      </c>
      <c r="BZ110" s="475">
        <f t="shared" ref="BZ110:CN110" si="167">BZ108/BU108-1</f>
        <v>0.14733631249999979</v>
      </c>
      <c r="CA110" s="475">
        <f t="shared" si="167"/>
        <v>0.14733631249999979</v>
      </c>
      <c r="CB110" s="475">
        <f t="shared" si="167"/>
        <v>0.14733631249999979</v>
      </c>
      <c r="CC110" s="475">
        <f t="shared" si="167"/>
        <v>0.14733631249999979</v>
      </c>
      <c r="CD110" s="472">
        <f t="shared" si="167"/>
        <v>0.14733631249999979</v>
      </c>
      <c r="CE110" s="469">
        <f t="shared" si="167"/>
        <v>0.14733631249999979</v>
      </c>
      <c r="CF110" s="469">
        <f t="shared" si="167"/>
        <v>0.14733631249999957</v>
      </c>
      <c r="CG110" s="469">
        <f t="shared" si="167"/>
        <v>0.14733631249999979</v>
      </c>
      <c r="CH110" s="469">
        <f t="shared" si="167"/>
        <v>0.14733631249999979</v>
      </c>
      <c r="CI110" s="472">
        <f t="shared" si="167"/>
        <v>0.14733631249999979</v>
      </c>
      <c r="CJ110" s="475">
        <f t="shared" si="167"/>
        <v>0.14733631249999979</v>
      </c>
      <c r="CK110" s="475">
        <f t="shared" si="167"/>
        <v>0.14733631250000001</v>
      </c>
      <c r="CL110" s="475">
        <f t="shared" si="167"/>
        <v>0.14733631250000001</v>
      </c>
      <c r="CM110" s="475">
        <f t="shared" si="167"/>
        <v>0.14733631250000001</v>
      </c>
      <c r="CN110" s="476">
        <f t="shared" si="167"/>
        <v>0.14733631249999979</v>
      </c>
      <c r="CO110" s="475">
        <f t="shared" ref="CO110:CX110" si="168">CO108/CJ108-1</f>
        <v>0.14733631250000001</v>
      </c>
      <c r="CP110" s="475">
        <f t="shared" si="168"/>
        <v>0.14733631250000001</v>
      </c>
      <c r="CQ110" s="475">
        <f t="shared" si="168"/>
        <v>0.14733631250000001</v>
      </c>
      <c r="CR110" s="475">
        <f t="shared" si="168"/>
        <v>0.14733631250000001</v>
      </c>
      <c r="CS110" s="476">
        <f t="shared" si="168"/>
        <v>0.14733631250000001</v>
      </c>
      <c r="CT110" s="475">
        <f t="shared" si="168"/>
        <v>0.14733631249999979</v>
      </c>
      <c r="CU110" s="475">
        <f t="shared" si="168"/>
        <v>0.14733631249999979</v>
      </c>
      <c r="CV110" s="475">
        <f t="shared" si="168"/>
        <v>0.14733631249999979</v>
      </c>
      <c r="CW110" s="475">
        <f t="shared" si="168"/>
        <v>0.14733631249999979</v>
      </c>
      <c r="CX110" s="476">
        <f t="shared" si="168"/>
        <v>0.14733631249999979</v>
      </c>
      <c r="CY110" s="475"/>
      <c r="DA110" s="871"/>
      <c r="DB110" s="653"/>
      <c r="DC110" s="653"/>
    </row>
    <row r="111" spans="1:107" ht="11.25" hidden="1" customHeight="1" outlineLevel="1">
      <c r="A111" s="392"/>
      <c r="B111" s="114"/>
      <c r="C111" s="116"/>
      <c r="D111" s="117"/>
      <c r="E111" s="117"/>
      <c r="F111" s="118"/>
      <c r="G111" s="119"/>
      <c r="H111" s="116"/>
      <c r="I111" s="117"/>
      <c r="J111" s="117"/>
      <c r="K111" s="118"/>
      <c r="L111" s="116"/>
      <c r="M111" s="116"/>
      <c r="N111" s="117"/>
      <c r="O111" s="117"/>
      <c r="P111" s="118"/>
      <c r="Q111" s="119"/>
      <c r="R111" s="117"/>
      <c r="S111" s="117"/>
      <c r="T111" s="117"/>
      <c r="U111" s="117"/>
      <c r="V111" s="119"/>
      <c r="W111" s="117"/>
      <c r="X111" s="117"/>
      <c r="Y111" s="117"/>
      <c r="Z111" s="117"/>
      <c r="AA111" s="119"/>
      <c r="AB111" s="117"/>
      <c r="AC111" s="117"/>
      <c r="AD111" s="117"/>
      <c r="AE111" s="117"/>
      <c r="AF111" s="119"/>
      <c r="AG111" s="121"/>
      <c r="AH111" s="121"/>
      <c r="AI111" s="121"/>
      <c r="AJ111" s="121"/>
      <c r="AK111" s="119"/>
      <c r="AL111" s="121"/>
      <c r="AM111" s="121"/>
      <c r="AN111" s="121"/>
      <c r="AO111" s="121"/>
      <c r="AP111" s="119"/>
      <c r="AQ111" s="1136"/>
      <c r="AR111" s="1136"/>
      <c r="AS111" s="1136"/>
      <c r="AT111" s="1136"/>
      <c r="AU111" s="1137"/>
      <c r="AV111" s="1136"/>
      <c r="AW111" s="1136"/>
      <c r="AX111" s="1136"/>
      <c r="AY111" s="1136"/>
      <c r="AZ111" s="1137"/>
      <c r="BA111" s="1136"/>
      <c r="BB111" s="1136"/>
      <c r="BC111" s="1295"/>
      <c r="BD111" s="1136"/>
      <c r="BE111" s="1137"/>
      <c r="BF111" s="1295"/>
      <c r="BG111" s="1056"/>
      <c r="BH111" s="1056"/>
      <c r="BI111" s="1136"/>
      <c r="BJ111" s="1137"/>
      <c r="BK111" s="1056"/>
      <c r="BL111" s="1056"/>
      <c r="BM111" s="1056"/>
      <c r="BN111" s="1056"/>
      <c r="BO111" s="1268"/>
      <c r="BP111" s="1056"/>
      <c r="BQ111" s="1056"/>
      <c r="BR111" s="1056"/>
      <c r="BS111" s="1056"/>
      <c r="BT111" s="1268"/>
      <c r="BU111" s="1056"/>
      <c r="BV111" s="1056"/>
      <c r="BW111" s="1056"/>
      <c r="BX111" s="1056"/>
      <c r="BY111" s="1268"/>
      <c r="BZ111" s="1056"/>
      <c r="CA111" s="1056"/>
      <c r="CB111" s="1056"/>
      <c r="CC111" s="1056"/>
      <c r="CD111" s="1137"/>
      <c r="CE111" s="1295"/>
      <c r="CF111" s="1295"/>
      <c r="CG111" s="1295"/>
      <c r="CH111" s="1295"/>
      <c r="CI111" s="1137"/>
      <c r="CJ111" s="1056"/>
      <c r="CK111" s="1056"/>
      <c r="CL111" s="1056"/>
      <c r="CM111" s="1056"/>
      <c r="CN111" s="1268"/>
      <c r="CO111" s="1056"/>
      <c r="CP111" s="1056"/>
      <c r="CQ111" s="1056"/>
      <c r="CR111" s="1056"/>
      <c r="CS111" s="1268"/>
      <c r="CT111" s="1056"/>
      <c r="CU111" s="1056"/>
      <c r="CV111" s="1056"/>
      <c r="CW111" s="1056"/>
      <c r="CX111" s="1268"/>
      <c r="CY111" s="1719"/>
      <c r="DA111" s="126"/>
      <c r="DB111" s="117"/>
      <c r="DC111" s="117"/>
    </row>
    <row r="112" spans="1:107" ht="11.25" hidden="1" customHeight="1" outlineLevel="1">
      <c r="A112" s="457" t="s">
        <v>66</v>
      </c>
      <c r="B112" s="458"/>
      <c r="C112" s="459"/>
      <c r="D112" s="460"/>
      <c r="E112" s="460"/>
      <c r="F112" s="461"/>
      <c r="G112" s="462"/>
      <c r="H112" s="459"/>
      <c r="I112" s="460"/>
      <c r="J112" s="460"/>
      <c r="K112" s="461"/>
      <c r="L112" s="459"/>
      <c r="M112" s="459"/>
      <c r="N112" s="460"/>
      <c r="O112" s="460"/>
      <c r="P112" s="461"/>
      <c r="Q112" s="462"/>
      <c r="R112" s="460"/>
      <c r="S112" s="460"/>
      <c r="T112" s="460"/>
      <c r="U112" s="460"/>
      <c r="V112" s="463"/>
      <c r="W112" s="464"/>
      <c r="X112" s="464"/>
      <c r="Y112" s="464"/>
      <c r="Z112" s="458"/>
      <c r="AA112" s="465"/>
      <c r="AB112" s="464"/>
      <c r="AC112" s="464"/>
      <c r="AD112" s="464"/>
      <c r="AE112" s="464"/>
      <c r="AF112" s="465"/>
      <c r="AG112" s="458"/>
      <c r="AH112" s="458"/>
      <c r="AI112" s="458"/>
      <c r="AJ112" s="458"/>
      <c r="AK112" s="465"/>
      <c r="AL112" s="458"/>
      <c r="AM112" s="458"/>
      <c r="AN112" s="458"/>
      <c r="AO112" s="458"/>
      <c r="AP112" s="465"/>
      <c r="AQ112" s="458">
        <v>53.4</v>
      </c>
      <c r="AR112" s="458">
        <v>53.7</v>
      </c>
      <c r="AS112" s="458">
        <v>49.3</v>
      </c>
      <c r="AT112" s="458">
        <v>51.3</v>
      </c>
      <c r="AU112" s="465">
        <f>SUM(AQ112:AT112)</f>
        <v>207.7</v>
      </c>
      <c r="AV112" s="458">
        <v>54.7</v>
      </c>
      <c r="AW112" s="458">
        <v>56.6</v>
      </c>
      <c r="AX112" s="458">
        <v>59.8</v>
      </c>
      <c r="AY112" s="458">
        <v>55</v>
      </c>
      <c r="AZ112" s="465">
        <f>SUM(AV112:AY112)</f>
        <v>226.10000000000002</v>
      </c>
      <c r="BA112" s="458">
        <v>53.7</v>
      </c>
      <c r="BB112" s="458">
        <v>54</v>
      </c>
      <c r="BC112" s="458">
        <v>55.6</v>
      </c>
      <c r="BD112" s="458">
        <v>55.1</v>
      </c>
      <c r="BE112" s="465">
        <f>SUM(BA112:BD112)</f>
        <v>218.4</v>
      </c>
      <c r="BF112" s="458">
        <f>BD112*(1+BF113)</f>
        <v>54.1633</v>
      </c>
      <c r="BG112" s="466">
        <f>BF112*(1+BG113)</f>
        <v>53.892483499999997</v>
      </c>
      <c r="BH112" s="466">
        <f>BG112*(1+BH113)</f>
        <v>53.623021082499996</v>
      </c>
      <c r="BI112" s="458">
        <f>BH112*(1+BI113)</f>
        <v>53.623021082499996</v>
      </c>
      <c r="BJ112" s="465">
        <f>SUM(BF112:BI112)</f>
        <v>215.301825665</v>
      </c>
      <c r="BK112" s="466">
        <f>BI112*(1+BK113)</f>
        <v>52.550560660849996</v>
      </c>
      <c r="BL112" s="466">
        <f>BK112*(1+BL113)</f>
        <v>53.338819070762739</v>
      </c>
      <c r="BM112" s="466">
        <f>BL112*(1+BM113)</f>
        <v>54.138901356824178</v>
      </c>
      <c r="BN112" s="466">
        <f>BM112*(1+BN113)</f>
        <v>55.763068397528905</v>
      </c>
      <c r="BO112" s="467">
        <f>SUM(BK112:BN112)</f>
        <v>215.79134948596584</v>
      </c>
      <c r="BP112" s="466">
        <f>BN112*(1+BP113)</f>
        <v>54.090176345603034</v>
      </c>
      <c r="BQ112" s="466">
        <f>BP112*(1+BQ113)</f>
        <v>54.090176345603034</v>
      </c>
      <c r="BR112" s="466">
        <f>BQ112*(1+BR113)</f>
        <v>54.090176345603034</v>
      </c>
      <c r="BS112" s="466">
        <f>BR112*(1+BS113)</f>
        <v>55.712881635971129</v>
      </c>
      <c r="BT112" s="467">
        <f>SUM(BP112:BS112)</f>
        <v>217.98341067278022</v>
      </c>
      <c r="BU112" s="466">
        <f>BS112*(1+BU113)</f>
        <v>54.041495186891993</v>
      </c>
      <c r="BV112" s="466">
        <f>BU112*(1+BV113)</f>
        <v>54.041495186891993</v>
      </c>
      <c r="BW112" s="466">
        <f>BV112*(1+BW113)</f>
        <v>54.041495186891993</v>
      </c>
      <c r="BX112" s="466">
        <f>BW112*(1+BX113)</f>
        <v>55.662740042498754</v>
      </c>
      <c r="BY112" s="467">
        <f>SUM(BU112:BX112)</f>
        <v>217.7872256031747</v>
      </c>
      <c r="BZ112" s="466">
        <f>BX112*(1+BZ113)</f>
        <v>53.992857841223788</v>
      </c>
      <c r="CA112" s="466">
        <f>BZ112*(1+CA113)</f>
        <v>53.992857841223788</v>
      </c>
      <c r="CB112" s="466">
        <f>CA112*(1+CB113)</f>
        <v>53.992857841223788</v>
      </c>
      <c r="CC112" s="466">
        <f>CB112*(1+CC113)</f>
        <v>55.612643576460506</v>
      </c>
      <c r="CD112" s="465">
        <f>SUM(BZ112:CC112)</f>
        <v>217.59121710013187</v>
      </c>
      <c r="CE112" s="458">
        <f>CC112*(1+CE113)</f>
        <v>53.944264269166688</v>
      </c>
      <c r="CF112" s="458">
        <f>CE112*(1+CF113)</f>
        <v>53.944264269166688</v>
      </c>
      <c r="CG112" s="458">
        <f>CF112*(1+CG113)</f>
        <v>53.944264269166688</v>
      </c>
      <c r="CH112" s="458">
        <f>CG112*(1+CH113)</f>
        <v>55.562592197241692</v>
      </c>
      <c r="CI112" s="465">
        <f>SUM(CE112:CH112)</f>
        <v>217.39538500474174</v>
      </c>
      <c r="CJ112" s="466">
        <f>CH112*(1+CJ113)</f>
        <v>53.895714431324443</v>
      </c>
      <c r="CK112" s="466">
        <f>CJ112*(1+CK113)</f>
        <v>53.895714431324443</v>
      </c>
      <c r="CL112" s="466">
        <f>CK112*(1+CL113)</f>
        <v>53.895714431324443</v>
      </c>
      <c r="CM112" s="466">
        <f>CL112*(1+CM113)</f>
        <v>55.512585864264175</v>
      </c>
      <c r="CN112" s="467">
        <f>SUM(CJ112:CM112)</f>
        <v>217.19972915823749</v>
      </c>
      <c r="CO112" s="466">
        <f>CM112*(1+CO113)</f>
        <v>53.847208288336248</v>
      </c>
      <c r="CP112" s="466">
        <f>CO112*(1+CP113)</f>
        <v>53.847208288336248</v>
      </c>
      <c r="CQ112" s="466">
        <f>CP112*(1+CQ113)</f>
        <v>53.847208288336248</v>
      </c>
      <c r="CR112" s="466">
        <f>CQ112*(1+CR113)</f>
        <v>55.46262453698634</v>
      </c>
      <c r="CS112" s="467">
        <f>SUM(CO112:CR112)</f>
        <v>217.00424940199508</v>
      </c>
      <c r="CT112" s="466">
        <f>CR112*(1+CT113)</f>
        <v>53.798745800876745</v>
      </c>
      <c r="CU112" s="466">
        <f>CT112*(1+CU113)</f>
        <v>53.798745800876745</v>
      </c>
      <c r="CV112" s="466">
        <f>CU112*(1+CV113)</f>
        <v>53.798745800876745</v>
      </c>
      <c r="CW112" s="466">
        <f>CV112*(1+CW113)</f>
        <v>55.412708174903045</v>
      </c>
      <c r="CX112" s="467">
        <f>SUM(CT112:CW112)</f>
        <v>216.80894557753328</v>
      </c>
      <c r="CY112" s="466"/>
      <c r="DA112" s="126"/>
      <c r="DB112" s="460"/>
      <c r="DC112" s="460"/>
    </row>
    <row r="113" spans="1:107" ht="11.25" hidden="1" customHeight="1" outlineLevel="1">
      <c r="A113" s="468" t="s">
        <v>78</v>
      </c>
      <c r="B113" s="652"/>
      <c r="C113" s="1280"/>
      <c r="D113" s="653"/>
      <c r="E113" s="653"/>
      <c r="F113" s="1281"/>
      <c r="G113" s="870"/>
      <c r="H113" s="1280"/>
      <c r="I113" s="653"/>
      <c r="J113" s="653"/>
      <c r="K113" s="1281"/>
      <c r="L113" s="1280"/>
      <c r="M113" s="1280"/>
      <c r="N113" s="653"/>
      <c r="O113" s="653"/>
      <c r="P113" s="1281"/>
      <c r="Q113" s="870"/>
      <c r="R113" s="653"/>
      <c r="S113" s="653"/>
      <c r="T113" s="653"/>
      <c r="U113" s="653"/>
      <c r="V113" s="870"/>
      <c r="W113" s="653"/>
      <c r="X113" s="653"/>
      <c r="Y113" s="653"/>
      <c r="Z113" s="653"/>
      <c r="AA113" s="870"/>
      <c r="AB113" s="653"/>
      <c r="AC113" s="653"/>
      <c r="AD113" s="653"/>
      <c r="AE113" s="653"/>
      <c r="AF113" s="870"/>
      <c r="AG113" s="1282"/>
      <c r="AH113" s="1282"/>
      <c r="AI113" s="1282"/>
      <c r="AJ113" s="1282"/>
      <c r="AK113" s="870"/>
      <c r="AL113" s="1282"/>
      <c r="AM113" s="1282"/>
      <c r="AN113" s="1282"/>
      <c r="AO113" s="1282"/>
      <c r="AP113" s="870"/>
      <c r="AQ113" s="507"/>
      <c r="AR113" s="507">
        <f>AR112/AQ112-1</f>
        <v>5.6179775280900124E-3</v>
      </c>
      <c r="AS113" s="507">
        <f>AS112/AR112-1</f>
        <v>-8.1936685288640732E-2</v>
      </c>
      <c r="AT113" s="507">
        <f>AT112/AS112-1</f>
        <v>4.0567951318458473E-2</v>
      </c>
      <c r="AU113" s="1137"/>
      <c r="AV113" s="507">
        <f>AV112/AQ112-1</f>
        <v>2.4344569288389684E-2</v>
      </c>
      <c r="AW113" s="507">
        <f>AW112/AV112-1</f>
        <v>3.4734917733089565E-2</v>
      </c>
      <c r="AX113" s="507">
        <f>AX112/AW112-1</f>
        <v>5.6537102473498191E-2</v>
      </c>
      <c r="AY113" s="507">
        <f>AY112/AX112-1</f>
        <v>-8.026755852842804E-2</v>
      </c>
      <c r="AZ113" s="1137"/>
      <c r="BA113" s="507">
        <f>BA112/AY112-1</f>
        <v>-2.3636363636363567E-2</v>
      </c>
      <c r="BB113" s="507">
        <f>BB112/BA112-1</f>
        <v>5.5865921787709993E-3</v>
      </c>
      <c r="BC113" s="507">
        <f>BC112/BB112-1</f>
        <v>2.9629629629629672E-2</v>
      </c>
      <c r="BD113" s="507">
        <f>BD112/BC112-1</f>
        <v>-8.9928057553957386E-3</v>
      </c>
      <c r="BE113" s="1137"/>
      <c r="BF113" s="469">
        <v>-1.7000000000000001E-2</v>
      </c>
      <c r="BG113" s="475">
        <v>-5.0000000000000001E-3</v>
      </c>
      <c r="BH113" s="475">
        <v>-5.0000000000000001E-3</v>
      </c>
      <c r="BI113" s="507">
        <v>0</v>
      </c>
      <c r="BJ113" s="1137"/>
      <c r="BK113" s="475">
        <v>-0.02</v>
      </c>
      <c r="BL113" s="475">
        <v>1.4999999999999999E-2</v>
      </c>
      <c r="BM113" s="475">
        <v>1.4999999999999999E-2</v>
      </c>
      <c r="BN113" s="475">
        <v>0.03</v>
      </c>
      <c r="BO113" s="1268"/>
      <c r="BP113" s="475">
        <v>-0.03</v>
      </c>
      <c r="BQ113" s="475">
        <v>0</v>
      </c>
      <c r="BR113" s="475">
        <v>0</v>
      </c>
      <c r="BS113" s="475">
        <v>0.03</v>
      </c>
      <c r="BT113" s="1268"/>
      <c r="BU113" s="475">
        <v>-0.03</v>
      </c>
      <c r="BV113" s="475">
        <v>0</v>
      </c>
      <c r="BW113" s="475">
        <v>0</v>
      </c>
      <c r="BX113" s="475">
        <v>0.03</v>
      </c>
      <c r="BY113" s="1268"/>
      <c r="BZ113" s="475">
        <v>-0.03</v>
      </c>
      <c r="CA113" s="475">
        <v>0</v>
      </c>
      <c r="CB113" s="475">
        <v>0</v>
      </c>
      <c r="CC113" s="475">
        <v>0.03</v>
      </c>
      <c r="CD113" s="1137"/>
      <c r="CE113" s="469">
        <v>-0.03</v>
      </c>
      <c r="CF113" s="469">
        <v>0</v>
      </c>
      <c r="CG113" s="469">
        <v>0</v>
      </c>
      <c r="CH113" s="469">
        <v>0.03</v>
      </c>
      <c r="CI113" s="1137"/>
      <c r="CJ113" s="475">
        <v>-0.03</v>
      </c>
      <c r="CK113" s="475">
        <v>0</v>
      </c>
      <c r="CL113" s="475">
        <v>0</v>
      </c>
      <c r="CM113" s="475">
        <v>0.03</v>
      </c>
      <c r="CN113" s="1268"/>
      <c r="CO113" s="475">
        <v>-0.03</v>
      </c>
      <c r="CP113" s="475">
        <v>0</v>
      </c>
      <c r="CQ113" s="475">
        <v>0</v>
      </c>
      <c r="CR113" s="475">
        <v>0.03</v>
      </c>
      <c r="CS113" s="1268"/>
      <c r="CT113" s="475">
        <v>-0.03</v>
      </c>
      <c r="CU113" s="475">
        <v>0</v>
      </c>
      <c r="CV113" s="475">
        <v>0</v>
      </c>
      <c r="CW113" s="475">
        <v>0.03</v>
      </c>
      <c r="CX113" s="1268"/>
      <c r="CY113" s="1719"/>
      <c r="DA113" s="871"/>
      <c r="DB113" s="653"/>
      <c r="DC113" s="653"/>
    </row>
    <row r="114" spans="1:107" ht="11.25" hidden="1" customHeight="1" outlineLevel="1">
      <c r="A114" s="468" t="s">
        <v>77</v>
      </c>
      <c r="B114" s="652"/>
      <c r="C114" s="1280"/>
      <c r="D114" s="653"/>
      <c r="E114" s="653"/>
      <c r="F114" s="1281"/>
      <c r="G114" s="870"/>
      <c r="H114" s="1280"/>
      <c r="I114" s="653"/>
      <c r="J114" s="653"/>
      <c r="K114" s="1281"/>
      <c r="L114" s="1280"/>
      <c r="M114" s="1280"/>
      <c r="N114" s="653"/>
      <c r="O114" s="653"/>
      <c r="P114" s="1281"/>
      <c r="Q114" s="870"/>
      <c r="R114" s="653"/>
      <c r="S114" s="653"/>
      <c r="T114" s="653"/>
      <c r="U114" s="653"/>
      <c r="V114" s="870"/>
      <c r="W114" s="653"/>
      <c r="X114" s="653"/>
      <c r="Y114" s="653"/>
      <c r="Z114" s="653"/>
      <c r="AA114" s="870"/>
      <c r="AB114" s="653"/>
      <c r="AC114" s="653"/>
      <c r="AD114" s="653"/>
      <c r="AE114" s="653"/>
      <c r="AF114" s="870"/>
      <c r="AG114" s="1282"/>
      <c r="AH114" s="1282"/>
      <c r="AI114" s="1282"/>
      <c r="AJ114" s="1282"/>
      <c r="AK114" s="870"/>
      <c r="AL114" s="1282"/>
      <c r="AM114" s="1282"/>
      <c r="AN114" s="1282"/>
      <c r="AO114" s="1282"/>
      <c r="AP114" s="870"/>
      <c r="AQ114" s="507"/>
      <c r="AR114" s="507"/>
      <c r="AS114" s="507"/>
      <c r="AT114" s="507"/>
      <c r="AU114" s="1137"/>
      <c r="AV114" s="507">
        <f t="shared" ref="AV114:BO114" si="169">AV112/AQ112-1</f>
        <v>2.4344569288389684E-2</v>
      </c>
      <c r="AW114" s="507">
        <f t="shared" si="169"/>
        <v>5.4003724394785735E-2</v>
      </c>
      <c r="AX114" s="507">
        <f t="shared" si="169"/>
        <v>0.21298174442190665</v>
      </c>
      <c r="AY114" s="507">
        <f t="shared" si="169"/>
        <v>7.2124756335282703E-2</v>
      </c>
      <c r="AZ114" s="1266">
        <f t="shared" si="169"/>
        <v>8.858931150698135E-2</v>
      </c>
      <c r="BA114" s="507">
        <f t="shared" si="169"/>
        <v>-1.8281535648994485E-2</v>
      </c>
      <c r="BB114" s="507">
        <f t="shared" si="169"/>
        <v>-4.5936395759717308E-2</v>
      </c>
      <c r="BC114" s="469">
        <f t="shared" si="169"/>
        <v>-7.0234113712374535E-2</v>
      </c>
      <c r="BD114" s="507">
        <f t="shared" si="169"/>
        <v>1.8181818181819409E-3</v>
      </c>
      <c r="BE114" s="1266">
        <f t="shared" si="169"/>
        <v>-3.4055727554179627E-2</v>
      </c>
      <c r="BF114" s="469">
        <f t="shared" si="169"/>
        <v>8.6275605214152229E-3</v>
      </c>
      <c r="BG114" s="475">
        <f t="shared" si="169"/>
        <v>-1.9910462962963171E-3</v>
      </c>
      <c r="BH114" s="475">
        <f t="shared" si="169"/>
        <v>-3.5557174775179945E-2</v>
      </c>
      <c r="BI114" s="507">
        <f t="shared" si="169"/>
        <v>-2.6805425000000049E-2</v>
      </c>
      <c r="BJ114" s="1266">
        <f t="shared" si="169"/>
        <v>-1.418577992216119E-2</v>
      </c>
      <c r="BK114" s="475">
        <f t="shared" si="169"/>
        <v>-2.9775500000000066E-2</v>
      </c>
      <c r="BL114" s="475">
        <f t="shared" si="169"/>
        <v>-1.0273500000000158E-2</v>
      </c>
      <c r="BM114" s="475">
        <f t="shared" si="169"/>
        <v>9.6204999999998098E-3</v>
      </c>
      <c r="BN114" s="475">
        <f t="shared" si="169"/>
        <v>3.9909114999999939E-2</v>
      </c>
      <c r="BO114" s="476">
        <f t="shared" si="169"/>
        <v>2.273663121312941E-3</v>
      </c>
      <c r="BP114" s="475">
        <f t="shared" ref="BP114:BY114" si="170">BP112/BK112-1</f>
        <v>2.9297797499999723E-2</v>
      </c>
      <c r="BQ114" s="475">
        <f t="shared" si="170"/>
        <v>1.4086499999999891E-2</v>
      </c>
      <c r="BR114" s="475">
        <f t="shared" si="170"/>
        <v>-9.000000000000119E-4</v>
      </c>
      <c r="BS114" s="475">
        <f t="shared" si="170"/>
        <v>-9.000000000000119E-4</v>
      </c>
      <c r="BT114" s="476">
        <f t="shared" si="170"/>
        <v>1.0158244026167162E-2</v>
      </c>
      <c r="BU114" s="475">
        <f t="shared" si="170"/>
        <v>-9.000000000000119E-4</v>
      </c>
      <c r="BV114" s="475">
        <f t="shared" si="170"/>
        <v>-9.000000000000119E-4</v>
      </c>
      <c r="BW114" s="475">
        <f t="shared" si="170"/>
        <v>-9.000000000000119E-4</v>
      </c>
      <c r="BX114" s="475">
        <f t="shared" si="170"/>
        <v>-9.000000000000119E-4</v>
      </c>
      <c r="BY114" s="476">
        <f t="shared" si="170"/>
        <v>-9.0000000000012292E-4</v>
      </c>
      <c r="BZ114" s="475">
        <f t="shared" ref="BZ114:CN114" si="171">BZ112/BU112-1</f>
        <v>-9.000000000000119E-4</v>
      </c>
      <c r="CA114" s="475">
        <f t="shared" si="171"/>
        <v>-9.000000000000119E-4</v>
      </c>
      <c r="CB114" s="475">
        <f t="shared" si="171"/>
        <v>-9.000000000000119E-4</v>
      </c>
      <c r="CC114" s="475">
        <f t="shared" si="171"/>
        <v>-9.000000000000119E-4</v>
      </c>
      <c r="CD114" s="472">
        <f t="shared" si="171"/>
        <v>-8.9999999999990088E-4</v>
      </c>
      <c r="CE114" s="469">
        <f t="shared" si="171"/>
        <v>-9.000000000000119E-4</v>
      </c>
      <c r="CF114" s="469">
        <f t="shared" si="171"/>
        <v>-9.000000000000119E-4</v>
      </c>
      <c r="CG114" s="469">
        <f t="shared" si="171"/>
        <v>-9.000000000000119E-4</v>
      </c>
      <c r="CH114" s="469">
        <f t="shared" si="171"/>
        <v>-9.000000000000119E-4</v>
      </c>
      <c r="CI114" s="472">
        <f t="shared" si="171"/>
        <v>-9.000000000000119E-4</v>
      </c>
      <c r="CJ114" s="475">
        <f t="shared" si="171"/>
        <v>-8.9999999999990088E-4</v>
      </c>
      <c r="CK114" s="475">
        <f t="shared" si="171"/>
        <v>-8.9999999999990088E-4</v>
      </c>
      <c r="CL114" s="475">
        <f t="shared" si="171"/>
        <v>-8.9999999999990088E-4</v>
      </c>
      <c r="CM114" s="475">
        <f t="shared" si="171"/>
        <v>-9.000000000000119E-4</v>
      </c>
      <c r="CN114" s="476">
        <f t="shared" si="171"/>
        <v>-8.9999999999990088E-4</v>
      </c>
      <c r="CO114" s="475">
        <f t="shared" ref="CO114:CX114" si="172">CO112/CJ112-1</f>
        <v>-9.000000000000119E-4</v>
      </c>
      <c r="CP114" s="475">
        <f t="shared" si="172"/>
        <v>-9.000000000000119E-4</v>
      </c>
      <c r="CQ114" s="475">
        <f t="shared" si="172"/>
        <v>-9.000000000000119E-4</v>
      </c>
      <c r="CR114" s="475">
        <f t="shared" si="172"/>
        <v>-8.9999999999990088E-4</v>
      </c>
      <c r="CS114" s="476">
        <f t="shared" si="172"/>
        <v>-9.000000000000119E-4</v>
      </c>
      <c r="CT114" s="475">
        <f t="shared" si="172"/>
        <v>-9.000000000000119E-4</v>
      </c>
      <c r="CU114" s="475">
        <f t="shared" si="172"/>
        <v>-9.000000000000119E-4</v>
      </c>
      <c r="CV114" s="475">
        <f t="shared" si="172"/>
        <v>-9.000000000000119E-4</v>
      </c>
      <c r="CW114" s="475">
        <f t="shared" si="172"/>
        <v>-9.0000000000012292E-4</v>
      </c>
      <c r="CX114" s="476">
        <f t="shared" si="172"/>
        <v>-9.000000000000119E-4</v>
      </c>
      <c r="CY114" s="475"/>
      <c r="DA114" s="871"/>
      <c r="DB114" s="653"/>
      <c r="DC114" s="653"/>
    </row>
    <row r="115" spans="1:107" ht="11.25" hidden="1" customHeight="1" outlineLevel="1">
      <c r="A115" s="953" t="s">
        <v>744</v>
      </c>
      <c r="B115" s="954"/>
      <c r="C115" s="955"/>
      <c r="D115" s="956"/>
      <c r="E115" s="956"/>
      <c r="F115" s="957"/>
      <c r="G115" s="958"/>
      <c r="H115" s="955"/>
      <c r="I115" s="956"/>
      <c r="J115" s="956"/>
      <c r="K115" s="957"/>
      <c r="L115" s="955"/>
      <c r="M115" s="955"/>
      <c r="N115" s="956"/>
      <c r="O115" s="956"/>
      <c r="P115" s="957"/>
      <c r="Q115" s="958"/>
      <c r="R115" s="956"/>
      <c r="S115" s="956"/>
      <c r="T115" s="956"/>
      <c r="U115" s="956"/>
      <c r="V115" s="959"/>
      <c r="W115" s="954"/>
      <c r="X115" s="954"/>
      <c r="Y115" s="954"/>
      <c r="Z115" s="954"/>
      <c r="AA115" s="959"/>
      <c r="AB115" s="954"/>
      <c r="AC115" s="954"/>
      <c r="AD115" s="954"/>
      <c r="AE115" s="954"/>
      <c r="AF115" s="959"/>
      <c r="AG115" s="954"/>
      <c r="AH115" s="954"/>
      <c r="AI115" s="954"/>
      <c r="AJ115" s="954"/>
      <c r="AK115" s="959"/>
      <c r="AL115" s="954"/>
      <c r="AM115" s="954"/>
      <c r="AN115" s="954"/>
      <c r="AO115" s="954"/>
      <c r="AP115" s="959"/>
      <c r="AQ115" s="954">
        <f>SUM(AQ112,AQ108,AQ104,AQ94,AQ90)</f>
        <v>786.40000000000009</v>
      </c>
      <c r="AR115" s="954">
        <f>SUM(AR112,AR108,AR104,AR94,AR90)</f>
        <v>704.7</v>
      </c>
      <c r="AS115" s="954">
        <f>SUM(AS112,AS108,AS104,AS94,AS90)</f>
        <v>697.5</v>
      </c>
      <c r="AT115" s="954">
        <f>SUM(AT112,AT108,AT104,AT94,AT90)</f>
        <v>757.3</v>
      </c>
      <c r="AU115" s="1135">
        <f>SUM(AQ115:AT115)</f>
        <v>2945.9000000000005</v>
      </c>
      <c r="AV115" s="954">
        <f>SUM(AV112,AV108,AV104,AV94,AV90)</f>
        <v>858.7</v>
      </c>
      <c r="AW115" s="954">
        <f>SUM(AW112,AW108,AW104,AW94,AW90)</f>
        <v>943</v>
      </c>
      <c r="AX115" s="954">
        <f>SUM(AX112,AX108,AX104,AX94,AX90)</f>
        <v>990.30000000000007</v>
      </c>
      <c r="AY115" s="954">
        <f>SUM(AY112,AY108,AY104,AY94,AY90)</f>
        <v>1008</v>
      </c>
      <c r="AZ115" s="1135">
        <f>SUM(AV115:AY115)</f>
        <v>3800</v>
      </c>
      <c r="BA115" s="954">
        <f>SUM(BA112,BA108,BA104,BA94,BA90)</f>
        <v>1027.7</v>
      </c>
      <c r="BB115" s="954">
        <f>SUM(BB112,BB108,BB104,BB94,BB90)</f>
        <v>1023.1999999999999</v>
      </c>
      <c r="BC115" s="954">
        <f>SUM(BC112,BC108,BC104,BC94,BC90)</f>
        <v>1013.1999999999999</v>
      </c>
      <c r="BD115" s="954">
        <f>SUM(BD112,BD108,BD104,BD94,BD90)</f>
        <v>1152.1999999999998</v>
      </c>
      <c r="BE115" s="1135">
        <f>SUM(BA115:BD115)</f>
        <v>4216.2999999999993</v>
      </c>
      <c r="BF115" s="954">
        <f>SUM(BF112,BF108,BF104,BF94,BF90)</f>
        <v>1049.627</v>
      </c>
      <c r="BG115" s="960">
        <f>SUM(BG112,BG108,BG104,BG94,BG90)</f>
        <v>1103.6302774999999</v>
      </c>
      <c r="BH115" s="960">
        <f>SUM(BH112,BH108,BH104,BH94,BH90)</f>
        <v>1111.0883750724997</v>
      </c>
      <c r="BI115" s="954">
        <f>SUM(BI112,BI108,BI104,BI94,BI90)</f>
        <v>1153.3426294192</v>
      </c>
      <c r="BJ115" s="1135">
        <f>SUM(BF115:BI115)</f>
        <v>4417.6882819916991</v>
      </c>
      <c r="BK115" s="960">
        <f>SUM(BK112,BK108,BK104,BK94,BK90)</f>
        <v>1123.5476609640377</v>
      </c>
      <c r="BL115" s="960">
        <f>SUM(BL112,BL108,BL104,BL94,BL90)</f>
        <v>1161.5168242120938</v>
      </c>
      <c r="BM115" s="960">
        <f>SUM(BM112,BM108,BM104,BM94,BM90)</f>
        <v>1181.1078816306826</v>
      </c>
      <c r="BN115" s="960">
        <f>SUM(BN112,BN108,BN104,BN94,BN90)</f>
        <v>1237.6333021911728</v>
      </c>
      <c r="BO115" s="1312">
        <f>SUM(BK115:BN115)</f>
        <v>4703.8056689979876</v>
      </c>
      <c r="BP115" s="960">
        <f>SUM(BP112,BP108,BP104,BP94,BP90)</f>
        <v>1210.5361762091075</v>
      </c>
      <c r="BQ115" s="960">
        <f>SUM(BQ112,BQ108,BQ104,BQ94,BQ90)</f>
        <v>1252.1995361227964</v>
      </c>
      <c r="BR115" s="960">
        <f>SUM(BR112,BR108,BR104,BR94,BR90)</f>
        <v>1269.9524367159506</v>
      </c>
      <c r="BS115" s="960">
        <f>SUM(BS112,BS108,BS104,BS94,BS90)</f>
        <v>1325.24838051548</v>
      </c>
      <c r="BT115" s="1312">
        <f>SUM(BP115:BS115)</f>
        <v>5057.9365295633343</v>
      </c>
      <c r="BU115" s="960">
        <f>SUM(BU112,BU108,BU104,BU94,BU90)</f>
        <v>1297.2633877023059</v>
      </c>
      <c r="BV115" s="960">
        <f>SUM(BV112,BV108,BV104,BV94,BV90)</f>
        <v>1342.5314881761874</v>
      </c>
      <c r="BW115" s="960">
        <f>SUM(BW112,BW108,BW104,BW94,BW90)</f>
        <v>1362.1513517433625</v>
      </c>
      <c r="BX115" s="960">
        <f>SUM(BX112,BX108,BX104,BX94,BX90)</f>
        <v>1422.3234436229338</v>
      </c>
      <c r="BY115" s="1312">
        <f>SUM(BU115:BX115)</f>
        <v>5424.2696712447896</v>
      </c>
      <c r="BZ115" s="960">
        <f>SUM(BZ112,BZ108,BZ104,BZ94,BZ90)</f>
        <v>1393.4204038679377</v>
      </c>
      <c r="CA115" s="960">
        <f>SUM(CA112,CA108,CA104,CA94,CA90)</f>
        <v>1442.676074151555</v>
      </c>
      <c r="CB115" s="960">
        <f>SUM(CB112,CB108,CB104,CB94,CB90)</f>
        <v>1464.376936161003</v>
      </c>
      <c r="CC115" s="960">
        <f>SUM(CC112,CC108,CC104,CC94,CC90)</f>
        <v>1529.9683601385436</v>
      </c>
      <c r="CD115" s="959">
        <f>SUM(BZ115:CC115)</f>
        <v>5830.4417743190388</v>
      </c>
      <c r="CE115" s="954">
        <f>SUM(CE112,CE108,CE104,CE94,CE90)</f>
        <v>1500.121172215649</v>
      </c>
      <c r="CF115" s="954">
        <f>SUM(CF112,CF108,CF104,CF94,CF90)</f>
        <v>1553.7906853702159</v>
      </c>
      <c r="CG115" s="954">
        <f>SUM(CG112,CG108,CG104,CG94,CG90)</f>
        <v>1577.8126699420538</v>
      </c>
      <c r="CH115" s="954">
        <f>SUM(CH112,CH108,CH104,CH94,CH90)</f>
        <v>1649.4306027227658</v>
      </c>
      <c r="CI115" s="959">
        <f>SUM(CE115:CH115)</f>
        <v>6281.1551302506841</v>
      </c>
      <c r="CJ115" s="960">
        <f>SUM(CJ112,CJ108,CJ104,CJ94,CJ90)</f>
        <v>1618.618622671831</v>
      </c>
      <c r="CK115" s="960">
        <f>SUM(CK112,CK108,CK104,CK94,CK90)</f>
        <v>1677.1768739322301</v>
      </c>
      <c r="CL115" s="960">
        <f>SUM(CL112,CL108,CL104,CL94,CL90)</f>
        <v>1703.7895226562605</v>
      </c>
      <c r="CM115" s="960">
        <f>SUM(CM112,CM108,CM104,CM94,CM90)</f>
        <v>1782.113021371448</v>
      </c>
      <c r="CN115" s="1312">
        <f>SUM(CJ115:CM115)</f>
        <v>6781.6980406317689</v>
      </c>
      <c r="CO115" s="960">
        <f>SUM(CO112,CO108,CO104,CO94,CO90)</f>
        <v>1750.3227189880863</v>
      </c>
      <c r="CP115" s="960">
        <f>SUM(CP112,CP108,CP104,CP94,CP90)</f>
        <v>1814.2990474790058</v>
      </c>
      <c r="CQ115" s="960">
        <f>SUM(CQ112,CQ108,CQ104,CQ94,CQ90)</f>
        <v>1843.805088365855</v>
      </c>
      <c r="CR115" s="960">
        <f>SUM(CR112,CR108,CR104,CR94,CR90)</f>
        <v>1929.5939882414559</v>
      </c>
      <c r="CS115" s="1312">
        <f>SUM(CO115:CR115)</f>
        <v>7338.0208430744033</v>
      </c>
      <c r="CT115" s="960">
        <f>SUM(CT112,CT108,CT104,CT94,CT90)</f>
        <v>1896.8209300646461</v>
      </c>
      <c r="CU115" s="960">
        <f>SUM(CU112,CU108,CU104,CU94,CU90)</f>
        <v>1966.8056667573865</v>
      </c>
      <c r="CV115" s="960">
        <f>SUM(CV112,CV108,CV104,CV94,CV90)</f>
        <v>1999.5452831668638</v>
      </c>
      <c r="CW115" s="960">
        <f>SUM(CW112,CW108,CW104,CW94,CW90)</f>
        <v>2093.6502386975803</v>
      </c>
      <c r="CX115" s="1312">
        <f>SUM(CT115:CW115)</f>
        <v>7956.8221186864757</v>
      </c>
      <c r="CY115" s="466"/>
      <c r="DA115" s="497"/>
      <c r="DB115" s="496"/>
      <c r="DC115" s="496"/>
    </row>
    <row r="116" spans="1:107" ht="11.25" hidden="1" customHeight="1" outlineLevel="1">
      <c r="A116" s="468" t="s">
        <v>78</v>
      </c>
      <c r="B116" s="652"/>
      <c r="C116" s="1280"/>
      <c r="D116" s="653"/>
      <c r="E116" s="653"/>
      <c r="F116" s="1281"/>
      <c r="G116" s="870"/>
      <c r="H116" s="1280"/>
      <c r="I116" s="653"/>
      <c r="J116" s="653"/>
      <c r="K116" s="1281"/>
      <c r="L116" s="1280"/>
      <c r="M116" s="1280"/>
      <c r="N116" s="653"/>
      <c r="O116" s="653"/>
      <c r="P116" s="1281"/>
      <c r="Q116" s="870"/>
      <c r="R116" s="653"/>
      <c r="S116" s="653"/>
      <c r="T116" s="653"/>
      <c r="U116" s="653"/>
      <c r="V116" s="870"/>
      <c r="W116" s="653"/>
      <c r="X116" s="653"/>
      <c r="Y116" s="653"/>
      <c r="Z116" s="653"/>
      <c r="AA116" s="870"/>
      <c r="AB116" s="653"/>
      <c r="AC116" s="653"/>
      <c r="AD116" s="653"/>
      <c r="AE116" s="653"/>
      <c r="AF116" s="870"/>
      <c r="AG116" s="1282"/>
      <c r="AH116" s="1282"/>
      <c r="AI116" s="1282"/>
      <c r="AJ116" s="1282"/>
      <c r="AK116" s="870"/>
      <c r="AL116" s="1282"/>
      <c r="AM116" s="1282"/>
      <c r="AN116" s="1282"/>
      <c r="AO116" s="1282"/>
      <c r="AP116" s="870"/>
      <c r="AQ116" s="507"/>
      <c r="AR116" s="507"/>
      <c r="AS116" s="507"/>
      <c r="AT116" s="507"/>
      <c r="AU116" s="1137"/>
      <c r="AV116" s="507">
        <f>AV115/AQ115-1</f>
        <v>9.1937945066123961E-2</v>
      </c>
      <c r="AW116" s="507">
        <f>AW115/AV115-1</f>
        <v>9.8171654827064136E-2</v>
      </c>
      <c r="AX116" s="507">
        <f>AX115/AW115-1</f>
        <v>5.0159066808059372E-2</v>
      </c>
      <c r="AY116" s="507">
        <f>AY115/AX115-1</f>
        <v>1.7873371705543706E-2</v>
      </c>
      <c r="AZ116" s="1137"/>
      <c r="BA116" s="507">
        <f>BA115/AY115-1</f>
        <v>1.9543650793650835E-2</v>
      </c>
      <c r="BB116" s="507">
        <f>BB115/BA115-1</f>
        <v>-4.3787097401967179E-3</v>
      </c>
      <c r="BC116" s="507">
        <f>BC115/BB115-1</f>
        <v>-9.7732603596559775E-3</v>
      </c>
      <c r="BD116" s="507">
        <f>BD115/BC115-1</f>
        <v>0.13718910382945104</v>
      </c>
      <c r="BE116" s="1137"/>
      <c r="BF116" s="507">
        <f>BF115/BD115-1</f>
        <v>-8.9023607012671313E-2</v>
      </c>
      <c r="BG116" s="1283">
        <f>BG115/BF115-1</f>
        <v>5.1449969846431243E-2</v>
      </c>
      <c r="BH116" s="1283">
        <f>BH115/BG115-1</f>
        <v>6.7577863026686558E-3</v>
      </c>
      <c r="BI116" s="507">
        <f>BI115/BH115-1</f>
        <v>3.8029607090383832E-2</v>
      </c>
      <c r="BJ116" s="1137"/>
      <c r="BK116" s="1283">
        <f>BK115/BI115-1</f>
        <v>-2.5833579454326072E-2</v>
      </c>
      <c r="BL116" s="1283">
        <f>BL115/BK115-1</f>
        <v>3.3793994297916408E-2</v>
      </c>
      <c r="BM116" s="1283">
        <f>BM115/BL115-1</f>
        <v>1.6866787471527367E-2</v>
      </c>
      <c r="BN116" s="1283">
        <f>BN115/BM115-1</f>
        <v>4.7857965762152954E-2</v>
      </c>
      <c r="BO116" s="1268"/>
      <c r="BP116" s="1283">
        <f>BP115/BN115-1</f>
        <v>-2.1894309028442582E-2</v>
      </c>
      <c r="BQ116" s="1283">
        <f>BQ115/BP115-1</f>
        <v>3.4417277841428229E-2</v>
      </c>
      <c r="BR116" s="1283">
        <f>BR115/BQ115-1</f>
        <v>1.4177373558309059E-2</v>
      </c>
      <c r="BS116" s="1283">
        <f>BS115/BR115-1</f>
        <v>4.3541743927451915E-2</v>
      </c>
      <c r="BT116" s="1268"/>
      <c r="BU116" s="1283">
        <f>BU115/BS115-1</f>
        <v>-2.1116790802859775E-2</v>
      </c>
      <c r="BV116" s="1283">
        <f>BV115/BU115-1</f>
        <v>3.4895072891912626E-2</v>
      </c>
      <c r="BW116" s="1283">
        <f>BW115/BV115-1</f>
        <v>1.4614080742216595E-2</v>
      </c>
      <c r="BX116" s="1283">
        <f>BX115/BW115-1</f>
        <v>4.4174306917186268E-2</v>
      </c>
      <c r="BY116" s="1268"/>
      <c r="BZ116" s="1283">
        <f>BZ115/BX115-1</f>
        <v>-2.032100355554467E-2</v>
      </c>
      <c r="CA116" s="1283">
        <f>CA115/BZ115-1</f>
        <v>3.5348750561489117E-2</v>
      </c>
      <c r="CB116" s="1283">
        <f>CB115/CA115-1</f>
        <v>1.5042089072011766E-2</v>
      </c>
      <c r="CC116" s="1283">
        <f>CC115/CB115-1</f>
        <v>4.4791352798477346E-2</v>
      </c>
      <c r="CD116" s="1137"/>
      <c r="CE116" s="507">
        <f>CE115/CC115-1</f>
        <v>-1.9508369388888447E-2</v>
      </c>
      <c r="CF116" s="507">
        <f>CF115/CE115-1</f>
        <v>3.5776785334812766E-2</v>
      </c>
      <c r="CG116" s="507">
        <f>CG115/CF115-1</f>
        <v>1.5460244933901413E-2</v>
      </c>
      <c r="CH116" s="507">
        <f>CH115/CG115-1</f>
        <v>4.5390643734241287E-2</v>
      </c>
      <c r="CI116" s="1137"/>
      <c r="CJ116" s="1283">
        <f>CJ115/CH115-1</f>
        <v>-1.8680373699913488E-2</v>
      </c>
      <c r="CK116" s="1283">
        <f>CK115/CJ115-1</f>
        <v>3.6177917663975601E-2</v>
      </c>
      <c r="CL116" s="1283">
        <f>CL115/CK115-1</f>
        <v>1.5867526638162932E-2</v>
      </c>
      <c r="CM116" s="1283">
        <f>CM115/CL115-1</f>
        <v>4.5970172767043849E-2</v>
      </c>
      <c r="CN116" s="1268"/>
      <c r="CO116" s="1283">
        <f>CO115/CM115-1</f>
        <v>-1.7838544470595408E-2</v>
      </c>
      <c r="CP116" s="1283">
        <f>CP115/CO115-1</f>
        <v>3.655116156402638E-2</v>
      </c>
      <c r="CQ116" s="1283">
        <f>CQ115/CP115-1</f>
        <v>1.6263052625116181E-2</v>
      </c>
      <c r="CR116" s="1283">
        <f>CR115/CQ115-1</f>
        <v>4.652818262457159E-2</v>
      </c>
      <c r="CS116" s="1268"/>
      <c r="CT116" s="1283">
        <f>CT115/CR115-1</f>
        <v>-1.6984432153355655E-2</v>
      </c>
      <c r="CU116" s="1283">
        <f>CU115/CT115-1</f>
        <v>3.6895805810385651E-2</v>
      </c>
      <c r="CV116" s="1283">
        <f>CV115/CU115-1</f>
        <v>1.6646086068815347E-2</v>
      </c>
      <c r="CW116" s="1283">
        <f>CW115/CV115-1</f>
        <v>4.7063177974981274E-2</v>
      </c>
      <c r="CX116" s="1268"/>
      <c r="CY116" s="1719"/>
      <c r="DA116" s="871"/>
      <c r="DB116" s="653"/>
      <c r="DC116" s="653"/>
    </row>
    <row r="117" spans="1:107" ht="11.25" hidden="1" customHeight="1" outlineLevel="1">
      <c r="A117" s="468" t="s">
        <v>77</v>
      </c>
      <c r="B117" s="652"/>
      <c r="C117" s="1280"/>
      <c r="D117" s="653"/>
      <c r="E117" s="653"/>
      <c r="F117" s="1281"/>
      <c r="G117" s="870"/>
      <c r="H117" s="1280"/>
      <c r="I117" s="653"/>
      <c r="J117" s="653"/>
      <c r="K117" s="1281"/>
      <c r="L117" s="1280"/>
      <c r="M117" s="1280"/>
      <c r="N117" s="653"/>
      <c r="O117" s="653"/>
      <c r="P117" s="1281"/>
      <c r="Q117" s="870"/>
      <c r="R117" s="653"/>
      <c r="S117" s="653"/>
      <c r="T117" s="653"/>
      <c r="U117" s="653"/>
      <c r="V117" s="870"/>
      <c r="W117" s="653"/>
      <c r="X117" s="653"/>
      <c r="Y117" s="653"/>
      <c r="Z117" s="653"/>
      <c r="AA117" s="870"/>
      <c r="AB117" s="653"/>
      <c r="AC117" s="653"/>
      <c r="AD117" s="653"/>
      <c r="AE117" s="653"/>
      <c r="AF117" s="870"/>
      <c r="AG117" s="1282"/>
      <c r="AH117" s="1282"/>
      <c r="AI117" s="1282"/>
      <c r="AJ117" s="1282"/>
      <c r="AK117" s="870"/>
      <c r="AL117" s="1282"/>
      <c r="AM117" s="1282"/>
      <c r="AN117" s="1282"/>
      <c r="AO117" s="1282"/>
      <c r="AP117" s="870"/>
      <c r="AQ117" s="507"/>
      <c r="AR117" s="507"/>
      <c r="AS117" s="507"/>
      <c r="AT117" s="507"/>
      <c r="AU117" s="1137"/>
      <c r="AV117" s="507">
        <f t="shared" ref="AV117:BO117" si="173">AV115/AQ115-1</f>
        <v>9.1937945066123961E-2</v>
      </c>
      <c r="AW117" s="507">
        <f t="shared" si="173"/>
        <v>0.33815808145310045</v>
      </c>
      <c r="AX117" s="507">
        <f t="shared" si="173"/>
        <v>0.41978494623655926</v>
      </c>
      <c r="AY117" s="507">
        <f t="shared" si="173"/>
        <v>0.33104450019807219</v>
      </c>
      <c r="AZ117" s="1266">
        <f t="shared" si="173"/>
        <v>0.28992837502970215</v>
      </c>
      <c r="BA117" s="507">
        <f>BA115/AV115-1</f>
        <v>0.19680913008035406</v>
      </c>
      <c r="BB117" s="507">
        <f>BB115/AW115-1</f>
        <v>8.5047720042417785E-2</v>
      </c>
      <c r="BC117" s="507">
        <f t="shared" si="173"/>
        <v>2.3124305765929387E-2</v>
      </c>
      <c r="BD117" s="507">
        <f t="shared" si="173"/>
        <v>0.14305555555555527</v>
      </c>
      <c r="BE117" s="1266">
        <f t="shared" si="173"/>
        <v>0.10955263157894723</v>
      </c>
      <c r="BF117" s="507">
        <f t="shared" si="173"/>
        <v>2.1335992994064412E-2</v>
      </c>
      <c r="BG117" s="1283">
        <f t="shared" si="173"/>
        <v>7.8606604280688108E-2</v>
      </c>
      <c r="BH117" s="1283">
        <f t="shared" si="173"/>
        <v>9.6613082385017535E-2</v>
      </c>
      <c r="BI117" s="507">
        <f t="shared" si="173"/>
        <v>9.9169364624218659E-4</v>
      </c>
      <c r="BJ117" s="1266">
        <f t="shared" si="173"/>
        <v>4.7764220285961612E-2</v>
      </c>
      <c r="BK117" s="1283">
        <f t="shared" si="173"/>
        <v>7.0425647362384769E-2</v>
      </c>
      <c r="BL117" s="1283">
        <f t="shared" si="173"/>
        <v>5.2451031737930753E-2</v>
      </c>
      <c r="BM117" s="1283">
        <f t="shared" si="173"/>
        <v>6.3018845421377145E-2</v>
      </c>
      <c r="BN117" s="1283">
        <f t="shared" si="173"/>
        <v>7.3083809287808776E-2</v>
      </c>
      <c r="BO117" s="1267">
        <f t="shared" si="173"/>
        <v>6.47663141314474E-2</v>
      </c>
      <c r="BP117" s="1283">
        <f t="shared" ref="BP117:BY117" si="174">BP115/BK115-1</f>
        <v>7.7423075377533124E-2</v>
      </c>
      <c r="BQ117" s="1283">
        <f t="shared" si="174"/>
        <v>7.8072663279945775E-2</v>
      </c>
      <c r="BR117" s="1283">
        <f t="shared" si="174"/>
        <v>7.5221371787483005E-2</v>
      </c>
      <c r="BS117" s="1283">
        <f t="shared" si="174"/>
        <v>7.079243760586329E-2</v>
      </c>
      <c r="BT117" s="1267">
        <f t="shared" si="174"/>
        <v>7.5286031244735652E-2</v>
      </c>
      <c r="BU117" s="1283">
        <f t="shared" si="174"/>
        <v>7.1643634612219342E-2</v>
      </c>
      <c r="BV117" s="1283">
        <f t="shared" si="174"/>
        <v>7.2138624434478826E-2</v>
      </c>
      <c r="BW117" s="1283">
        <f t="shared" si="174"/>
        <v>7.2600289870567769E-2</v>
      </c>
      <c r="BX117" s="1283">
        <f t="shared" si="174"/>
        <v>7.3250467259348584E-2</v>
      </c>
      <c r="BY117" s="1267">
        <f t="shared" si="174"/>
        <v>7.2427390011768678E-2</v>
      </c>
      <c r="BZ117" s="1283">
        <f t="shared" ref="BZ117:CN117" si="175">BZ115/BU115-1</f>
        <v>7.4122970768444985E-2</v>
      </c>
      <c r="CA117" s="1283">
        <f t="shared" si="175"/>
        <v>7.4593845177823637E-2</v>
      </c>
      <c r="CB117" s="1283">
        <f t="shared" si="175"/>
        <v>7.5047155579889058E-2</v>
      </c>
      <c r="CC117" s="1283">
        <f t="shared" si="175"/>
        <v>7.5682445507202933E-2</v>
      </c>
      <c r="CD117" s="508">
        <f t="shared" si="175"/>
        <v>7.4880514371815643E-2</v>
      </c>
      <c r="CE117" s="507">
        <f t="shared" si="175"/>
        <v>7.657471359793866E-2</v>
      </c>
      <c r="CF117" s="507">
        <f t="shared" si="175"/>
        <v>7.7019792044453306E-2</v>
      </c>
      <c r="CG117" s="507">
        <f t="shared" si="175"/>
        <v>7.7463480187302647E-2</v>
      </c>
      <c r="CH117" s="507">
        <f t="shared" si="175"/>
        <v>7.808151181205103E-2</v>
      </c>
      <c r="CI117" s="508">
        <f t="shared" si="175"/>
        <v>7.7303465736828558E-2</v>
      </c>
      <c r="CJ117" s="1283">
        <f t="shared" si="175"/>
        <v>7.8991919220207762E-2</v>
      </c>
      <c r="CK117" s="1283">
        <f t="shared" si="175"/>
        <v>7.9409787768560003E-2</v>
      </c>
      <c r="CL117" s="1283">
        <f t="shared" si="175"/>
        <v>7.9842718412720837E-2</v>
      </c>
      <c r="CM117" s="1283">
        <f t="shared" si="175"/>
        <v>8.0441346504459998E-2</v>
      </c>
      <c r="CN117" s="1267">
        <f t="shared" si="175"/>
        <v>7.9689627146831477E-2</v>
      </c>
      <c r="CO117" s="1283">
        <f t="shared" ref="CO117:CX117" si="176">CO115/CJ115-1</f>
        <v>8.1368207724468844E-2</v>
      </c>
      <c r="CP117" s="1283">
        <f t="shared" si="176"/>
        <v>8.1757729717132133E-2</v>
      </c>
      <c r="CQ117" s="1283">
        <f t="shared" si="176"/>
        <v>8.2178909922691501E-2</v>
      </c>
      <c r="CR117" s="1283">
        <f t="shared" si="176"/>
        <v>8.2756236614281553E-2</v>
      </c>
      <c r="CS117" s="1267">
        <f t="shared" si="176"/>
        <v>8.2032965653954237E-2</v>
      </c>
      <c r="CT117" s="1283">
        <f t="shared" si="176"/>
        <v>8.3697828684560882E-2</v>
      </c>
      <c r="CU117" s="1283">
        <f t="shared" si="176"/>
        <v>8.4058148787704345E-2</v>
      </c>
      <c r="CV117" s="1283">
        <f t="shared" si="176"/>
        <v>8.446673446326125E-2</v>
      </c>
      <c r="CW117" s="1283">
        <f t="shared" si="176"/>
        <v>8.5021124369089485E-2</v>
      </c>
      <c r="CX117" s="1267">
        <f t="shared" si="176"/>
        <v>8.4328089119029226E-2</v>
      </c>
      <c r="CY117" s="1283"/>
      <c r="DA117" s="871"/>
      <c r="DB117" s="653"/>
      <c r="DC117" s="653"/>
    </row>
    <row r="118" spans="1:107" ht="11.25" hidden="1" customHeight="1" outlineLevel="1">
      <c r="A118" s="392"/>
      <c r="B118" s="114"/>
      <c r="C118" s="116"/>
      <c r="D118" s="117"/>
      <c r="E118" s="117"/>
      <c r="F118" s="118"/>
      <c r="G118" s="119"/>
      <c r="H118" s="116"/>
      <c r="I118" s="117"/>
      <c r="J118" s="117"/>
      <c r="K118" s="118"/>
      <c r="L118" s="116"/>
      <c r="M118" s="116"/>
      <c r="N118" s="117"/>
      <c r="O118" s="117"/>
      <c r="P118" s="118"/>
      <c r="Q118" s="119"/>
      <c r="R118" s="117"/>
      <c r="S118" s="117"/>
      <c r="T118" s="117"/>
      <c r="U118" s="117"/>
      <c r="V118" s="119"/>
      <c r="W118" s="117"/>
      <c r="X118" s="117"/>
      <c r="Y118" s="117"/>
      <c r="Z118" s="117"/>
      <c r="AA118" s="119"/>
      <c r="AB118" s="117"/>
      <c r="AC118" s="117"/>
      <c r="AD118" s="117"/>
      <c r="AE118" s="117"/>
      <c r="AF118" s="119"/>
      <c r="AG118" s="121"/>
      <c r="AH118" s="121"/>
      <c r="AI118" s="121"/>
      <c r="AJ118" s="121"/>
      <c r="AK118" s="119"/>
      <c r="AL118" s="121"/>
      <c r="AM118" s="121"/>
      <c r="AN118" s="121"/>
      <c r="AO118" s="121"/>
      <c r="AP118" s="119"/>
      <c r="AQ118" s="1113"/>
      <c r="AR118" s="1113"/>
      <c r="AS118" s="1113"/>
      <c r="AT118" s="1136"/>
      <c r="AU118" s="1137"/>
      <c r="AV118" s="1113"/>
      <c r="AW118" s="1113"/>
      <c r="AX118" s="1113"/>
      <c r="AY118" s="1136"/>
      <c r="AZ118" s="1137"/>
      <c r="BA118" s="1113"/>
      <c r="BB118" s="1264"/>
      <c r="BC118" s="1264"/>
      <c r="BD118" s="1136"/>
      <c r="BE118" s="1137"/>
      <c r="BF118" s="1295"/>
      <c r="BG118" s="1056"/>
      <c r="BH118" s="1062"/>
      <c r="BI118" s="1136"/>
      <c r="BJ118" s="1137"/>
      <c r="BK118" s="1056"/>
      <c r="BL118" s="1056"/>
      <c r="BM118" s="1331"/>
      <c r="BN118" s="1056"/>
      <c r="BO118" s="1057"/>
      <c r="BP118" s="1056"/>
      <c r="BQ118" s="1056"/>
      <c r="BR118" s="1056"/>
      <c r="BS118" s="1056"/>
      <c r="BT118" s="1057"/>
      <c r="BU118" s="1056"/>
      <c r="BV118" s="1056"/>
      <c r="BW118" s="1056"/>
      <c r="BX118" s="1056"/>
      <c r="BY118" s="1057"/>
      <c r="BZ118" s="1056"/>
      <c r="CA118" s="1056"/>
      <c r="CB118" s="1056"/>
      <c r="CC118" s="1056"/>
      <c r="CD118" s="1833"/>
      <c r="CE118" s="1295"/>
      <c r="CF118" s="1295"/>
      <c r="CG118" s="1295"/>
      <c r="CH118" s="1295"/>
      <c r="CI118" s="1833"/>
      <c r="CJ118" s="1056"/>
      <c r="CK118" s="1056"/>
      <c r="CL118" s="1056"/>
      <c r="CM118" s="1056"/>
      <c r="CN118" s="1057"/>
      <c r="CO118" s="1056"/>
      <c r="CP118" s="1056"/>
      <c r="CQ118" s="1056"/>
      <c r="CR118" s="1056"/>
      <c r="CS118" s="1057"/>
      <c r="CT118" s="1056"/>
      <c r="CU118" s="1056"/>
      <c r="CV118" s="1056"/>
      <c r="CW118" s="1056"/>
      <c r="CX118" s="1057"/>
      <c r="CY118" s="1719"/>
      <c r="DA118" s="126"/>
      <c r="DB118" s="117"/>
      <c r="DC118" s="117"/>
    </row>
    <row r="119" spans="1:107" ht="11.25" hidden="1" customHeight="1" outlineLevel="2">
      <c r="A119" s="392" t="s">
        <v>446</v>
      </c>
      <c r="B119" s="114"/>
      <c r="C119" s="116"/>
      <c r="D119" s="117"/>
      <c r="E119" s="117"/>
      <c r="F119" s="118"/>
      <c r="G119" s="119"/>
      <c r="H119" s="116"/>
      <c r="I119" s="117"/>
      <c r="J119" s="117"/>
      <c r="K119" s="118"/>
      <c r="L119" s="116"/>
      <c r="M119" s="116"/>
      <c r="N119" s="117"/>
      <c r="O119" s="117"/>
      <c r="P119" s="118"/>
      <c r="Q119" s="119"/>
      <c r="R119" s="117"/>
      <c r="S119" s="117"/>
      <c r="T119" s="117"/>
      <c r="U119" s="117"/>
      <c r="V119" s="119"/>
      <c r="W119" s="117"/>
      <c r="X119" s="117"/>
      <c r="Y119" s="117"/>
      <c r="Z119" s="117"/>
      <c r="AA119" s="119"/>
      <c r="AB119" s="117"/>
      <c r="AC119" s="117"/>
      <c r="AD119" s="117"/>
      <c r="AE119" s="117"/>
      <c r="AF119" s="119"/>
      <c r="AG119" s="121"/>
      <c r="AH119" s="121"/>
      <c r="AI119" s="121"/>
      <c r="AJ119" s="121"/>
      <c r="AK119" s="119"/>
      <c r="AL119" s="121"/>
      <c r="AM119" s="121"/>
      <c r="AN119" s="121"/>
      <c r="AO119" s="121"/>
      <c r="AP119" s="119"/>
      <c r="AQ119" s="1113"/>
      <c r="AR119" s="1113"/>
      <c r="AS119" s="1113"/>
      <c r="AT119" s="1136"/>
      <c r="AU119" s="1137"/>
      <c r="AV119" s="1113"/>
      <c r="AW119" s="1113"/>
      <c r="AX119" s="1113"/>
      <c r="AY119" s="1136"/>
      <c r="AZ119" s="1137"/>
      <c r="BA119" s="1056"/>
      <c r="BB119" s="1265"/>
      <c r="BC119" s="1265"/>
      <c r="BD119" s="1136"/>
      <c r="BE119" s="1137"/>
      <c r="BF119" s="1295"/>
      <c r="BG119" s="1056"/>
      <c r="BH119" s="1056"/>
      <c r="BI119" s="1136"/>
      <c r="BJ119" s="1137"/>
      <c r="BK119" s="1056"/>
      <c r="BL119" s="1056"/>
      <c r="BM119" s="1056"/>
      <c r="BN119" s="1056"/>
      <c r="BO119" s="1057"/>
      <c r="BP119" s="1056"/>
      <c r="BQ119" s="1056"/>
      <c r="BR119" s="1056"/>
      <c r="BS119" s="1056"/>
      <c r="BT119" s="1057"/>
      <c r="BU119" s="1056"/>
      <c r="BV119" s="1056"/>
      <c r="BW119" s="1056"/>
      <c r="BX119" s="1056"/>
      <c r="BY119" s="1057"/>
      <c r="BZ119" s="1056"/>
      <c r="CA119" s="1056"/>
      <c r="CB119" s="1056"/>
      <c r="CC119" s="1056"/>
      <c r="CD119" s="1833"/>
      <c r="CE119" s="1295"/>
      <c r="CF119" s="1295"/>
      <c r="CG119" s="1295"/>
      <c r="CH119" s="1295"/>
      <c r="CI119" s="1833"/>
      <c r="CJ119" s="1056"/>
      <c r="CK119" s="1056"/>
      <c r="CL119" s="1056"/>
      <c r="CM119" s="1056"/>
      <c r="CN119" s="1057"/>
      <c r="CO119" s="1056"/>
      <c r="CP119" s="1056"/>
      <c r="CQ119" s="1056"/>
      <c r="CR119" s="1056"/>
      <c r="CS119" s="1057"/>
      <c r="CT119" s="1056"/>
      <c r="CU119" s="1056"/>
      <c r="CV119" s="1056"/>
      <c r="CW119" s="1056"/>
      <c r="CX119" s="1057"/>
      <c r="CY119" s="1719"/>
      <c r="DA119" s="126"/>
      <c r="DB119" s="117"/>
      <c r="DC119" s="117"/>
    </row>
    <row r="120" spans="1:107" ht="11.25" hidden="1" customHeight="1" outlineLevel="2">
      <c r="A120" s="457" t="s">
        <v>63</v>
      </c>
      <c r="B120" s="458"/>
      <c r="C120" s="459"/>
      <c r="D120" s="460"/>
      <c r="E120" s="460"/>
      <c r="F120" s="461"/>
      <c r="G120" s="462"/>
      <c r="H120" s="459"/>
      <c r="I120" s="460"/>
      <c r="J120" s="460"/>
      <c r="K120" s="461"/>
      <c r="L120" s="459"/>
      <c r="M120" s="459"/>
      <c r="N120" s="460"/>
      <c r="O120" s="460"/>
      <c r="P120" s="461"/>
      <c r="Q120" s="462"/>
      <c r="R120" s="460"/>
      <c r="S120" s="460"/>
      <c r="T120" s="460"/>
      <c r="U120" s="460"/>
      <c r="V120" s="463"/>
      <c r="W120" s="464"/>
      <c r="X120" s="464"/>
      <c r="Y120" s="464"/>
      <c r="Z120" s="458"/>
      <c r="AA120" s="465"/>
      <c r="AB120" s="464"/>
      <c r="AC120" s="464"/>
      <c r="AD120" s="464"/>
      <c r="AE120" s="464"/>
      <c r="AF120" s="465"/>
      <c r="AG120" s="458"/>
      <c r="AH120" s="458"/>
      <c r="AI120" s="458"/>
      <c r="AJ120" s="458"/>
      <c r="AK120" s="465"/>
      <c r="AL120" s="458"/>
      <c r="AM120" s="458"/>
      <c r="AN120" s="458"/>
      <c r="AO120" s="458"/>
      <c r="AP120" s="465"/>
      <c r="AQ120" s="458">
        <v>32.5</v>
      </c>
      <c r="AR120" s="458">
        <v>26.4</v>
      </c>
      <c r="AS120" s="458">
        <v>24.2</v>
      </c>
      <c r="AT120" s="458">
        <v>22.8</v>
      </c>
      <c r="AU120" s="465">
        <f>SUM(AQ120:AT120)</f>
        <v>105.89999999999999</v>
      </c>
      <c r="AV120" s="458">
        <v>12.4</v>
      </c>
      <c r="AW120" s="458">
        <v>24.3</v>
      </c>
      <c r="AX120" s="458">
        <v>14.7</v>
      </c>
      <c r="AY120" s="458">
        <v>15.8</v>
      </c>
      <c r="AZ120" s="465">
        <f>SUM(AV120:AY120)</f>
        <v>67.2</v>
      </c>
      <c r="BA120" s="458">
        <v>15.1</v>
      </c>
      <c r="BB120" s="458">
        <f>21.6</f>
        <v>21.6</v>
      </c>
      <c r="BC120" s="458">
        <v>12.5</v>
      </c>
      <c r="BD120" s="458">
        <v>14.2</v>
      </c>
      <c r="BE120" s="465">
        <f>SUM(BA120:BD120)</f>
        <v>63.400000000000006</v>
      </c>
      <c r="BF120" s="458">
        <f>BF121*BF90</f>
        <v>14.136943511864404</v>
      </c>
      <c r="BG120" s="466">
        <f>BG121*BG90</f>
        <v>25.093321343999996</v>
      </c>
      <c r="BH120" s="466">
        <f>BH121*BH90</f>
        <v>25.344254557439996</v>
      </c>
      <c r="BI120" s="458">
        <f>BI121*BI90</f>
        <v>24.475308686899194</v>
      </c>
      <c r="BJ120" s="465">
        <f>SUM(BF120:BI120)</f>
        <v>89.049828100203584</v>
      </c>
      <c r="BK120" s="466">
        <f>BK121*BK90</f>
        <v>24.463541711568958</v>
      </c>
      <c r="BL120" s="466">
        <f>BL121*BL90</f>
        <v>25.904666714214109</v>
      </c>
      <c r="BM120" s="466">
        <f>BM121*BM90</f>
        <v>26.293236714927318</v>
      </c>
      <c r="BN120" s="466">
        <f>BN121*BN90</f>
        <v>25.635905797054136</v>
      </c>
      <c r="BO120" s="467">
        <f>SUM(BK120:BN120)</f>
        <v>102.29735093776452</v>
      </c>
      <c r="BP120" s="466">
        <f>BP121*BP90</f>
        <v>26.301453351400735</v>
      </c>
      <c r="BQ120" s="466">
        <f>BQ121*BQ90</f>
        <v>28.118644673861148</v>
      </c>
      <c r="BR120" s="466">
        <f>BR121*BR90</f>
        <v>28.681017567338372</v>
      </c>
      <c r="BS120" s="466">
        <f>BS121*BS90</f>
        <v>28.230315862708768</v>
      </c>
      <c r="BT120" s="467">
        <f>SUM(BP120:BS120)</f>
        <v>111.33143145530902</v>
      </c>
      <c r="BU120" s="466">
        <f>BU121*BU90</f>
        <v>28.963218293759862</v>
      </c>
      <c r="BV120" s="466">
        <f>BV121*BV90</f>
        <v>30.96431337587418</v>
      </c>
      <c r="BW120" s="466">
        <f>BW121*BW90</f>
        <v>31.583599643391665</v>
      </c>
      <c r="BX120" s="466">
        <f>BX121*BX90</f>
        <v>31.087285934709794</v>
      </c>
      <c r="BY120" s="467">
        <f>SUM(BU120:BX120)</f>
        <v>122.59841724773551</v>
      </c>
      <c r="BZ120" s="466">
        <f>BZ121*BZ90</f>
        <v>31.894359704168604</v>
      </c>
      <c r="CA120" s="466">
        <f>CA121*CA90</f>
        <v>34.097970011002069</v>
      </c>
      <c r="CB120" s="466">
        <f>CB121*CB90</f>
        <v>34.779929411222113</v>
      </c>
      <c r="CC120" s="466">
        <f>CC121*CC90</f>
        <v>34.233387663331477</v>
      </c>
      <c r="CD120" s="465">
        <f>SUM(BZ120:CC120)</f>
        <v>135.00564678972427</v>
      </c>
      <c r="CE120" s="458">
        <f>CE121*CE90</f>
        <v>35.12213907382182</v>
      </c>
      <c r="CF120" s="458">
        <f>CF121*CF90</f>
        <v>37.548759591649507</v>
      </c>
      <c r="CG120" s="458">
        <f>CG121*CG90</f>
        <v>38.299734783482499</v>
      </c>
      <c r="CH120" s="458">
        <f>CH121*CH90</f>
        <v>37.69788180831349</v>
      </c>
      <c r="CI120" s="465">
        <f>SUM(CE120:CH120)</f>
        <v>148.66851525726733</v>
      </c>
      <c r="CJ120" s="466">
        <f>CJ121*CJ90</f>
        <v>38.676576816798551</v>
      </c>
      <c r="CK120" s="466">
        <f>CK121*CK90</f>
        <v>41.348776669595544</v>
      </c>
      <c r="CL120" s="466">
        <f>CL121*CL90</f>
        <v>42.175752202987454</v>
      </c>
      <c r="CM120" s="466">
        <f>CM121*CM90</f>
        <v>41.512990382654799</v>
      </c>
      <c r="CN120" s="467">
        <f>SUM(CJ120:CM120)</f>
        <v>163.71409607203634</v>
      </c>
      <c r="CO120" s="466">
        <f>CO121*CO90</f>
        <v>42.59073147912757</v>
      </c>
      <c r="CP120" s="466">
        <f>CP121*CP90</f>
        <v>45.533363835867299</v>
      </c>
      <c r="CQ120" s="466">
        <f>CQ121*CQ90</f>
        <v>46.444031112584646</v>
      </c>
      <c r="CR120" s="466">
        <f>CR121*CR90</f>
        <v>45.714196337958313</v>
      </c>
      <c r="CS120" s="467">
        <f>SUM(CO120:CR120)</f>
        <v>180.2823227655378</v>
      </c>
      <c r="CT120" s="466">
        <f>CT121*CT90</f>
        <v>46.901007204424545</v>
      </c>
      <c r="CU120" s="466">
        <f>CU121*CU90</f>
        <v>50.141440429457518</v>
      </c>
      <c r="CV120" s="466">
        <f>CV121*CV90</f>
        <v>51.144269238046661</v>
      </c>
      <c r="CW120" s="466">
        <f>CW121*CW90</f>
        <v>50.340573578591645</v>
      </c>
      <c r="CX120" s="467">
        <f>SUM(CT120:CW120)</f>
        <v>198.52729045052035</v>
      </c>
      <c r="CY120" s="466"/>
      <c r="DA120" s="126"/>
      <c r="DB120" s="460"/>
      <c r="DC120" s="460"/>
    </row>
    <row r="121" spans="1:107" ht="11.25" hidden="1" customHeight="1" outlineLevel="2">
      <c r="A121" s="468" t="s">
        <v>275</v>
      </c>
      <c r="B121" s="652"/>
      <c r="C121" s="1280"/>
      <c r="D121" s="653"/>
      <c r="E121" s="653"/>
      <c r="F121" s="1281"/>
      <c r="G121" s="870"/>
      <c r="H121" s="1280"/>
      <c r="I121" s="653"/>
      <c r="J121" s="653"/>
      <c r="K121" s="1281"/>
      <c r="L121" s="1280"/>
      <c r="M121" s="1280"/>
      <c r="N121" s="653"/>
      <c r="O121" s="653"/>
      <c r="P121" s="1281"/>
      <c r="Q121" s="870"/>
      <c r="R121" s="653"/>
      <c r="S121" s="653"/>
      <c r="T121" s="653"/>
      <c r="U121" s="653"/>
      <c r="V121" s="870"/>
      <c r="W121" s="653"/>
      <c r="X121" s="653"/>
      <c r="Y121" s="653"/>
      <c r="Z121" s="653"/>
      <c r="AA121" s="870"/>
      <c r="AB121" s="653"/>
      <c r="AC121" s="653"/>
      <c r="AD121" s="653"/>
      <c r="AE121" s="653"/>
      <c r="AF121" s="870"/>
      <c r="AG121" s="1282"/>
      <c r="AH121" s="1282"/>
      <c r="AI121" s="1282"/>
      <c r="AJ121" s="1282"/>
      <c r="AK121" s="870"/>
      <c r="AL121" s="1282"/>
      <c r="AM121" s="1282"/>
      <c r="AN121" s="1282"/>
      <c r="AO121" s="1282"/>
      <c r="AP121" s="870"/>
      <c r="AQ121" s="507">
        <f t="shared" ref="AQ121:BD121" si="177">AQ120/AQ90</f>
        <v>8.9828634604754001E-2</v>
      </c>
      <c r="AR121" s="507">
        <f t="shared" si="177"/>
        <v>8.2422728691851382E-2</v>
      </c>
      <c r="AS121" s="507">
        <f t="shared" si="177"/>
        <v>7.4992252866439416E-2</v>
      </c>
      <c r="AT121" s="507">
        <f t="shared" si="177"/>
        <v>6.9767441860465115E-2</v>
      </c>
      <c r="AU121" s="1266">
        <f t="shared" si="177"/>
        <v>7.9528386902973869E-2</v>
      </c>
      <c r="AV121" s="507">
        <f t="shared" si="177"/>
        <v>3.7282020444978956E-2</v>
      </c>
      <c r="AW121" s="507">
        <f t="shared" si="177"/>
        <v>5.7406094968107724E-2</v>
      </c>
      <c r="AX121" s="507">
        <f t="shared" si="177"/>
        <v>3.5260254257615732E-2</v>
      </c>
      <c r="AY121" s="507">
        <f t="shared" si="177"/>
        <v>3.9031620553359687E-2</v>
      </c>
      <c r="AZ121" s="1266">
        <f t="shared" si="177"/>
        <v>4.2596348884381338E-2</v>
      </c>
      <c r="BA121" s="507">
        <f t="shared" si="177"/>
        <v>3.5546139359698678E-2</v>
      </c>
      <c r="BB121" s="507">
        <f t="shared" si="177"/>
        <v>4.9873008543061648E-2</v>
      </c>
      <c r="BC121" s="507">
        <f t="shared" si="177"/>
        <v>2.9911462072266096E-2</v>
      </c>
      <c r="BD121" s="507">
        <f t="shared" si="177"/>
        <v>3.2479414455626715E-2</v>
      </c>
      <c r="BE121" s="1266">
        <f>BE120/BE90</f>
        <v>3.7011091652072385E-2</v>
      </c>
      <c r="BF121" s="469">
        <f>BA121-0.001</f>
        <v>3.4546139359698677E-2</v>
      </c>
      <c r="BG121" s="475">
        <v>5.6000000000000001E-2</v>
      </c>
      <c r="BH121" s="475">
        <v>5.6000000000000001E-2</v>
      </c>
      <c r="BI121" s="507">
        <v>5.1999999999999998E-2</v>
      </c>
      <c r="BJ121" s="1266">
        <f>BJ120/BJ90</f>
        <v>5.0012000391552437E-2</v>
      </c>
      <c r="BK121" s="475">
        <v>5.5E-2</v>
      </c>
      <c r="BL121" s="475">
        <v>5.6000000000000001E-2</v>
      </c>
      <c r="BM121" s="475">
        <v>5.6000000000000001E-2</v>
      </c>
      <c r="BN121" s="475">
        <v>5.1999999999999998E-2</v>
      </c>
      <c r="BO121" s="476">
        <f>BO120/BO90</f>
        <v>5.4707529531539158E-2</v>
      </c>
      <c r="BP121" s="475">
        <v>5.5E-2</v>
      </c>
      <c r="BQ121" s="475">
        <v>5.6000000000000001E-2</v>
      </c>
      <c r="BR121" s="475">
        <v>5.6000000000000001E-2</v>
      </c>
      <c r="BS121" s="475">
        <v>5.1999999999999998E-2</v>
      </c>
      <c r="BT121" s="476">
        <f>BT120/BT90</f>
        <v>5.4698143440485313E-2</v>
      </c>
      <c r="BU121" s="475">
        <v>5.5E-2</v>
      </c>
      <c r="BV121" s="475">
        <v>5.6000000000000001E-2</v>
      </c>
      <c r="BW121" s="475">
        <v>5.6000000000000001E-2</v>
      </c>
      <c r="BX121" s="475">
        <v>5.1999999999999998E-2</v>
      </c>
      <c r="BY121" s="476">
        <f>BY120/BY90</f>
        <v>5.4698143440485313E-2</v>
      </c>
      <c r="BZ121" s="475">
        <v>5.5E-2</v>
      </c>
      <c r="CA121" s="475">
        <v>5.6000000000000001E-2</v>
      </c>
      <c r="CB121" s="475">
        <v>5.6000000000000001E-2</v>
      </c>
      <c r="CC121" s="475">
        <v>5.1999999999999998E-2</v>
      </c>
      <c r="CD121" s="472">
        <f>CD120/CD90</f>
        <v>5.4698143440485313E-2</v>
      </c>
      <c r="CE121" s="469">
        <v>5.5E-2</v>
      </c>
      <c r="CF121" s="469">
        <v>5.6000000000000001E-2</v>
      </c>
      <c r="CG121" s="469">
        <v>5.6000000000000001E-2</v>
      </c>
      <c r="CH121" s="469">
        <v>5.1999999999999998E-2</v>
      </c>
      <c r="CI121" s="472">
        <f>CI120/CI90</f>
        <v>5.469814344048532E-2</v>
      </c>
      <c r="CJ121" s="475">
        <v>5.5E-2</v>
      </c>
      <c r="CK121" s="475">
        <v>5.6000000000000001E-2</v>
      </c>
      <c r="CL121" s="475">
        <v>5.6000000000000001E-2</v>
      </c>
      <c r="CM121" s="475">
        <v>5.1999999999999998E-2</v>
      </c>
      <c r="CN121" s="476">
        <f>CN120/CN90</f>
        <v>5.4698143440485299E-2</v>
      </c>
      <c r="CO121" s="475">
        <v>5.5E-2</v>
      </c>
      <c r="CP121" s="475">
        <v>5.6000000000000001E-2</v>
      </c>
      <c r="CQ121" s="475">
        <v>5.6000000000000001E-2</v>
      </c>
      <c r="CR121" s="475">
        <v>5.1999999999999998E-2</v>
      </c>
      <c r="CS121" s="476">
        <f>CS120/CS90</f>
        <v>5.4698143440485306E-2</v>
      </c>
      <c r="CT121" s="475">
        <v>5.5E-2</v>
      </c>
      <c r="CU121" s="475">
        <v>5.6000000000000001E-2</v>
      </c>
      <c r="CV121" s="475">
        <v>5.6000000000000001E-2</v>
      </c>
      <c r="CW121" s="475">
        <v>5.1999999999999998E-2</v>
      </c>
      <c r="CX121" s="476">
        <f>CX120/CX90</f>
        <v>5.4698143440485299E-2</v>
      </c>
      <c r="CY121" s="475"/>
      <c r="DA121" s="871"/>
      <c r="DB121" s="653"/>
      <c r="DC121" s="653"/>
    </row>
    <row r="122" spans="1:107" ht="11.25" hidden="1" customHeight="1" outlineLevel="2">
      <c r="A122" s="392"/>
      <c r="B122" s="114"/>
      <c r="C122" s="116"/>
      <c r="D122" s="117"/>
      <c r="E122" s="117"/>
      <c r="F122" s="118"/>
      <c r="G122" s="119"/>
      <c r="H122" s="116"/>
      <c r="I122" s="117"/>
      <c r="J122" s="117"/>
      <c r="K122" s="118"/>
      <c r="L122" s="116"/>
      <c r="M122" s="116"/>
      <c r="N122" s="117"/>
      <c r="O122" s="117"/>
      <c r="P122" s="118"/>
      <c r="Q122" s="119"/>
      <c r="R122" s="117"/>
      <c r="S122" s="117"/>
      <c r="T122" s="117"/>
      <c r="U122" s="117"/>
      <c r="V122" s="119"/>
      <c r="W122" s="117"/>
      <c r="X122" s="117"/>
      <c r="Y122" s="117"/>
      <c r="Z122" s="117"/>
      <c r="AA122" s="119"/>
      <c r="AB122" s="117"/>
      <c r="AC122" s="117"/>
      <c r="AD122" s="117"/>
      <c r="AE122" s="117"/>
      <c r="AF122" s="119"/>
      <c r="AG122" s="121"/>
      <c r="AH122" s="121"/>
      <c r="AI122" s="121"/>
      <c r="AJ122" s="121"/>
      <c r="AK122" s="119"/>
      <c r="AL122" s="121"/>
      <c r="AM122" s="121"/>
      <c r="AN122" s="121"/>
      <c r="AO122" s="121"/>
      <c r="AP122" s="119"/>
      <c r="AQ122" s="1113"/>
      <c r="AR122" s="1113"/>
      <c r="AS122" s="1113"/>
      <c r="AT122" s="1136"/>
      <c r="AU122" s="1137"/>
      <c r="AV122" s="1113"/>
      <c r="AW122" s="1113"/>
      <c r="AX122" s="1113"/>
      <c r="AY122" s="1136"/>
      <c r="AZ122" s="1137"/>
      <c r="BA122" s="1295"/>
      <c r="BB122" s="1295"/>
      <c r="BC122" s="1295"/>
      <c r="BD122" s="1136"/>
      <c r="BE122" s="1137"/>
      <c r="BF122" s="1295"/>
      <c r="BG122" s="1056"/>
      <c r="BH122" s="1056"/>
      <c r="BI122" s="1136"/>
      <c r="BJ122" s="1137"/>
      <c r="BK122" s="1056"/>
      <c r="BL122" s="1056"/>
      <c r="BM122" s="1056"/>
      <c r="BN122" s="1056"/>
      <c r="BO122" s="1268"/>
      <c r="BP122" s="1056"/>
      <c r="BQ122" s="1056"/>
      <c r="BR122" s="1056"/>
      <c r="BS122" s="1056"/>
      <c r="BT122" s="1268"/>
      <c r="BU122" s="1056"/>
      <c r="BV122" s="1056"/>
      <c r="BW122" s="1056"/>
      <c r="BX122" s="1056"/>
      <c r="BY122" s="1268"/>
      <c r="BZ122" s="1056"/>
      <c r="CA122" s="1056"/>
      <c r="CB122" s="1056"/>
      <c r="CC122" s="1056"/>
      <c r="CD122" s="1137"/>
      <c r="CE122" s="1295"/>
      <c r="CF122" s="1295"/>
      <c r="CG122" s="1295"/>
      <c r="CH122" s="1295"/>
      <c r="CI122" s="1137"/>
      <c r="CJ122" s="1056"/>
      <c r="CK122" s="1056"/>
      <c r="CL122" s="1056"/>
      <c r="CM122" s="1056"/>
      <c r="CN122" s="1268"/>
      <c r="CO122" s="1056"/>
      <c r="CP122" s="1056"/>
      <c r="CQ122" s="1056"/>
      <c r="CR122" s="1056"/>
      <c r="CS122" s="1268"/>
      <c r="CT122" s="1056"/>
      <c r="CU122" s="1056"/>
      <c r="CV122" s="1056"/>
      <c r="CW122" s="1056"/>
      <c r="CX122" s="1268"/>
      <c r="CY122" s="1719"/>
      <c r="DA122" s="126"/>
      <c r="DB122" s="117"/>
      <c r="DC122" s="117"/>
    </row>
    <row r="123" spans="1:107" ht="11.25" hidden="1" customHeight="1" outlineLevel="2">
      <c r="A123" s="457" t="s">
        <v>64</v>
      </c>
      <c r="B123" s="458"/>
      <c r="C123" s="459"/>
      <c r="D123" s="460"/>
      <c r="E123" s="460"/>
      <c r="F123" s="461"/>
      <c r="G123" s="462"/>
      <c r="H123" s="459"/>
      <c r="I123" s="460"/>
      <c r="J123" s="460"/>
      <c r="K123" s="461"/>
      <c r="L123" s="459"/>
      <c r="M123" s="459"/>
      <c r="N123" s="460"/>
      <c r="O123" s="460"/>
      <c r="P123" s="461"/>
      <c r="Q123" s="462"/>
      <c r="R123" s="460"/>
      <c r="S123" s="460"/>
      <c r="T123" s="460"/>
      <c r="U123" s="460"/>
      <c r="V123" s="463"/>
      <c r="W123" s="464"/>
      <c r="X123" s="464"/>
      <c r="Y123" s="464"/>
      <c r="Z123" s="458"/>
      <c r="AA123" s="465"/>
      <c r="AB123" s="464"/>
      <c r="AC123" s="464"/>
      <c r="AD123" s="464"/>
      <c r="AE123" s="464"/>
      <c r="AF123" s="465"/>
      <c r="AG123" s="458"/>
      <c r="AH123" s="458"/>
      <c r="AI123" s="458"/>
      <c r="AJ123" s="458"/>
      <c r="AK123" s="465"/>
      <c r="AL123" s="458"/>
      <c r="AM123" s="458"/>
      <c r="AN123" s="458"/>
      <c r="AO123" s="458"/>
      <c r="AP123" s="465"/>
      <c r="AQ123" s="458">
        <v>11.4</v>
      </c>
      <c r="AR123" s="458">
        <v>13</v>
      </c>
      <c r="AS123" s="458">
        <v>10.5</v>
      </c>
      <c r="AT123" s="458">
        <v>12.6</v>
      </c>
      <c r="AU123" s="465">
        <f>SUM(AQ123:AT123)</f>
        <v>47.5</v>
      </c>
      <c r="AV123" s="458">
        <v>8.9</v>
      </c>
      <c r="AW123" s="458">
        <v>11.7</v>
      </c>
      <c r="AX123" s="458">
        <v>12</v>
      </c>
      <c r="AY123" s="458">
        <v>15.4</v>
      </c>
      <c r="AZ123" s="465">
        <f>SUM(AV123:AY123)</f>
        <v>48</v>
      </c>
      <c r="BA123" s="458">
        <v>9.8000000000000007</v>
      </c>
      <c r="BB123" s="458">
        <f>9.8</f>
        <v>9.8000000000000007</v>
      </c>
      <c r="BC123" s="458">
        <v>9</v>
      </c>
      <c r="BD123" s="458">
        <f>15.1</f>
        <v>15.1</v>
      </c>
      <c r="BE123" s="465">
        <f>SUM(BA123:BD123)</f>
        <v>43.7</v>
      </c>
      <c r="BF123" s="458">
        <f>BF124*BF94</f>
        <v>10.610458750164799</v>
      </c>
      <c r="BG123" s="466">
        <f>BG124*BG94</f>
        <v>9.9496219200000002</v>
      </c>
      <c r="BH123" s="466">
        <f>BH124*BH94</f>
        <v>9.9496219200000002</v>
      </c>
      <c r="BI123" s="458">
        <f>BI124*BI94</f>
        <v>9.4699080059999989</v>
      </c>
      <c r="BJ123" s="465">
        <f>SUM(BF123:BI123)</f>
        <v>39.979610596164797</v>
      </c>
      <c r="BK123" s="466">
        <f>BK124*BK94</f>
        <v>9.6656801426624988</v>
      </c>
      <c r="BL123" s="466">
        <f>BL124*BL94</f>
        <v>10.235076572884799</v>
      </c>
      <c r="BM123" s="466">
        <f>BM124*BM94</f>
        <v>10.388602721478069</v>
      </c>
      <c r="BN123" s="466">
        <f>BN124*BN94</f>
        <v>10.080654855091398</v>
      </c>
      <c r="BO123" s="467">
        <f>SUM(BK123:BN123)</f>
        <v>40.370014292116764</v>
      </c>
      <c r="BP123" s="466">
        <f>BP124*BP94</f>
        <v>10.342364163829348</v>
      </c>
      <c r="BQ123" s="466">
        <f>BQ124*BQ94</f>
        <v>10.898971398828163</v>
      </c>
      <c r="BR123" s="466">
        <f>BR124*BR94</f>
        <v>11.062455969810586</v>
      </c>
      <c r="BS123" s="466">
        <f>BS124*BS94</f>
        <v>10.58044895969741</v>
      </c>
      <c r="BT123" s="467">
        <f>SUM(BP123:BS123)</f>
        <v>42.884240492165503</v>
      </c>
      <c r="BU123" s="466">
        <f>BU124*BU94</f>
        <v>10.855133692304939</v>
      </c>
      <c r="BV123" s="466">
        <f>BV124*BV94</f>
        <v>11.439337251018078</v>
      </c>
      <c r="BW123" s="466">
        <f>BW124*BW94</f>
        <v>11.610927309783348</v>
      </c>
      <c r="BX123" s="466">
        <f>BX124*BX94</f>
        <v>11.105022619857072</v>
      </c>
      <c r="BY123" s="467">
        <f>SUM(BU123:BX123)</f>
        <v>45.010420872963437</v>
      </c>
      <c r="BZ123" s="466">
        <f>BZ124*BZ94</f>
        <v>11.393326091718748</v>
      </c>
      <c r="CA123" s="466">
        <f>CA124*CA94</f>
        <v>12.006494186836701</v>
      </c>
      <c r="CB123" s="466">
        <f>CB124*CB94</f>
        <v>12.18659159963925</v>
      </c>
      <c r="CC123" s="466">
        <f>CC124*CC94</f>
        <v>11.655604394226398</v>
      </c>
      <c r="CD123" s="465">
        <f>SUM(BZ123:CC123)</f>
        <v>47.242016272421097</v>
      </c>
      <c r="CE123" s="458">
        <f>CE124*CE94</f>
        <v>11.958201815999582</v>
      </c>
      <c r="CF123" s="458">
        <f>CF124*CF94</f>
        <v>12.601770495551559</v>
      </c>
      <c r="CG123" s="458">
        <f>CG124*CG94</f>
        <v>12.79079705298483</v>
      </c>
      <c r="CH123" s="458">
        <f>CH124*CH94</f>
        <v>12.233483752819062</v>
      </c>
      <c r="CI123" s="465">
        <f>SUM(CE123:CH123)</f>
        <v>49.584253117355033</v>
      </c>
      <c r="CJ123" s="466">
        <f>CJ124*CJ94</f>
        <v>12.551083811786478</v>
      </c>
      <c r="CK123" s="466">
        <f>CK124*CK94</f>
        <v>13.226560322384442</v>
      </c>
      <c r="CL123" s="466">
        <f>CL124*CL94</f>
        <v>13.424958727220206</v>
      </c>
      <c r="CM123" s="466">
        <f>CM124*CM94</f>
        <v>12.840014096962754</v>
      </c>
      <c r="CN123" s="467">
        <f>SUM(CJ123:CM123)</f>
        <v>52.042616958353882</v>
      </c>
      <c r="CO123" s="466">
        <f>CO124*CO94</f>
        <v>13.173360616787749</v>
      </c>
      <c r="CP123" s="466">
        <f>CP124*CP94</f>
        <v>13.882326933618508</v>
      </c>
      <c r="CQ123" s="466">
        <f>CQ124*CQ94</f>
        <v>14.090561837622783</v>
      </c>
      <c r="CR123" s="466">
        <f>CR124*CR94</f>
        <v>13.476615928983504</v>
      </c>
      <c r="CS123" s="467">
        <f>SUM(CO123:CR123)</f>
        <v>54.62286531701254</v>
      </c>
      <c r="CT123" s="466">
        <f>CT124*CT94</f>
        <v>13.826489611755191</v>
      </c>
      <c r="CU123" s="466">
        <f>CU124*CU94</f>
        <v>14.570606143587835</v>
      </c>
      <c r="CV123" s="466">
        <f>CV124*CV94</f>
        <v>14.789165235741651</v>
      </c>
      <c r="CW123" s="466">
        <f>CW124*CW94</f>
        <v>14.144780179041479</v>
      </c>
      <c r="CX123" s="467">
        <f>SUM(CT123:CW123)</f>
        <v>57.331041170126156</v>
      </c>
      <c r="CY123" s="466"/>
      <c r="DA123" s="126"/>
      <c r="DB123" s="460"/>
      <c r="DC123" s="460"/>
    </row>
    <row r="124" spans="1:107" ht="11.25" hidden="1" customHeight="1" outlineLevel="2">
      <c r="A124" s="468" t="s">
        <v>275</v>
      </c>
      <c r="B124" s="652"/>
      <c r="C124" s="1280"/>
      <c r="D124" s="653"/>
      <c r="E124" s="653"/>
      <c r="F124" s="1281"/>
      <c r="G124" s="870"/>
      <c r="H124" s="1280"/>
      <c r="I124" s="653"/>
      <c r="J124" s="653"/>
      <c r="K124" s="1281"/>
      <c r="L124" s="1280"/>
      <c r="M124" s="1280"/>
      <c r="N124" s="653"/>
      <c r="O124" s="653"/>
      <c r="P124" s="1281"/>
      <c r="Q124" s="870"/>
      <c r="R124" s="653"/>
      <c r="S124" s="653"/>
      <c r="T124" s="653"/>
      <c r="U124" s="653"/>
      <c r="V124" s="870"/>
      <c r="W124" s="653"/>
      <c r="X124" s="653"/>
      <c r="Y124" s="653"/>
      <c r="Z124" s="653"/>
      <c r="AA124" s="870"/>
      <c r="AB124" s="653"/>
      <c r="AC124" s="653"/>
      <c r="AD124" s="653"/>
      <c r="AE124" s="653"/>
      <c r="AF124" s="870"/>
      <c r="AG124" s="1282"/>
      <c r="AH124" s="1282"/>
      <c r="AI124" s="1282"/>
      <c r="AJ124" s="1282"/>
      <c r="AK124" s="870"/>
      <c r="AL124" s="1282"/>
      <c r="AM124" s="1282"/>
      <c r="AN124" s="1282"/>
      <c r="AO124" s="1282"/>
      <c r="AP124" s="870"/>
      <c r="AQ124" s="507">
        <f t="shared" ref="AQ124:BD124" si="178">AQ123/AQ94</f>
        <v>8.2728592162554418E-2</v>
      </c>
      <c r="AR124" s="507">
        <f t="shared" si="178"/>
        <v>0.11383537653239929</v>
      </c>
      <c r="AS124" s="507">
        <f t="shared" si="178"/>
        <v>9.6774193548387094E-2</v>
      </c>
      <c r="AT124" s="507">
        <f t="shared" si="178"/>
        <v>9.3959731543624164E-2</v>
      </c>
      <c r="AU124" s="1266">
        <f t="shared" si="178"/>
        <v>9.6037201779215528E-2</v>
      </c>
      <c r="AV124" s="507">
        <f t="shared" si="178"/>
        <v>6.8147013782542121E-2</v>
      </c>
      <c r="AW124" s="507">
        <f t="shared" si="178"/>
        <v>8.3991385498923182E-2</v>
      </c>
      <c r="AX124" s="507">
        <f t="shared" si="178"/>
        <v>7.6093849080532669E-2</v>
      </c>
      <c r="AY124" s="507">
        <f t="shared" si="178"/>
        <v>9.2827004219409287E-2</v>
      </c>
      <c r="AZ124" s="1266">
        <f t="shared" si="178"/>
        <v>8.0876158382476832E-2</v>
      </c>
      <c r="BA124" s="507">
        <f t="shared" si="178"/>
        <v>6.460118655240607E-2</v>
      </c>
      <c r="BB124" s="507">
        <f t="shared" si="178"/>
        <v>7.1689831748354069E-2</v>
      </c>
      <c r="BC124" s="507">
        <f t="shared" si="178"/>
        <v>5.9563203176704174E-2</v>
      </c>
      <c r="BD124" s="507">
        <f t="shared" si="178"/>
        <v>8.1008583690987124E-2</v>
      </c>
      <c r="BE124" s="1266">
        <f>BE123/BE94</f>
        <v>6.9819459977632212E-2</v>
      </c>
      <c r="BF124" s="469">
        <f>BA124-0.001</f>
        <v>6.3601186552406069E-2</v>
      </c>
      <c r="BG124" s="475">
        <v>5.6000000000000001E-2</v>
      </c>
      <c r="BH124" s="475">
        <v>5.6000000000000001E-2</v>
      </c>
      <c r="BI124" s="507">
        <v>5.1999999999999998E-2</v>
      </c>
      <c r="BJ124" s="1266">
        <f>BJ123/BJ94</f>
        <v>5.6766218352507877E-2</v>
      </c>
      <c r="BK124" s="475">
        <v>5.5E-2</v>
      </c>
      <c r="BL124" s="475">
        <v>5.6000000000000001E-2</v>
      </c>
      <c r="BM124" s="475">
        <v>5.6000000000000001E-2</v>
      </c>
      <c r="BN124" s="475">
        <v>5.1999999999999998E-2</v>
      </c>
      <c r="BO124" s="1269">
        <f>BO123/BO94</f>
        <v>5.4710933045498351E-2</v>
      </c>
      <c r="BP124" s="475">
        <v>5.5E-2</v>
      </c>
      <c r="BQ124" s="475">
        <v>5.6000000000000001E-2</v>
      </c>
      <c r="BR124" s="475">
        <v>5.6000000000000001E-2</v>
      </c>
      <c r="BS124" s="475">
        <v>5.1999999999999998E-2</v>
      </c>
      <c r="BT124" s="1269">
        <f>BT123/BT94</f>
        <v>5.4721516751115439E-2</v>
      </c>
      <c r="BU124" s="475">
        <v>5.5E-2</v>
      </c>
      <c r="BV124" s="475">
        <v>5.6000000000000001E-2</v>
      </c>
      <c r="BW124" s="475">
        <v>5.6000000000000001E-2</v>
      </c>
      <c r="BX124" s="475">
        <v>5.1999999999999998E-2</v>
      </c>
      <c r="BY124" s="1269">
        <f>BY123/BY94</f>
        <v>5.4721516751115445E-2</v>
      </c>
      <c r="BZ124" s="475">
        <v>5.5E-2</v>
      </c>
      <c r="CA124" s="475">
        <v>5.6000000000000001E-2</v>
      </c>
      <c r="CB124" s="475">
        <v>5.6000000000000001E-2</v>
      </c>
      <c r="CC124" s="475">
        <v>5.1999999999999998E-2</v>
      </c>
      <c r="CD124" s="1266">
        <f>CD123/CD94</f>
        <v>5.4721516751115439E-2</v>
      </c>
      <c r="CE124" s="469">
        <v>5.5E-2</v>
      </c>
      <c r="CF124" s="469">
        <v>5.6000000000000001E-2</v>
      </c>
      <c r="CG124" s="469">
        <v>5.6000000000000001E-2</v>
      </c>
      <c r="CH124" s="469">
        <v>5.1999999999999998E-2</v>
      </c>
      <c r="CI124" s="1266">
        <f>CI123/CI94</f>
        <v>5.4721516751115445E-2</v>
      </c>
      <c r="CJ124" s="475">
        <v>5.5E-2</v>
      </c>
      <c r="CK124" s="475">
        <v>5.6000000000000001E-2</v>
      </c>
      <c r="CL124" s="475">
        <v>5.6000000000000001E-2</v>
      </c>
      <c r="CM124" s="475">
        <v>5.1999999999999998E-2</v>
      </c>
      <c r="CN124" s="1269">
        <f>CN123/CN94</f>
        <v>5.4721516751115445E-2</v>
      </c>
      <c r="CO124" s="475">
        <v>5.5E-2</v>
      </c>
      <c r="CP124" s="475">
        <v>5.6000000000000001E-2</v>
      </c>
      <c r="CQ124" s="475">
        <v>5.6000000000000001E-2</v>
      </c>
      <c r="CR124" s="475">
        <v>5.1999999999999998E-2</v>
      </c>
      <c r="CS124" s="1269">
        <f>CS123/CS94</f>
        <v>5.4721516751115439E-2</v>
      </c>
      <c r="CT124" s="475">
        <v>5.5E-2</v>
      </c>
      <c r="CU124" s="475">
        <v>5.6000000000000001E-2</v>
      </c>
      <c r="CV124" s="475">
        <v>5.6000000000000001E-2</v>
      </c>
      <c r="CW124" s="475">
        <v>5.1999999999999998E-2</v>
      </c>
      <c r="CX124" s="1269">
        <f>CX123/CX94</f>
        <v>5.4721516751115445E-2</v>
      </c>
      <c r="CY124" s="1623"/>
      <c r="DA124" s="871"/>
      <c r="DB124" s="653"/>
      <c r="DC124" s="653"/>
    </row>
    <row r="125" spans="1:107" ht="11.25" hidden="1" customHeight="1" outlineLevel="2">
      <c r="A125" s="392"/>
      <c r="B125" s="114"/>
      <c r="C125" s="116"/>
      <c r="D125" s="117"/>
      <c r="E125" s="117"/>
      <c r="F125" s="118"/>
      <c r="G125" s="119"/>
      <c r="H125" s="116"/>
      <c r="I125" s="117"/>
      <c r="J125" s="117"/>
      <c r="K125" s="118"/>
      <c r="L125" s="116"/>
      <c r="M125" s="116"/>
      <c r="N125" s="117"/>
      <c r="O125" s="117"/>
      <c r="P125" s="118"/>
      <c r="Q125" s="119"/>
      <c r="R125" s="117"/>
      <c r="S125" s="117"/>
      <c r="T125" s="117"/>
      <c r="U125" s="117"/>
      <c r="V125" s="119"/>
      <c r="W125" s="117"/>
      <c r="X125" s="117"/>
      <c r="Y125" s="117"/>
      <c r="Z125" s="117"/>
      <c r="AA125" s="119"/>
      <c r="AB125" s="117"/>
      <c r="AC125" s="117"/>
      <c r="AD125" s="117"/>
      <c r="AE125" s="117"/>
      <c r="AF125" s="119"/>
      <c r="AG125" s="121"/>
      <c r="AH125" s="121"/>
      <c r="AI125" s="121"/>
      <c r="AJ125" s="121"/>
      <c r="AK125" s="119"/>
      <c r="AL125" s="121"/>
      <c r="AM125" s="121"/>
      <c r="AN125" s="121"/>
      <c r="AO125" s="121"/>
      <c r="AP125" s="119"/>
      <c r="AQ125" s="1113"/>
      <c r="AR125" s="1113"/>
      <c r="AS125" s="1113"/>
      <c r="AT125" s="1136"/>
      <c r="AU125" s="1137"/>
      <c r="AV125" s="1113"/>
      <c r="AW125" s="1113"/>
      <c r="AX125" s="1113"/>
      <c r="AY125" s="1136"/>
      <c r="AZ125" s="1137"/>
      <c r="BA125" s="1295"/>
      <c r="BB125" s="1295"/>
      <c r="BC125" s="1295"/>
      <c r="BD125" s="1136"/>
      <c r="BE125" s="1137"/>
      <c r="BF125" s="1295"/>
      <c r="BG125" s="1056"/>
      <c r="BH125" s="1056"/>
      <c r="BI125" s="1136"/>
      <c r="BJ125" s="1137"/>
      <c r="BK125" s="1056"/>
      <c r="BL125" s="1056"/>
      <c r="BM125" s="1056"/>
      <c r="BN125" s="1056"/>
      <c r="BO125" s="1268"/>
      <c r="BP125" s="1056"/>
      <c r="BQ125" s="1056"/>
      <c r="BR125" s="1056"/>
      <c r="BS125" s="1056"/>
      <c r="BT125" s="1268"/>
      <c r="BU125" s="1056"/>
      <c r="BV125" s="1056"/>
      <c r="BW125" s="1056"/>
      <c r="BX125" s="1056"/>
      <c r="BY125" s="1268"/>
      <c r="BZ125" s="1056"/>
      <c r="CA125" s="1056"/>
      <c r="CB125" s="1056"/>
      <c r="CC125" s="1056"/>
      <c r="CD125" s="1137"/>
      <c r="CE125" s="1295"/>
      <c r="CF125" s="1295"/>
      <c r="CG125" s="1295"/>
      <c r="CH125" s="1295"/>
      <c r="CI125" s="1137"/>
      <c r="CJ125" s="1056"/>
      <c r="CK125" s="1056"/>
      <c r="CL125" s="1056"/>
      <c r="CM125" s="1056"/>
      <c r="CN125" s="1268"/>
      <c r="CO125" s="1056"/>
      <c r="CP125" s="1056"/>
      <c r="CQ125" s="1056"/>
      <c r="CR125" s="1056"/>
      <c r="CS125" s="1268"/>
      <c r="CT125" s="1056"/>
      <c r="CU125" s="1056"/>
      <c r="CV125" s="1056"/>
      <c r="CW125" s="1056"/>
      <c r="CX125" s="1268"/>
      <c r="CY125" s="1719"/>
      <c r="DA125" s="126"/>
      <c r="DB125" s="117"/>
      <c r="DC125" s="117"/>
    </row>
    <row r="126" spans="1:107" ht="11.25" hidden="1" customHeight="1" outlineLevel="2">
      <c r="A126" s="457" t="s">
        <v>80</v>
      </c>
      <c r="B126" s="458"/>
      <c r="C126" s="459"/>
      <c r="D126" s="460"/>
      <c r="E126" s="460"/>
      <c r="F126" s="461"/>
      <c r="G126" s="462"/>
      <c r="H126" s="459"/>
      <c r="I126" s="460"/>
      <c r="J126" s="460"/>
      <c r="K126" s="461"/>
      <c r="L126" s="459"/>
      <c r="M126" s="459"/>
      <c r="N126" s="460"/>
      <c r="O126" s="460"/>
      <c r="P126" s="461"/>
      <c r="Q126" s="462"/>
      <c r="R126" s="460"/>
      <c r="S126" s="460"/>
      <c r="T126" s="460"/>
      <c r="U126" s="460"/>
      <c r="V126" s="463"/>
      <c r="W126" s="464"/>
      <c r="X126" s="464"/>
      <c r="Y126" s="464"/>
      <c r="Z126" s="458"/>
      <c r="AA126" s="465"/>
      <c r="AB126" s="464"/>
      <c r="AC126" s="464"/>
      <c r="AD126" s="464"/>
      <c r="AE126" s="464"/>
      <c r="AF126" s="465"/>
      <c r="AG126" s="458"/>
      <c r="AH126" s="458"/>
      <c r="AI126" s="458"/>
      <c r="AJ126" s="458"/>
      <c r="AK126" s="465"/>
      <c r="AL126" s="458"/>
      <c r="AM126" s="458"/>
      <c r="AN126" s="458"/>
      <c r="AO126" s="458"/>
      <c r="AP126" s="465"/>
      <c r="AQ126" s="458">
        <v>6.3</v>
      </c>
      <c r="AR126" s="458">
        <v>6.3</v>
      </c>
      <c r="AS126" s="458">
        <v>5.6</v>
      </c>
      <c r="AT126" s="458">
        <v>5.3</v>
      </c>
      <c r="AU126" s="465">
        <f>SUM(AQ126:AT126)</f>
        <v>23.5</v>
      </c>
      <c r="AV126" s="458">
        <v>4.5999999999999996</v>
      </c>
      <c r="AW126" s="458">
        <v>5.0999999999999996</v>
      </c>
      <c r="AX126" s="458">
        <v>4.9000000000000004</v>
      </c>
      <c r="AY126" s="458">
        <v>5.7</v>
      </c>
      <c r="AZ126" s="465">
        <f>SUM(AV126:AY126)</f>
        <v>20.3</v>
      </c>
      <c r="BA126" s="458">
        <v>5.8</v>
      </c>
      <c r="BB126" s="458">
        <v>5</v>
      </c>
      <c r="BC126" s="458">
        <v>5</v>
      </c>
      <c r="BD126" s="458">
        <v>6.6</v>
      </c>
      <c r="BE126" s="465">
        <f>SUM(BA126:BD126)</f>
        <v>22.4</v>
      </c>
      <c r="BF126" s="458">
        <f>BF127*BF98</f>
        <v>5.9838465478547844</v>
      </c>
      <c r="BG126" s="466">
        <f>BG127*BG98</f>
        <v>6.2272051199999989</v>
      </c>
      <c r="BH126" s="466">
        <f>BH127*BH98</f>
        <v>6.1026610175999991</v>
      </c>
      <c r="BI126" s="458">
        <f>BI127*BI98</f>
        <v>6.2247142379519982</v>
      </c>
      <c r="BJ126" s="465">
        <f>SUM(BF126:BI126)</f>
        <v>24.538426923406782</v>
      </c>
      <c r="BK126" s="466">
        <f>BK127*BK98</f>
        <v>6.1624670955724783</v>
      </c>
      <c r="BL126" s="466">
        <f>BL127*BL98</f>
        <v>6.3165287729617896</v>
      </c>
      <c r="BM126" s="466">
        <f>BM127*BM98</f>
        <v>6.4744419922858336</v>
      </c>
      <c r="BN126" s="466">
        <f>BN127*BN98</f>
        <v>6.7657918819386955</v>
      </c>
      <c r="BO126" s="467">
        <f>SUM(BK126:BN126)</f>
        <v>25.719229742758799</v>
      </c>
      <c r="BP126" s="466">
        <f>BP127*BP98</f>
        <v>6.5763497092444112</v>
      </c>
      <c r="BQ126" s="466">
        <f>BQ127*BQ98</f>
        <v>6.7078767034292994</v>
      </c>
      <c r="BR126" s="466">
        <f>BR127*BR98</f>
        <v>6.7078767034292994</v>
      </c>
      <c r="BS126" s="466">
        <f>BS127*BS98</f>
        <v>6.8420342374978853</v>
      </c>
      <c r="BT126" s="467">
        <f>SUM(BP126:BS126)</f>
        <v>26.834137353600894</v>
      </c>
      <c r="BU126" s="466">
        <f>BU127*BU98</f>
        <v>6.650457278847945</v>
      </c>
      <c r="BV126" s="466">
        <f>BV127*BV98</f>
        <v>6.7834664244249039</v>
      </c>
      <c r="BW126" s="466">
        <f>BW127*BW98</f>
        <v>6.7834664244249039</v>
      </c>
      <c r="BX126" s="466">
        <f>BX127*BX98</f>
        <v>6.9191357529134017</v>
      </c>
      <c r="BY126" s="467">
        <f>SUM(BU126:BX126)</f>
        <v>27.136525880611156</v>
      </c>
      <c r="BZ126" s="466">
        <f>BZ127*BZ98</f>
        <v>6.7253999518318262</v>
      </c>
      <c r="CA126" s="466">
        <f>CA127*CA98</f>
        <v>6.8599079508684628</v>
      </c>
      <c r="CB126" s="466">
        <f>CB127*CB98</f>
        <v>6.8599079508684628</v>
      </c>
      <c r="CC126" s="466">
        <f>CC127*CC98</f>
        <v>6.9971061098858316</v>
      </c>
      <c r="CD126" s="465">
        <f>SUM(BZ126:CC126)</f>
        <v>27.442321963454585</v>
      </c>
      <c r="CE126" s="458">
        <f>CE127*CE98</f>
        <v>6.8011871388090288</v>
      </c>
      <c r="CF126" s="458">
        <f>CF127*CF98</f>
        <v>6.9372108815852087</v>
      </c>
      <c r="CG126" s="458">
        <f>CG127*CG98</f>
        <v>6.9372108815852087</v>
      </c>
      <c r="CH126" s="458">
        <f>CH127*CH98</f>
        <v>7.0759550992169133</v>
      </c>
      <c r="CI126" s="465">
        <f>SUM(CE126:CH126)</f>
        <v>27.751564001196357</v>
      </c>
      <c r="CJ126" s="466">
        <f>CJ127*CJ98</f>
        <v>6.8778283564388394</v>
      </c>
      <c r="CK126" s="466">
        <f>CK127*CK98</f>
        <v>7.0153849235676162</v>
      </c>
      <c r="CL126" s="466">
        <f>CL127*CL98</f>
        <v>7.0153849235676162</v>
      </c>
      <c r="CM126" s="466">
        <f>CM127*CM98</f>
        <v>7.1556926220389689</v>
      </c>
      <c r="CN126" s="467">
        <f>SUM(CJ126:CM126)</f>
        <v>28.064290825613043</v>
      </c>
      <c r="CO126" s="466">
        <f>CO127*CO98</f>
        <v>6.9553332286218774</v>
      </c>
      <c r="CP126" s="466">
        <f>CP127*CP98</f>
        <v>7.0944398931943153</v>
      </c>
      <c r="CQ126" s="466">
        <f>CQ127*CQ98</f>
        <v>7.0944398931943153</v>
      </c>
      <c r="CR126" s="466">
        <f>CR127*CR98</f>
        <v>7.2363286910582021</v>
      </c>
      <c r="CS126" s="467">
        <f>SUM(CO126:CR126)</f>
        <v>28.380541706068708</v>
      </c>
      <c r="CT126" s="466">
        <f>CT127*CT98</f>
        <v>7.0337114877085725</v>
      </c>
      <c r="CU126" s="466">
        <f>CU127*CU98</f>
        <v>7.1743857174627435</v>
      </c>
      <c r="CV126" s="466">
        <f>CV127*CV98</f>
        <v>7.1743857174627435</v>
      </c>
      <c r="CW126" s="466">
        <f>CW127*CW98</f>
        <v>7.3178734318119991</v>
      </c>
      <c r="CX126" s="467">
        <f>SUM(CT126:CW126)</f>
        <v>28.700356354446061</v>
      </c>
      <c r="CY126" s="466"/>
      <c r="DA126" s="126"/>
      <c r="DB126" s="460"/>
      <c r="DC126" s="460"/>
    </row>
    <row r="127" spans="1:107" ht="11.25" hidden="1" customHeight="1" outlineLevel="2">
      <c r="A127" s="468" t="s">
        <v>275</v>
      </c>
      <c r="B127" s="652"/>
      <c r="C127" s="1280"/>
      <c r="D127" s="653"/>
      <c r="E127" s="653"/>
      <c r="F127" s="1281"/>
      <c r="G127" s="870"/>
      <c r="H127" s="1280"/>
      <c r="I127" s="653"/>
      <c r="J127" s="653"/>
      <c r="K127" s="1281"/>
      <c r="L127" s="1280"/>
      <c r="M127" s="1280"/>
      <c r="N127" s="653"/>
      <c r="O127" s="653"/>
      <c r="P127" s="1281"/>
      <c r="Q127" s="870"/>
      <c r="R127" s="653"/>
      <c r="S127" s="653"/>
      <c r="T127" s="653"/>
      <c r="U127" s="653"/>
      <c r="V127" s="870"/>
      <c r="W127" s="653"/>
      <c r="X127" s="653"/>
      <c r="Y127" s="653"/>
      <c r="Z127" s="653"/>
      <c r="AA127" s="870"/>
      <c r="AB127" s="653"/>
      <c r="AC127" s="653"/>
      <c r="AD127" s="653"/>
      <c r="AE127" s="653"/>
      <c r="AF127" s="870"/>
      <c r="AG127" s="1282"/>
      <c r="AH127" s="1282"/>
      <c r="AI127" s="1282"/>
      <c r="AJ127" s="1282"/>
      <c r="AK127" s="870"/>
      <c r="AL127" s="1282"/>
      <c r="AM127" s="1282"/>
      <c r="AN127" s="1282"/>
      <c r="AO127" s="1282"/>
      <c r="AP127" s="870"/>
      <c r="AQ127" s="507">
        <f t="shared" ref="AQ127:BD127" si="179">AQ126/AQ98</f>
        <v>4.2028018679119407E-2</v>
      </c>
      <c r="AR127" s="507">
        <f t="shared" si="179"/>
        <v>4.5718432510885337E-2</v>
      </c>
      <c r="AS127" s="507">
        <f t="shared" si="179"/>
        <v>4.0550325850832729E-2</v>
      </c>
      <c r="AT127" s="507">
        <f t="shared" si="179"/>
        <v>4.021244309559939E-2</v>
      </c>
      <c r="AU127" s="1266">
        <f t="shared" si="179"/>
        <v>4.2144906743185072E-2</v>
      </c>
      <c r="AV127" s="507">
        <f t="shared" si="179"/>
        <v>2.7727546714888484E-2</v>
      </c>
      <c r="AW127" s="507">
        <f t="shared" si="179"/>
        <v>3.2692307692307687E-2</v>
      </c>
      <c r="AX127" s="507">
        <f t="shared" si="179"/>
        <v>3.0135301353013535E-2</v>
      </c>
      <c r="AY127" s="507">
        <f t="shared" si="179"/>
        <v>3.3549146556798116E-2</v>
      </c>
      <c r="AZ127" s="1266">
        <f t="shared" si="179"/>
        <v>3.102078239608802E-2</v>
      </c>
      <c r="BA127" s="507">
        <f t="shared" si="179"/>
        <v>3.1903190319031903E-2</v>
      </c>
      <c r="BB127" s="507">
        <f t="shared" si="179"/>
        <v>2.7472527472527472E-2</v>
      </c>
      <c r="BC127" s="507">
        <f t="shared" si="179"/>
        <v>2.8636884306987402E-2</v>
      </c>
      <c r="BD127" s="507">
        <f t="shared" si="179"/>
        <v>3.2721864154685178E-2</v>
      </c>
      <c r="BE127" s="1266">
        <f>BE126/BE98</f>
        <v>3.0266180245912717E-2</v>
      </c>
      <c r="BF127" s="469">
        <f>BA127-0.001</f>
        <v>3.0903190319031902E-2</v>
      </c>
      <c r="BG127" s="475">
        <v>3.2000000000000001E-2</v>
      </c>
      <c r="BH127" s="475">
        <v>3.2000000000000001E-2</v>
      </c>
      <c r="BI127" s="507">
        <v>3.2000000000000001E-2</v>
      </c>
      <c r="BJ127" s="1266">
        <f>BJ126/BJ98</f>
        <v>3.172541989482331E-2</v>
      </c>
      <c r="BK127" s="475">
        <v>3.2000000000000001E-2</v>
      </c>
      <c r="BL127" s="475">
        <v>3.2000000000000001E-2</v>
      </c>
      <c r="BM127" s="475">
        <v>3.2000000000000001E-2</v>
      </c>
      <c r="BN127" s="475">
        <v>3.2000000000000001E-2</v>
      </c>
      <c r="BO127" s="476">
        <f>BO126/BO98</f>
        <v>3.2000000000000008E-2</v>
      </c>
      <c r="BP127" s="475">
        <v>3.2000000000000001E-2</v>
      </c>
      <c r="BQ127" s="475">
        <v>3.2000000000000001E-2</v>
      </c>
      <c r="BR127" s="475">
        <v>3.2000000000000001E-2</v>
      </c>
      <c r="BS127" s="475">
        <v>3.2000000000000001E-2</v>
      </c>
      <c r="BT127" s="476">
        <f>BT126/BT98</f>
        <v>3.1999999999999994E-2</v>
      </c>
      <c r="BU127" s="475">
        <v>3.2000000000000001E-2</v>
      </c>
      <c r="BV127" s="475">
        <v>3.2000000000000001E-2</v>
      </c>
      <c r="BW127" s="475">
        <v>3.2000000000000001E-2</v>
      </c>
      <c r="BX127" s="475">
        <v>3.2000000000000001E-2</v>
      </c>
      <c r="BY127" s="476">
        <f>BY126/BY98</f>
        <v>3.2000000000000008E-2</v>
      </c>
      <c r="BZ127" s="475">
        <v>3.2000000000000001E-2</v>
      </c>
      <c r="CA127" s="475">
        <v>3.2000000000000001E-2</v>
      </c>
      <c r="CB127" s="475">
        <v>3.2000000000000001E-2</v>
      </c>
      <c r="CC127" s="475">
        <v>3.2000000000000001E-2</v>
      </c>
      <c r="CD127" s="472">
        <f>CD126/CD98</f>
        <v>3.2000000000000001E-2</v>
      </c>
      <c r="CE127" s="469">
        <v>3.2000000000000001E-2</v>
      </c>
      <c r="CF127" s="469">
        <v>3.2000000000000001E-2</v>
      </c>
      <c r="CG127" s="469">
        <v>3.2000000000000001E-2</v>
      </c>
      <c r="CH127" s="469">
        <v>3.2000000000000001E-2</v>
      </c>
      <c r="CI127" s="472">
        <f>CI126/CI98</f>
        <v>3.2000000000000001E-2</v>
      </c>
      <c r="CJ127" s="475">
        <v>3.2000000000000001E-2</v>
      </c>
      <c r="CK127" s="475">
        <v>3.2000000000000001E-2</v>
      </c>
      <c r="CL127" s="475">
        <v>3.2000000000000001E-2</v>
      </c>
      <c r="CM127" s="475">
        <v>3.2000000000000001E-2</v>
      </c>
      <c r="CN127" s="476">
        <f>CN126/CN98</f>
        <v>3.2000000000000001E-2</v>
      </c>
      <c r="CO127" s="475">
        <v>3.2000000000000001E-2</v>
      </c>
      <c r="CP127" s="475">
        <v>3.2000000000000001E-2</v>
      </c>
      <c r="CQ127" s="475">
        <v>3.2000000000000001E-2</v>
      </c>
      <c r="CR127" s="475">
        <v>3.2000000000000001E-2</v>
      </c>
      <c r="CS127" s="476">
        <f>CS126/CS98</f>
        <v>3.2000000000000001E-2</v>
      </c>
      <c r="CT127" s="475">
        <v>3.2000000000000001E-2</v>
      </c>
      <c r="CU127" s="475">
        <v>3.2000000000000001E-2</v>
      </c>
      <c r="CV127" s="475">
        <v>3.2000000000000001E-2</v>
      </c>
      <c r="CW127" s="475">
        <v>3.2000000000000001E-2</v>
      </c>
      <c r="CX127" s="476">
        <f>CX126/CX98</f>
        <v>3.2000000000000008E-2</v>
      </c>
      <c r="CY127" s="475"/>
      <c r="DA127" s="871"/>
      <c r="DB127" s="653"/>
      <c r="DC127" s="653"/>
    </row>
    <row r="128" spans="1:107" ht="11.25" hidden="1" customHeight="1" outlineLevel="2">
      <c r="A128" s="392"/>
      <c r="B128" s="114"/>
      <c r="C128" s="116"/>
      <c r="D128" s="117"/>
      <c r="E128" s="117"/>
      <c r="F128" s="118"/>
      <c r="G128" s="119"/>
      <c r="H128" s="116"/>
      <c r="I128" s="117"/>
      <c r="J128" s="117"/>
      <c r="K128" s="118"/>
      <c r="L128" s="116"/>
      <c r="M128" s="116"/>
      <c r="N128" s="117"/>
      <c r="O128" s="117"/>
      <c r="P128" s="118"/>
      <c r="Q128" s="119"/>
      <c r="R128" s="117"/>
      <c r="S128" s="117"/>
      <c r="T128" s="117"/>
      <c r="U128" s="117"/>
      <c r="V128" s="119"/>
      <c r="W128" s="117"/>
      <c r="X128" s="117"/>
      <c r="Y128" s="117"/>
      <c r="Z128" s="117"/>
      <c r="AA128" s="119"/>
      <c r="AB128" s="117"/>
      <c r="AC128" s="117"/>
      <c r="AD128" s="117"/>
      <c r="AE128" s="117"/>
      <c r="AF128" s="119"/>
      <c r="AG128" s="121"/>
      <c r="AH128" s="121"/>
      <c r="AI128" s="121"/>
      <c r="AJ128" s="121"/>
      <c r="AK128" s="119"/>
      <c r="AL128" s="121"/>
      <c r="AM128" s="121"/>
      <c r="AN128" s="121"/>
      <c r="AO128" s="121"/>
      <c r="AP128" s="119"/>
      <c r="AQ128" s="1113"/>
      <c r="AR128" s="1113"/>
      <c r="AS128" s="1113"/>
      <c r="AT128" s="1136"/>
      <c r="AU128" s="1137"/>
      <c r="AV128" s="1113"/>
      <c r="AW128" s="1113"/>
      <c r="AX128" s="1113"/>
      <c r="AY128" s="1136"/>
      <c r="AZ128" s="1137"/>
      <c r="BA128" s="1295"/>
      <c r="BB128" s="1295"/>
      <c r="BC128" s="1295"/>
      <c r="BD128" s="1136"/>
      <c r="BE128" s="1137"/>
      <c r="BF128" s="1295"/>
      <c r="BG128" s="1056"/>
      <c r="BH128" s="1056"/>
      <c r="BI128" s="1136"/>
      <c r="BJ128" s="1137"/>
      <c r="BK128" s="1056"/>
      <c r="BL128" s="1056"/>
      <c r="BM128" s="1056"/>
      <c r="BN128" s="1056"/>
      <c r="BO128" s="1268"/>
      <c r="BP128" s="1056"/>
      <c r="BQ128" s="1056"/>
      <c r="BR128" s="1056"/>
      <c r="BS128" s="1056"/>
      <c r="BT128" s="1268"/>
      <c r="BU128" s="1056"/>
      <c r="BV128" s="1056"/>
      <c r="BW128" s="1056"/>
      <c r="BX128" s="1056"/>
      <c r="BY128" s="1268"/>
      <c r="BZ128" s="1056"/>
      <c r="CA128" s="1056"/>
      <c r="CB128" s="1056"/>
      <c r="CC128" s="1056"/>
      <c r="CD128" s="1137"/>
      <c r="CE128" s="1295"/>
      <c r="CF128" s="1295"/>
      <c r="CG128" s="1295"/>
      <c r="CH128" s="1295"/>
      <c r="CI128" s="1137"/>
      <c r="CJ128" s="1056"/>
      <c r="CK128" s="1056"/>
      <c r="CL128" s="1056"/>
      <c r="CM128" s="1056"/>
      <c r="CN128" s="1268"/>
      <c r="CO128" s="1056"/>
      <c r="CP128" s="1056"/>
      <c r="CQ128" s="1056"/>
      <c r="CR128" s="1056"/>
      <c r="CS128" s="1268"/>
      <c r="CT128" s="1056"/>
      <c r="CU128" s="1056"/>
      <c r="CV128" s="1056"/>
      <c r="CW128" s="1056"/>
      <c r="CX128" s="1268"/>
      <c r="CY128" s="1719"/>
      <c r="DA128" s="126"/>
      <c r="DB128" s="117"/>
      <c r="DC128" s="117"/>
    </row>
    <row r="129" spans="1:107" ht="11.25" hidden="1" customHeight="1" outlineLevel="2">
      <c r="A129" s="457" t="s">
        <v>65</v>
      </c>
      <c r="B129" s="458"/>
      <c r="C129" s="459"/>
      <c r="D129" s="460"/>
      <c r="E129" s="460"/>
      <c r="F129" s="461"/>
      <c r="G129" s="462"/>
      <c r="H129" s="459"/>
      <c r="I129" s="460"/>
      <c r="J129" s="460"/>
      <c r="K129" s="461"/>
      <c r="L129" s="459"/>
      <c r="M129" s="459"/>
      <c r="N129" s="460"/>
      <c r="O129" s="460"/>
      <c r="P129" s="461"/>
      <c r="Q129" s="462"/>
      <c r="R129" s="460"/>
      <c r="S129" s="460"/>
      <c r="T129" s="460"/>
      <c r="U129" s="460"/>
      <c r="V129" s="463"/>
      <c r="W129" s="464"/>
      <c r="X129" s="464"/>
      <c r="Y129" s="464"/>
      <c r="Z129" s="458"/>
      <c r="AA129" s="465"/>
      <c r="AB129" s="464"/>
      <c r="AC129" s="464"/>
      <c r="AD129" s="464"/>
      <c r="AE129" s="464"/>
      <c r="AF129" s="465"/>
      <c r="AG129" s="458"/>
      <c r="AH129" s="458"/>
      <c r="AI129" s="458"/>
      <c r="AJ129" s="458"/>
      <c r="AK129" s="465"/>
      <c r="AL129" s="458"/>
      <c r="AM129" s="458"/>
      <c r="AN129" s="458"/>
      <c r="AO129" s="458"/>
      <c r="AP129" s="465"/>
      <c r="AQ129" s="458">
        <v>16.899999999999999</v>
      </c>
      <c r="AR129" s="458">
        <v>15.9</v>
      </c>
      <c r="AS129" s="458">
        <v>15.2</v>
      </c>
      <c r="AT129" s="458">
        <v>16.7</v>
      </c>
      <c r="AU129" s="465">
        <f>SUM(AQ129:AT129)</f>
        <v>64.7</v>
      </c>
      <c r="AV129" s="458">
        <v>15.5</v>
      </c>
      <c r="AW129" s="458">
        <v>14.2</v>
      </c>
      <c r="AX129" s="458">
        <v>13.7</v>
      </c>
      <c r="AY129" s="458">
        <v>18.8</v>
      </c>
      <c r="AZ129" s="465">
        <f>SUM(AV129:AY129)</f>
        <v>62.2</v>
      </c>
      <c r="BA129" s="458">
        <v>26.5</v>
      </c>
      <c r="BB129" s="458">
        <v>25.3</v>
      </c>
      <c r="BC129" s="458">
        <v>28.8</v>
      </c>
      <c r="BD129" s="458">
        <v>28.9</v>
      </c>
      <c r="BE129" s="465">
        <f>SUM(BA129:BD129)</f>
        <v>109.5</v>
      </c>
      <c r="BF129" s="458">
        <f>BF130*BF104</f>
        <v>26.010671454640608</v>
      </c>
      <c r="BG129" s="466">
        <f>BG130*BG104</f>
        <v>33.253663545341652</v>
      </c>
      <c r="BH129" s="466">
        <f>BH130*BH104</f>
        <v>34.277293436392036</v>
      </c>
      <c r="BI129" s="458">
        <f>BI130*BI104</f>
        <v>37.823719850370765</v>
      </c>
      <c r="BJ129" s="465">
        <f>SUM(BF129:BI129)</f>
        <v>131.36534828674507</v>
      </c>
      <c r="BK129" s="466">
        <f>BK130*BK104</f>
        <v>37.773254650865141</v>
      </c>
      <c r="BL129" s="466">
        <f>BL130*BL104</f>
        <v>36.454910265756929</v>
      </c>
      <c r="BM129" s="466">
        <f>BM130*BM104</f>
        <v>38.029416251214244</v>
      </c>
      <c r="BN129" s="466">
        <f>BN130*BN104</f>
        <v>42.286185853955452</v>
      </c>
      <c r="BO129" s="467">
        <f>SUM(BK129:BN129)</f>
        <v>154.54376702179175</v>
      </c>
      <c r="BP129" s="466">
        <f>BP130*BP104</f>
        <v>39.848045821756813</v>
      </c>
      <c r="BQ129" s="466">
        <f>BQ130*BQ104</f>
        <v>38.171766875788627</v>
      </c>
      <c r="BR129" s="466">
        <f>BR130*BR104</f>
        <v>39.166984501721146</v>
      </c>
      <c r="BS129" s="466">
        <f>BS130*BS104</f>
        <v>42.510779402429293</v>
      </c>
      <c r="BT129" s="467">
        <f>SUM(BP129:BS129)</f>
        <v>159.69757660169586</v>
      </c>
      <c r="BU129" s="466">
        <f>BU130*BU104</f>
        <v>40.063320557560047</v>
      </c>
      <c r="BV129" s="466">
        <f>BV130*BV104</f>
        <v>38.37872863130093</v>
      </c>
      <c r="BW129" s="466">
        <f>BW130*BW104</f>
        <v>39.37934218212343</v>
      </c>
      <c r="BX129" s="466">
        <f>BX130*BX104</f>
        <v>42.739622581859393</v>
      </c>
      <c r="BY129" s="467">
        <f>SUM(BU129:BX129)</f>
        <v>160.56101395284378</v>
      </c>
      <c r="BZ129" s="466">
        <f>BZ130*BZ104</f>
        <v>40.282616042492947</v>
      </c>
      <c r="CA129" s="466">
        <f>CA130*CA104</f>
        <v>38.589545299286598</v>
      </c>
      <c r="CB129" s="466">
        <f>CB130*CB104</f>
        <v>39.59565528061237</v>
      </c>
      <c r="CC129" s="466">
        <f>CC130*CC104</f>
        <v>42.972751554443619</v>
      </c>
      <c r="CD129" s="465">
        <f>SUM(BZ129:CC129)</f>
        <v>161.44056817683554</v>
      </c>
      <c r="CE129" s="458">
        <f>CE130*CE104</f>
        <v>40.505966704632868</v>
      </c>
      <c r="CF129" s="458">
        <f>CF130*CF104</f>
        <v>38.804249931349972</v>
      </c>
      <c r="CG129" s="458">
        <f>CG130*CG104</f>
        <v>39.815957710516592</v>
      </c>
      <c r="CH129" s="458">
        <f>CH130*CH104</f>
        <v>43.21020296988533</v>
      </c>
      <c r="CI129" s="465">
        <f>SUM(CE129:CH129)</f>
        <v>162.33637731638476</v>
      </c>
      <c r="CJ129" s="466">
        <f>CJ130*CJ104</f>
        <v>40.733407434255476</v>
      </c>
      <c r="CK129" s="466">
        <f>CK130*CK104</f>
        <v>39.02287602242378</v>
      </c>
      <c r="CL129" s="466">
        <f>CL130*CL104</f>
        <v>40.040283840051643</v>
      </c>
      <c r="CM129" s="466">
        <f>CM130*CM104</f>
        <v>43.452013970341206</v>
      </c>
      <c r="CN129" s="467">
        <f>SUM(CJ129:CM129)</f>
        <v>163.2485812670721</v>
      </c>
      <c r="CO129" s="466">
        <f>CO130*CO104</f>
        <v>40.964973588536736</v>
      </c>
      <c r="CP129" s="466">
        <f>CP130*CP104</f>
        <v>39.245457515281366</v>
      </c>
      <c r="CQ129" s="466">
        <f>CQ130*CQ104</f>
        <v>40.268668496949786</v>
      </c>
      <c r="CR129" s="466">
        <f>CR130*CR104</f>
        <v>43.6982221954285</v>
      </c>
      <c r="CS129" s="467">
        <f>SUM(CO129:CR129)</f>
        <v>164.1773217961964</v>
      </c>
      <c r="CT129" s="466">
        <f>CT130*CT104</f>
        <v>41.200700996311291</v>
      </c>
      <c r="CU129" s="466">
        <f>CU130*CU104</f>
        <v>39.472028805102994</v>
      </c>
      <c r="CV129" s="466">
        <f>CV130*CV104</f>
        <v>40.501146973145431</v>
      </c>
      <c r="CW129" s="466">
        <f>CW130*CW104</f>
        <v>43.948865787292434</v>
      </c>
      <c r="CX129" s="467">
        <f>SUM(CT129:CW129)</f>
        <v>165.12274256185214</v>
      </c>
      <c r="CY129" s="466"/>
      <c r="DA129" s="126"/>
      <c r="DB129" s="460"/>
      <c r="DC129" s="460"/>
    </row>
    <row r="130" spans="1:107" ht="11.25" hidden="1" customHeight="1" outlineLevel="2">
      <c r="A130" s="468" t="s">
        <v>275</v>
      </c>
      <c r="B130" s="652"/>
      <c r="C130" s="1280"/>
      <c r="D130" s="653"/>
      <c r="E130" s="653"/>
      <c r="F130" s="1281"/>
      <c r="G130" s="870"/>
      <c r="H130" s="1280"/>
      <c r="I130" s="653"/>
      <c r="J130" s="653"/>
      <c r="K130" s="1281"/>
      <c r="L130" s="1280"/>
      <c r="M130" s="1280"/>
      <c r="N130" s="653"/>
      <c r="O130" s="653"/>
      <c r="P130" s="1281"/>
      <c r="Q130" s="870"/>
      <c r="R130" s="653"/>
      <c r="S130" s="653"/>
      <c r="T130" s="653"/>
      <c r="U130" s="653"/>
      <c r="V130" s="870"/>
      <c r="W130" s="653"/>
      <c r="X130" s="653"/>
      <c r="Y130" s="653"/>
      <c r="Z130" s="653"/>
      <c r="AA130" s="870"/>
      <c r="AB130" s="653"/>
      <c r="AC130" s="653"/>
      <c r="AD130" s="653"/>
      <c r="AE130" s="653"/>
      <c r="AF130" s="870"/>
      <c r="AG130" s="1282"/>
      <c r="AH130" s="1282"/>
      <c r="AI130" s="1282"/>
      <c r="AJ130" s="1282"/>
      <c r="AK130" s="870"/>
      <c r="AL130" s="1282"/>
      <c r="AM130" s="1282"/>
      <c r="AN130" s="1282"/>
      <c r="AO130" s="1282"/>
      <c r="AP130" s="870"/>
      <c r="AQ130" s="507">
        <f t="shared" ref="AQ130:BD130" si="180">AQ129/AQ104</f>
        <v>7.4679628811312404E-2</v>
      </c>
      <c r="AR130" s="507">
        <f t="shared" si="180"/>
        <v>7.6112972714217325E-2</v>
      </c>
      <c r="AS130" s="507">
        <f t="shared" si="180"/>
        <v>7.2623029144768272E-2</v>
      </c>
      <c r="AT130" s="507">
        <f t="shared" si="180"/>
        <v>7.9146919431279619E-2</v>
      </c>
      <c r="AU130" s="1266">
        <f t="shared" si="180"/>
        <v>7.5628287551139692E-2</v>
      </c>
      <c r="AV130" s="507">
        <f t="shared" si="180"/>
        <v>6.3316993464052285E-2</v>
      </c>
      <c r="AW130" s="507">
        <f t="shared" si="180"/>
        <v>6.1233290211297968E-2</v>
      </c>
      <c r="AX130" s="507">
        <f t="shared" si="180"/>
        <v>5.3494728621632168E-2</v>
      </c>
      <c r="AY130" s="507">
        <f t="shared" si="180"/>
        <v>6.8788876692279552E-2</v>
      </c>
      <c r="AZ130" s="1266">
        <f t="shared" si="180"/>
        <v>6.1822880429380771E-2</v>
      </c>
      <c r="BA130" s="507">
        <f t="shared" si="180"/>
        <v>9.2463363572923923E-2</v>
      </c>
      <c r="BB130" s="507">
        <f t="shared" si="180"/>
        <v>8.9241622574955909E-2</v>
      </c>
      <c r="BC130" s="507">
        <f t="shared" si="180"/>
        <v>0.10650887573964499</v>
      </c>
      <c r="BD130" s="507">
        <f t="shared" si="180"/>
        <v>8.4404205607476634E-2</v>
      </c>
      <c r="BE130" s="1266">
        <f>BE129/BE104</f>
        <v>9.2569109814861772E-2</v>
      </c>
      <c r="BF130" s="469">
        <f>BA130-0.001</f>
        <v>9.1463363572923922E-2</v>
      </c>
      <c r="BG130" s="475">
        <v>0.11728171963298591</v>
      </c>
      <c r="BH130" s="475">
        <v>0.12160759202328526</v>
      </c>
      <c r="BI130" s="507">
        <v>0.13031868225408708</v>
      </c>
      <c r="BJ130" s="1266">
        <f>BJ129/BJ104</f>
        <v>0.11522989462169927</v>
      </c>
      <c r="BK130" s="475">
        <v>0.13102293915705071</v>
      </c>
      <c r="BL130" s="475">
        <v>0.12324612672918141</v>
      </c>
      <c r="BM130" s="475">
        <v>0.12645941046445938</v>
      </c>
      <c r="BN130" s="475">
        <v>0.13413929168318675</v>
      </c>
      <c r="BO130" s="1269">
        <f>BO129/BO104</f>
        <v>0.12878114708703764</v>
      </c>
      <c r="BP130" s="475">
        <v>0.13102293915705071</v>
      </c>
      <c r="BQ130" s="475">
        <v>0.12324612672918141</v>
      </c>
      <c r="BR130" s="475">
        <v>0.12645941046445938</v>
      </c>
      <c r="BS130" s="475">
        <v>0.13413929168318675</v>
      </c>
      <c r="BT130" s="1269">
        <f>BT129/BT104</f>
        <v>0.12873800351840622</v>
      </c>
      <c r="BU130" s="475">
        <v>0.13102293915705071</v>
      </c>
      <c r="BV130" s="475">
        <v>0.12324612672918141</v>
      </c>
      <c r="BW130" s="475">
        <v>0.12645941046445938</v>
      </c>
      <c r="BX130" s="475">
        <v>0.13413929168318675</v>
      </c>
      <c r="BY130" s="1269">
        <f>BY129/BY104</f>
        <v>0.12873793959429639</v>
      </c>
      <c r="BZ130" s="475">
        <v>0.13102293915705071</v>
      </c>
      <c r="CA130" s="475">
        <v>0.12324612672918141</v>
      </c>
      <c r="CB130" s="475">
        <v>0.12645941046445938</v>
      </c>
      <c r="CC130" s="475">
        <v>0.13413929168318675</v>
      </c>
      <c r="CD130" s="1266">
        <f>CD129/CD104</f>
        <v>0.12873787608410983</v>
      </c>
      <c r="CE130" s="469">
        <v>0.13102293915705071</v>
      </c>
      <c r="CF130" s="469">
        <v>0.12324612672918141</v>
      </c>
      <c r="CG130" s="469">
        <v>0.12645941046445938</v>
      </c>
      <c r="CH130" s="469">
        <v>0.13413929168318675</v>
      </c>
      <c r="CI130" s="1266">
        <f>CI129/CI104</f>
        <v>0.1287378129940856</v>
      </c>
      <c r="CJ130" s="475">
        <v>0.13102293915705071</v>
      </c>
      <c r="CK130" s="475">
        <v>0.12324612672918141</v>
      </c>
      <c r="CL130" s="475">
        <v>0.12645941046445938</v>
      </c>
      <c r="CM130" s="475">
        <v>0.13413929168318675</v>
      </c>
      <c r="CN130" s="1269">
        <f>CN129/CN104</f>
        <v>0.12873775033024448</v>
      </c>
      <c r="CO130" s="475">
        <v>0.13102293915705071</v>
      </c>
      <c r="CP130" s="475">
        <v>0.12324612672918141</v>
      </c>
      <c r="CQ130" s="475">
        <v>0.12645941046445938</v>
      </c>
      <c r="CR130" s="475">
        <v>0.13413929168318675</v>
      </c>
      <c r="CS130" s="1269">
        <f>CS129/CS104</f>
        <v>0.12873768809838831</v>
      </c>
      <c r="CT130" s="475">
        <v>0.13102293915705071</v>
      </c>
      <c r="CU130" s="475">
        <v>0.12324612672918141</v>
      </c>
      <c r="CV130" s="475">
        <v>0.12645941046445938</v>
      </c>
      <c r="CW130" s="475">
        <v>0.13413929168318675</v>
      </c>
      <c r="CX130" s="1269">
        <f>CX129/CX104</f>
        <v>0.1287376263040993</v>
      </c>
      <c r="CY130" s="1623"/>
      <c r="DA130" s="871"/>
      <c r="DB130" s="653"/>
      <c r="DC130" s="653"/>
    </row>
    <row r="131" spans="1:107" ht="11.25" hidden="1" customHeight="1" outlineLevel="2">
      <c r="A131" s="392"/>
      <c r="B131" s="114"/>
      <c r="C131" s="116"/>
      <c r="D131" s="117"/>
      <c r="E131" s="117"/>
      <c r="F131" s="118"/>
      <c r="G131" s="119"/>
      <c r="H131" s="116"/>
      <c r="I131" s="117"/>
      <c r="J131" s="117"/>
      <c r="K131" s="118"/>
      <c r="L131" s="116"/>
      <c r="M131" s="116"/>
      <c r="N131" s="117"/>
      <c r="O131" s="117"/>
      <c r="P131" s="118"/>
      <c r="Q131" s="119"/>
      <c r="R131" s="117"/>
      <c r="S131" s="117"/>
      <c r="T131" s="117"/>
      <c r="U131" s="117"/>
      <c r="V131" s="119"/>
      <c r="W131" s="117"/>
      <c r="X131" s="117"/>
      <c r="Y131" s="117"/>
      <c r="Z131" s="117"/>
      <c r="AA131" s="119"/>
      <c r="AB131" s="117"/>
      <c r="AC131" s="117"/>
      <c r="AD131" s="117"/>
      <c r="AE131" s="117"/>
      <c r="AF131" s="119"/>
      <c r="AG131" s="121"/>
      <c r="AH131" s="121"/>
      <c r="AI131" s="121"/>
      <c r="AJ131" s="121"/>
      <c r="AK131" s="119"/>
      <c r="AL131" s="121"/>
      <c r="AM131" s="121"/>
      <c r="AN131" s="121"/>
      <c r="AO131" s="121"/>
      <c r="AP131" s="119"/>
      <c r="AQ131" s="1113"/>
      <c r="AR131" s="1113"/>
      <c r="AS131" s="1113"/>
      <c r="AT131" s="1136"/>
      <c r="AU131" s="1137"/>
      <c r="AV131" s="1113"/>
      <c r="AW131" s="1113"/>
      <c r="AX131" s="1113"/>
      <c r="AY131" s="1136"/>
      <c r="AZ131" s="1137"/>
      <c r="BA131" s="1295"/>
      <c r="BB131" s="1295"/>
      <c r="BC131" s="1295"/>
      <c r="BD131" s="1136"/>
      <c r="BE131" s="1137"/>
      <c r="BF131" s="1295"/>
      <c r="BG131" s="1056"/>
      <c r="BH131" s="1056"/>
      <c r="BI131" s="1136"/>
      <c r="BJ131" s="1137"/>
      <c r="BK131" s="1056"/>
      <c r="BL131" s="1056"/>
      <c r="BM131" s="1056"/>
      <c r="BN131" s="1056"/>
      <c r="BO131" s="1268"/>
      <c r="BP131" s="1056"/>
      <c r="BQ131" s="1056"/>
      <c r="BR131" s="1056"/>
      <c r="BS131" s="1056"/>
      <c r="BT131" s="1268"/>
      <c r="BU131" s="1056"/>
      <c r="BV131" s="1056"/>
      <c r="BW131" s="1056"/>
      <c r="BX131" s="1056"/>
      <c r="BY131" s="1268"/>
      <c r="BZ131" s="1056"/>
      <c r="CA131" s="1056"/>
      <c r="CB131" s="1056"/>
      <c r="CC131" s="1056"/>
      <c r="CD131" s="1137"/>
      <c r="CE131" s="1295"/>
      <c r="CF131" s="1295"/>
      <c r="CG131" s="1295"/>
      <c r="CH131" s="1295"/>
      <c r="CI131" s="1137"/>
      <c r="CJ131" s="1056"/>
      <c r="CK131" s="1056"/>
      <c r="CL131" s="1056"/>
      <c r="CM131" s="1056"/>
      <c r="CN131" s="1268"/>
      <c r="CO131" s="1056"/>
      <c r="CP131" s="1056"/>
      <c r="CQ131" s="1056"/>
      <c r="CR131" s="1056"/>
      <c r="CS131" s="1268"/>
      <c r="CT131" s="1056"/>
      <c r="CU131" s="1056"/>
      <c r="CV131" s="1056"/>
      <c r="CW131" s="1056"/>
      <c r="CX131" s="1268"/>
      <c r="CY131" s="1719"/>
      <c r="DA131" s="126"/>
      <c r="DB131" s="117"/>
      <c r="DC131" s="117"/>
    </row>
    <row r="132" spans="1:107" ht="11.25" hidden="1" customHeight="1" outlineLevel="2">
      <c r="A132" s="457" t="s">
        <v>201</v>
      </c>
      <c r="B132" s="458"/>
      <c r="C132" s="459"/>
      <c r="D132" s="460"/>
      <c r="E132" s="460"/>
      <c r="F132" s="461"/>
      <c r="G132" s="462"/>
      <c r="H132" s="459"/>
      <c r="I132" s="460"/>
      <c r="J132" s="460"/>
      <c r="K132" s="461"/>
      <c r="L132" s="459"/>
      <c r="M132" s="459"/>
      <c r="N132" s="460"/>
      <c r="O132" s="460"/>
      <c r="P132" s="461"/>
      <c r="Q132" s="462"/>
      <c r="R132" s="460"/>
      <c r="S132" s="460"/>
      <c r="T132" s="460"/>
      <c r="U132" s="460"/>
      <c r="V132" s="463"/>
      <c r="W132" s="464"/>
      <c r="X132" s="464"/>
      <c r="Y132" s="464"/>
      <c r="Z132" s="458"/>
      <c r="AA132" s="465"/>
      <c r="AB132" s="464"/>
      <c r="AC132" s="464"/>
      <c r="AD132" s="464"/>
      <c r="AE132" s="464"/>
      <c r="AF132" s="465"/>
      <c r="AG132" s="458"/>
      <c r="AH132" s="458"/>
      <c r="AI132" s="458"/>
      <c r="AJ132" s="458"/>
      <c r="AK132" s="465"/>
      <c r="AL132" s="458"/>
      <c r="AM132" s="458"/>
      <c r="AN132" s="458"/>
      <c r="AO132" s="458"/>
      <c r="AP132" s="465"/>
      <c r="AQ132" s="458">
        <v>3.4</v>
      </c>
      <c r="AR132" s="458">
        <v>3.7</v>
      </c>
      <c r="AS132" s="458">
        <v>3.6</v>
      </c>
      <c r="AT132" s="458">
        <v>19.3</v>
      </c>
      <c r="AU132" s="465">
        <f>SUM(AQ132:AT132)</f>
        <v>30</v>
      </c>
      <c r="AV132" s="458">
        <v>45.1</v>
      </c>
      <c r="AW132" s="458">
        <v>49.2</v>
      </c>
      <c r="AX132" s="458">
        <v>50</v>
      </c>
      <c r="AY132" s="458">
        <v>48.3</v>
      </c>
      <c r="AZ132" s="465">
        <f>SUM(AV132:AY132)</f>
        <v>192.60000000000002</v>
      </c>
      <c r="BA132" s="458">
        <v>47.8</v>
      </c>
      <c r="BB132" s="458">
        <v>47.3</v>
      </c>
      <c r="BC132" s="458">
        <v>47.1</v>
      </c>
      <c r="BD132" s="458">
        <v>49.3</v>
      </c>
      <c r="BE132" s="465">
        <f>SUM(BA132:BD132)</f>
        <v>191.5</v>
      </c>
      <c r="BF132" s="458">
        <f>BF133*BF108</f>
        <v>58.066746981965721</v>
      </c>
      <c r="BG132" s="466">
        <f>BG133*BG108</f>
        <v>57.312712131147528</v>
      </c>
      <c r="BH132" s="466">
        <f>BH133*BH108</f>
        <v>57.918464031472077</v>
      </c>
      <c r="BI132" s="458">
        <f>BI133*BI108</f>
        <v>58.921879816800001</v>
      </c>
      <c r="BJ132" s="465">
        <f>SUM(BF132:BI132)</f>
        <v>232.21980296138531</v>
      </c>
      <c r="BK132" s="466">
        <f>BK133*BK108</f>
        <v>69.736524017207032</v>
      </c>
      <c r="BL132" s="466">
        <f>BL133*BL108</f>
        <v>68.169113393902165</v>
      </c>
      <c r="BM132" s="466">
        <f>BM133*BM108</f>
        <v>68.224009132800617</v>
      </c>
      <c r="BN132" s="466">
        <f>BN133*BN108</f>
        <v>67.603212314575501</v>
      </c>
      <c r="BO132" s="467">
        <f>SUM(BK132:BN132)</f>
        <v>273.73285885848532</v>
      </c>
      <c r="BP132" s="466">
        <f>BP133*BP108</f>
        <v>80.011246312470007</v>
      </c>
      <c r="BQ132" s="466">
        <f>BQ133*BQ108</f>
        <v>78.21289918775409</v>
      </c>
      <c r="BR132" s="466">
        <f>BR133*BR108</f>
        <v>78.275883062393788</v>
      </c>
      <c r="BS132" s="466">
        <f>BS133*BS108</f>
        <v>77.563620330159637</v>
      </c>
      <c r="BT132" s="467">
        <f>SUM(BP132:BS132)</f>
        <v>314.06364889277756</v>
      </c>
      <c r="BU132" s="466">
        <f>BU133*BU108</f>
        <v>91.799808302678557</v>
      </c>
      <c r="BV132" s="466">
        <f>BV133*BV108</f>
        <v>89.736499344012017</v>
      </c>
      <c r="BW132" s="466">
        <f>BW133*BW108</f>
        <v>89.808763030488095</v>
      </c>
      <c r="BX132" s="466">
        <f>BX133*BX108</f>
        <v>88.99155813375539</v>
      </c>
      <c r="BY132" s="467">
        <f>SUM(BU132:BX132)</f>
        <v>360.33662881093409</v>
      </c>
      <c r="BZ132" s="466">
        <f>BZ133*BZ108</f>
        <v>105.32525354620209</v>
      </c>
      <c r="CA132" s="466">
        <f>CA133*CA108</f>
        <v>102.95794425401739</v>
      </c>
      <c r="CB132" s="466">
        <f>CB133*CB108</f>
        <v>103.04085500558649</v>
      </c>
      <c r="CC132" s="466">
        <f>CC133*CC108</f>
        <v>102.10324615281226</v>
      </c>
      <c r="CD132" s="465">
        <f>SUM(BZ132:CC132)</f>
        <v>413.42729895861828</v>
      </c>
      <c r="CE132" s="458">
        <f>CE133*CE108</f>
        <v>120.84348801682702</v>
      </c>
      <c r="CF132" s="458">
        <f>CF133*CF108</f>
        <v>118.12738810298485</v>
      </c>
      <c r="CG132" s="458">
        <f>CG133*CG108</f>
        <v>118.22251461895677</v>
      </c>
      <c r="CH132" s="458">
        <f>CH133*CH108</f>
        <v>117.14676193524741</v>
      </c>
      <c r="CI132" s="465">
        <f>SUM(CE132:CH132)</f>
        <v>474.34015267401605</v>
      </c>
      <c r="CJ132" s="466">
        <f>CJ133*CJ108</f>
        <v>138.64812193086425</v>
      </c>
      <c r="CK132" s="466">
        <f>CK133*CK108</f>
        <v>135.53184187133502</v>
      </c>
      <c r="CL132" s="466">
        <f>CL133*CL108</f>
        <v>135.64098397739119</v>
      </c>
      <c r="CM132" s="466">
        <f>CM133*CM108</f>
        <v>134.40673386010215</v>
      </c>
      <c r="CN132" s="467">
        <f>SUM(CJ132:CM132)</f>
        <v>544.22768163969261</v>
      </c>
      <c r="CO132" s="466">
        <f>CO133*CO108</f>
        <v>159.07602495120818</v>
      </c>
      <c r="CP132" s="466">
        <f>CP133*CP108</f>
        <v>155.50060367899061</v>
      </c>
      <c r="CQ132" s="466">
        <f>CQ133*CQ108</f>
        <v>155.62582638049162</v>
      </c>
      <c r="CR132" s="466">
        <f>CR133*CR108</f>
        <v>154.20972640221848</v>
      </c>
      <c r="CS132" s="467">
        <f>SUM(CO132:CR132)</f>
        <v>624.41218141290892</v>
      </c>
      <c r="CT132" s="466">
        <f>CT133*CT108</f>
        <v>182.51369987467714</v>
      </c>
      <c r="CU132" s="466">
        <f>CU133*CU108</f>
        <v>178.411489216577</v>
      </c>
      <c r="CV132" s="466">
        <f>CV133*CV108</f>
        <v>178.55516176915842</v>
      </c>
      <c r="CW132" s="466">
        <f>CW133*CW108</f>
        <v>176.9304188419552</v>
      </c>
      <c r="CX132" s="467">
        <f>SUM(CT132:CW132)</f>
        <v>716.4107697023677</v>
      </c>
      <c r="CY132" s="466"/>
      <c r="DA132" s="126"/>
      <c r="DB132" s="460"/>
      <c r="DC132" s="460"/>
    </row>
    <row r="133" spans="1:107" ht="11.25" hidden="1" customHeight="1" outlineLevel="2">
      <c r="A133" s="468" t="s">
        <v>275</v>
      </c>
      <c r="B133" s="652"/>
      <c r="C133" s="1280"/>
      <c r="D133" s="653"/>
      <c r="E133" s="653"/>
      <c r="F133" s="1281"/>
      <c r="G133" s="870"/>
      <c r="H133" s="1280"/>
      <c r="I133" s="653"/>
      <c r="J133" s="653"/>
      <c r="K133" s="1281"/>
      <c r="L133" s="1280"/>
      <c r="M133" s="1280"/>
      <c r="N133" s="653"/>
      <c r="O133" s="653"/>
      <c r="P133" s="1281"/>
      <c r="Q133" s="870"/>
      <c r="R133" s="653"/>
      <c r="S133" s="653"/>
      <c r="T133" s="653"/>
      <c r="U133" s="653"/>
      <c r="V133" s="870"/>
      <c r="W133" s="653"/>
      <c r="X133" s="653"/>
      <c r="Y133" s="653"/>
      <c r="Z133" s="653"/>
      <c r="AA133" s="870"/>
      <c r="AB133" s="653"/>
      <c r="AC133" s="653"/>
      <c r="AD133" s="653"/>
      <c r="AE133" s="653"/>
      <c r="AF133" s="870"/>
      <c r="AG133" s="1282"/>
      <c r="AH133" s="1282"/>
      <c r="AI133" s="1282"/>
      <c r="AJ133" s="1282"/>
      <c r="AK133" s="870"/>
      <c r="AL133" s="1282"/>
      <c r="AM133" s="1282"/>
      <c r="AN133" s="1282"/>
      <c r="AO133" s="1282"/>
      <c r="AP133" s="870"/>
      <c r="AQ133" s="507">
        <f t="shared" ref="AQ133:BD133" si="181">AQ132/AQ108</f>
        <v>0.47887323943661975</v>
      </c>
      <c r="AR133" s="507">
        <f t="shared" si="181"/>
        <v>0.48684210526315796</v>
      </c>
      <c r="AS133" s="507">
        <f t="shared" si="181"/>
        <v>0.46753246753246752</v>
      </c>
      <c r="AT133" s="507">
        <f t="shared" si="181"/>
        <v>0.56598240469208216</v>
      </c>
      <c r="AU133" s="1266">
        <f t="shared" si="181"/>
        <v>0.53097345132743368</v>
      </c>
      <c r="AV133" s="507">
        <f t="shared" si="181"/>
        <v>0.46979166666666666</v>
      </c>
      <c r="AW133" s="507">
        <f t="shared" si="181"/>
        <v>0.53536452665941237</v>
      </c>
      <c r="AX133" s="507">
        <f t="shared" si="181"/>
        <v>0.50100200400801609</v>
      </c>
      <c r="AY133" s="507">
        <f t="shared" si="181"/>
        <v>0.44311926605504587</v>
      </c>
      <c r="AZ133" s="1266">
        <f t="shared" si="181"/>
        <v>0.48550541971262928</v>
      </c>
      <c r="BA133" s="507">
        <f t="shared" si="181"/>
        <v>0.43101893597835883</v>
      </c>
      <c r="BB133" s="507">
        <f t="shared" si="181"/>
        <v>0.40811044003451247</v>
      </c>
      <c r="BC133" s="507">
        <f t="shared" si="181"/>
        <v>0.39847715736040612</v>
      </c>
      <c r="BD133" s="507">
        <f t="shared" si="181"/>
        <v>0.37604881769641496</v>
      </c>
      <c r="BE133" s="1266">
        <f>BE132/BE108</f>
        <v>0.40222642302037387</v>
      </c>
      <c r="BF133" s="469">
        <f>BA133-0.001</f>
        <v>0.43001893597835883</v>
      </c>
      <c r="BG133" s="475">
        <f>BB133</f>
        <v>0.40811044003451247</v>
      </c>
      <c r="BH133" s="475">
        <f>BC133</f>
        <v>0.39847715736040612</v>
      </c>
      <c r="BI133" s="507">
        <f>BD133</f>
        <v>0.37604881769641496</v>
      </c>
      <c r="BJ133" s="1266">
        <f>BJ132/BJ108</f>
        <v>0.40210968881768011</v>
      </c>
      <c r="BK133" s="475">
        <f>BF133</f>
        <v>0.43001893597835883</v>
      </c>
      <c r="BL133" s="475">
        <f>BG133</f>
        <v>0.40811044003451247</v>
      </c>
      <c r="BM133" s="475">
        <f>BH133</f>
        <v>0.39847715736040612</v>
      </c>
      <c r="BN133" s="475">
        <f>BI133</f>
        <v>0.37604881769641496</v>
      </c>
      <c r="BO133" s="1269">
        <f>BO132/BO108</f>
        <v>0.40243525612974668</v>
      </c>
      <c r="BP133" s="475">
        <f>BK133</f>
        <v>0.43001893597835883</v>
      </c>
      <c r="BQ133" s="475">
        <f>BL133</f>
        <v>0.40811044003451247</v>
      </c>
      <c r="BR133" s="475">
        <f>BM133</f>
        <v>0.39847715736040612</v>
      </c>
      <c r="BS133" s="475">
        <f>BN133</f>
        <v>0.37604881769641496</v>
      </c>
      <c r="BT133" s="1269">
        <f>BT132/BT108</f>
        <v>0.40243525612974679</v>
      </c>
      <c r="BU133" s="475">
        <f>BP133</f>
        <v>0.43001893597835883</v>
      </c>
      <c r="BV133" s="475">
        <f>BQ133</f>
        <v>0.40811044003451247</v>
      </c>
      <c r="BW133" s="475">
        <f>BR133</f>
        <v>0.39847715736040612</v>
      </c>
      <c r="BX133" s="475">
        <f>BS133</f>
        <v>0.37604881769641496</v>
      </c>
      <c r="BY133" s="1269">
        <f>BY132/BY108</f>
        <v>0.40243525612974673</v>
      </c>
      <c r="BZ133" s="475">
        <f>BU133</f>
        <v>0.43001893597835883</v>
      </c>
      <c r="CA133" s="475">
        <f>BV133</f>
        <v>0.40811044003451247</v>
      </c>
      <c r="CB133" s="475">
        <f>BW133</f>
        <v>0.39847715736040612</v>
      </c>
      <c r="CC133" s="475">
        <f>BX133</f>
        <v>0.37604881769641496</v>
      </c>
      <c r="CD133" s="1266">
        <f>CD132/CD108</f>
        <v>0.40243525612974673</v>
      </c>
      <c r="CE133" s="469">
        <f>BZ133</f>
        <v>0.43001893597835883</v>
      </c>
      <c r="CF133" s="469">
        <f>CA133</f>
        <v>0.40811044003451247</v>
      </c>
      <c r="CG133" s="469">
        <f>CB133</f>
        <v>0.39847715736040612</v>
      </c>
      <c r="CH133" s="469">
        <f>CC133</f>
        <v>0.37604881769641496</v>
      </c>
      <c r="CI133" s="1266">
        <f>CI132/CI108</f>
        <v>0.40243525612974668</v>
      </c>
      <c r="CJ133" s="475">
        <f>CE133</f>
        <v>0.43001893597835883</v>
      </c>
      <c r="CK133" s="475">
        <f>CF133</f>
        <v>0.40811044003451247</v>
      </c>
      <c r="CL133" s="475">
        <f>CG133</f>
        <v>0.39847715736040612</v>
      </c>
      <c r="CM133" s="475">
        <f>CH133</f>
        <v>0.37604881769641496</v>
      </c>
      <c r="CN133" s="1269">
        <f>CN132/CN108</f>
        <v>0.40243525612974673</v>
      </c>
      <c r="CO133" s="475">
        <f>CJ133</f>
        <v>0.43001893597835883</v>
      </c>
      <c r="CP133" s="475">
        <f>CK133</f>
        <v>0.40811044003451247</v>
      </c>
      <c r="CQ133" s="475">
        <f>CL133</f>
        <v>0.39847715736040612</v>
      </c>
      <c r="CR133" s="475">
        <f>CM133</f>
        <v>0.37604881769641496</v>
      </c>
      <c r="CS133" s="1269">
        <f>CS132/CS108</f>
        <v>0.40243525612974679</v>
      </c>
      <c r="CT133" s="475">
        <f>CO133</f>
        <v>0.43001893597835883</v>
      </c>
      <c r="CU133" s="475">
        <f>CP133</f>
        <v>0.40811044003451247</v>
      </c>
      <c r="CV133" s="475">
        <f>CQ133</f>
        <v>0.39847715736040612</v>
      </c>
      <c r="CW133" s="475">
        <f>CR133</f>
        <v>0.37604881769641496</v>
      </c>
      <c r="CX133" s="1269">
        <f>CX132/CX108</f>
        <v>0.40243525612974668</v>
      </c>
      <c r="CY133" s="1623"/>
      <c r="DA133" s="871"/>
      <c r="DB133" s="653"/>
      <c r="DC133" s="653"/>
    </row>
    <row r="134" spans="1:107" ht="11.25" hidden="1" customHeight="1" outlineLevel="2">
      <c r="A134" s="468"/>
      <c r="B134" s="114"/>
      <c r="C134" s="116"/>
      <c r="D134" s="117"/>
      <c r="E134" s="117"/>
      <c r="F134" s="118"/>
      <c r="G134" s="119"/>
      <c r="H134" s="116"/>
      <c r="I134" s="117"/>
      <c r="J134" s="117"/>
      <c r="K134" s="118"/>
      <c r="L134" s="116"/>
      <c r="M134" s="116"/>
      <c r="N134" s="117"/>
      <c r="O134" s="117"/>
      <c r="P134" s="118"/>
      <c r="Q134" s="119"/>
      <c r="R134" s="117"/>
      <c r="S134" s="117"/>
      <c r="T134" s="117"/>
      <c r="U134" s="117"/>
      <c r="V134" s="119"/>
      <c r="W134" s="117"/>
      <c r="X134" s="117"/>
      <c r="Y134" s="117"/>
      <c r="Z134" s="117"/>
      <c r="AA134" s="119"/>
      <c r="AB134" s="117"/>
      <c r="AC134" s="117"/>
      <c r="AD134" s="117"/>
      <c r="AE134" s="117"/>
      <c r="AF134" s="119"/>
      <c r="AG134" s="121"/>
      <c r="AH134" s="121"/>
      <c r="AI134" s="121"/>
      <c r="AJ134" s="121"/>
      <c r="AK134" s="119"/>
      <c r="AL134" s="121"/>
      <c r="AM134" s="121"/>
      <c r="AN134" s="121"/>
      <c r="AO134" s="121"/>
      <c r="AP134" s="119"/>
      <c r="AQ134" s="1113"/>
      <c r="AR134" s="1113"/>
      <c r="AS134" s="1113"/>
      <c r="AT134" s="1136"/>
      <c r="AU134" s="1137"/>
      <c r="AV134" s="1113"/>
      <c r="AW134" s="1113"/>
      <c r="AX134" s="1113"/>
      <c r="AY134" s="1136"/>
      <c r="AZ134" s="1137"/>
      <c r="BA134" s="1295"/>
      <c r="BB134" s="1295"/>
      <c r="BC134" s="1295"/>
      <c r="BD134" s="1136"/>
      <c r="BE134" s="1137"/>
      <c r="BF134" s="1295"/>
      <c r="BG134" s="1056"/>
      <c r="BH134" s="1056"/>
      <c r="BI134" s="1136"/>
      <c r="BJ134" s="1137"/>
      <c r="BK134" s="1056"/>
      <c r="BL134" s="1056"/>
      <c r="BM134" s="1056"/>
      <c r="BN134" s="1056"/>
      <c r="BO134" s="1268"/>
      <c r="BP134" s="1056"/>
      <c r="BQ134" s="1056"/>
      <c r="BR134" s="1056"/>
      <c r="BS134" s="1056"/>
      <c r="BT134" s="1268"/>
      <c r="BU134" s="1056"/>
      <c r="BV134" s="1056"/>
      <c r="BW134" s="1056"/>
      <c r="BX134" s="1056"/>
      <c r="BY134" s="1268"/>
      <c r="BZ134" s="1056"/>
      <c r="CA134" s="1056"/>
      <c r="CB134" s="1056"/>
      <c r="CC134" s="1056"/>
      <c r="CD134" s="1137"/>
      <c r="CE134" s="1295"/>
      <c r="CF134" s="1295"/>
      <c r="CG134" s="1295"/>
      <c r="CH134" s="1295"/>
      <c r="CI134" s="1137"/>
      <c r="CJ134" s="1056"/>
      <c r="CK134" s="1056"/>
      <c r="CL134" s="1056"/>
      <c r="CM134" s="1056"/>
      <c r="CN134" s="1268"/>
      <c r="CO134" s="1056"/>
      <c r="CP134" s="1056"/>
      <c r="CQ134" s="1056"/>
      <c r="CR134" s="1056"/>
      <c r="CS134" s="1268"/>
      <c r="CT134" s="1056"/>
      <c r="CU134" s="1056"/>
      <c r="CV134" s="1056"/>
      <c r="CW134" s="1056"/>
      <c r="CX134" s="1268"/>
      <c r="CY134" s="1719"/>
      <c r="DA134" s="126"/>
      <c r="DB134" s="117"/>
      <c r="DC134" s="117"/>
    </row>
    <row r="135" spans="1:107" ht="11.25" hidden="1" customHeight="1" outlineLevel="2">
      <c r="A135" s="457" t="s">
        <v>66</v>
      </c>
      <c r="B135" s="458"/>
      <c r="C135" s="459"/>
      <c r="D135" s="460"/>
      <c r="E135" s="460"/>
      <c r="F135" s="461"/>
      <c r="G135" s="462"/>
      <c r="H135" s="459"/>
      <c r="I135" s="460"/>
      <c r="J135" s="460"/>
      <c r="K135" s="461"/>
      <c r="L135" s="459"/>
      <c r="M135" s="459"/>
      <c r="N135" s="460"/>
      <c r="O135" s="460"/>
      <c r="P135" s="461"/>
      <c r="Q135" s="462"/>
      <c r="R135" s="460"/>
      <c r="S135" s="460"/>
      <c r="T135" s="460"/>
      <c r="U135" s="460"/>
      <c r="V135" s="463"/>
      <c r="W135" s="464"/>
      <c r="X135" s="464"/>
      <c r="Y135" s="464"/>
      <c r="Z135" s="458"/>
      <c r="AA135" s="465"/>
      <c r="AB135" s="464"/>
      <c r="AC135" s="464"/>
      <c r="AD135" s="464"/>
      <c r="AE135" s="464"/>
      <c r="AF135" s="465"/>
      <c r="AG135" s="458"/>
      <c r="AH135" s="458"/>
      <c r="AI135" s="458"/>
      <c r="AJ135" s="458"/>
      <c r="AK135" s="465"/>
      <c r="AL135" s="458"/>
      <c r="AM135" s="458"/>
      <c r="AN135" s="458"/>
      <c r="AO135" s="458"/>
      <c r="AP135" s="465"/>
      <c r="AQ135" s="458">
        <v>6.9</v>
      </c>
      <c r="AR135" s="458">
        <v>6.7</v>
      </c>
      <c r="AS135" s="458">
        <v>5.9</v>
      </c>
      <c r="AT135" s="458">
        <v>5.6</v>
      </c>
      <c r="AU135" s="465">
        <f>SUM(AQ135:AT135)</f>
        <v>25.1</v>
      </c>
      <c r="AV135" s="458">
        <v>2.9</v>
      </c>
      <c r="AW135" s="458">
        <v>3.3</v>
      </c>
      <c r="AX135" s="458">
        <v>3.8</v>
      </c>
      <c r="AY135" s="458">
        <v>3.2</v>
      </c>
      <c r="AZ135" s="465">
        <f>SUM(AV135:AY135)</f>
        <v>13.2</v>
      </c>
      <c r="BA135" s="458">
        <v>2.6</v>
      </c>
      <c r="BB135" s="458">
        <v>0.2</v>
      </c>
      <c r="BC135" s="458">
        <v>2.2999999999999998</v>
      </c>
      <c r="BD135" s="458">
        <v>2.2999999999999998</v>
      </c>
      <c r="BE135" s="465">
        <f>SUM(BA135:BD135)</f>
        <v>7.3999999999999995</v>
      </c>
      <c r="BF135" s="458">
        <f>BF136*BF112</f>
        <v>2.5682683573556795</v>
      </c>
      <c r="BG135" s="466">
        <f>BG136*BG112</f>
        <v>3.8802588119999997</v>
      </c>
      <c r="BH135" s="466">
        <f>BH136*BH112</f>
        <v>3.7536114757750001</v>
      </c>
      <c r="BI135" s="458">
        <f>BI136*BI112</f>
        <v>3.7536114757750001</v>
      </c>
      <c r="BJ135" s="465">
        <f>SUM(BF135:BI135)</f>
        <v>13.95575012090568</v>
      </c>
      <c r="BK135" s="466">
        <f>BK136*BK112</f>
        <v>3.7836403675811994</v>
      </c>
      <c r="BL135" s="466">
        <f>BL136*BL112</f>
        <v>3.840394973094917</v>
      </c>
      <c r="BM135" s="466">
        <f>BM136*BM112</f>
        <v>3.7897230949776928</v>
      </c>
      <c r="BN135" s="466">
        <f>BN136*BN112</f>
        <v>3.9034147878270238</v>
      </c>
      <c r="BO135" s="467">
        <f>SUM(BK135:BN135)</f>
        <v>15.317173223480832</v>
      </c>
      <c r="BP135" s="466">
        <f>BP136*BP112</f>
        <v>3.8944926968834181</v>
      </c>
      <c r="BQ135" s="466">
        <f>BQ136*BQ112</f>
        <v>3.8944926968834181</v>
      </c>
      <c r="BR135" s="466">
        <f>BR136*BR112</f>
        <v>3.7863123441922126</v>
      </c>
      <c r="BS135" s="466">
        <f>BS136*BS112</f>
        <v>3.8999017145179793</v>
      </c>
      <c r="BT135" s="467">
        <f>SUM(BP135:BS135)</f>
        <v>15.475199452477028</v>
      </c>
      <c r="BU135" s="466">
        <f>BU136*BU112</f>
        <v>3.8909876534562233</v>
      </c>
      <c r="BV135" s="466">
        <f>BV136*BV112</f>
        <v>3.8909876534562233</v>
      </c>
      <c r="BW135" s="466">
        <f>BW136*BW112</f>
        <v>3.7829046630824399</v>
      </c>
      <c r="BX135" s="466">
        <f>BX136*BX112</f>
        <v>3.8963918029749132</v>
      </c>
      <c r="BY135" s="467">
        <f>SUM(BU135:BX135)</f>
        <v>15.4612717729698</v>
      </c>
      <c r="BZ135" s="466">
        <f>BZ136*BZ112</f>
        <v>3.8874857645681127</v>
      </c>
      <c r="CA135" s="466">
        <f>CA136*CA112</f>
        <v>3.8874857645681127</v>
      </c>
      <c r="CB135" s="466">
        <f>CB136*CB112</f>
        <v>3.7795000488856654</v>
      </c>
      <c r="CC135" s="466">
        <f>CC136*CC112</f>
        <v>3.8928850503522359</v>
      </c>
      <c r="CD135" s="465">
        <f>SUM(BZ135:CC135)</f>
        <v>15.447356628374127</v>
      </c>
      <c r="CE135" s="458">
        <f>CE136*CE112</f>
        <v>3.8839870273800012</v>
      </c>
      <c r="CF135" s="458">
        <f>CF136*CF112</f>
        <v>3.8839870273800012</v>
      </c>
      <c r="CG135" s="458">
        <f>CG136*CG112</f>
        <v>3.7760984988416686</v>
      </c>
      <c r="CH135" s="458">
        <f>CH136*CH112</f>
        <v>3.8893814538069189</v>
      </c>
      <c r="CI135" s="465">
        <f>SUM(CE135:CH135)</f>
        <v>15.43345400740859</v>
      </c>
      <c r="CJ135" s="466">
        <f>CJ136*CJ112</f>
        <v>3.8804914390553598</v>
      </c>
      <c r="CK135" s="466">
        <f>CK136*CK112</f>
        <v>3.8804914390553598</v>
      </c>
      <c r="CL135" s="466">
        <f>CL136*CL112</f>
        <v>3.7727000101927115</v>
      </c>
      <c r="CM135" s="466">
        <f>CM136*CM112</f>
        <v>3.8858810104984927</v>
      </c>
      <c r="CN135" s="467">
        <f>SUM(CJ135:CM135)</f>
        <v>15.419563898801924</v>
      </c>
      <c r="CO135" s="466">
        <f>CO136*CO112</f>
        <v>3.8769989967602094</v>
      </c>
      <c r="CP135" s="466">
        <f>CP136*CP112</f>
        <v>3.8769989967602094</v>
      </c>
      <c r="CQ135" s="466">
        <f>CQ136*CQ112</f>
        <v>3.7693045801835376</v>
      </c>
      <c r="CR135" s="466">
        <f>CR136*CR112</f>
        <v>3.8823837175890441</v>
      </c>
      <c r="CS135" s="467">
        <f>SUM(CO135:CR135)</f>
        <v>15.405686291293001</v>
      </c>
      <c r="CT135" s="466">
        <f>CT136*CT112</f>
        <v>3.8735096976631254</v>
      </c>
      <c r="CU135" s="466">
        <f>CU136*CU112</f>
        <v>3.8735096976631254</v>
      </c>
      <c r="CV135" s="466">
        <f>CV136*CV112</f>
        <v>3.7659122060613726</v>
      </c>
      <c r="CW135" s="466">
        <f>CW136*CW112</f>
        <v>3.8788895722432137</v>
      </c>
      <c r="CX135" s="467">
        <f>SUM(CT135:CW135)</f>
        <v>15.391821173630838</v>
      </c>
      <c r="CY135" s="466"/>
      <c r="DA135" s="126"/>
      <c r="DB135" s="460"/>
      <c r="DC135" s="460"/>
    </row>
    <row r="136" spans="1:107" ht="11.25" hidden="1" customHeight="1" outlineLevel="2">
      <c r="A136" s="468" t="s">
        <v>275</v>
      </c>
      <c r="B136" s="652"/>
      <c r="C136" s="1280"/>
      <c r="D136" s="653"/>
      <c r="E136" s="653"/>
      <c r="F136" s="1281"/>
      <c r="G136" s="870"/>
      <c r="H136" s="1280"/>
      <c r="I136" s="653"/>
      <c r="J136" s="653"/>
      <c r="K136" s="1281"/>
      <c r="L136" s="1280"/>
      <c r="M136" s="1280"/>
      <c r="N136" s="653"/>
      <c r="O136" s="653"/>
      <c r="P136" s="1281"/>
      <c r="Q136" s="870"/>
      <c r="R136" s="653"/>
      <c r="S136" s="653"/>
      <c r="T136" s="653"/>
      <c r="U136" s="653"/>
      <c r="V136" s="870"/>
      <c r="W136" s="653"/>
      <c r="X136" s="653"/>
      <c r="Y136" s="653"/>
      <c r="Z136" s="653"/>
      <c r="AA136" s="870"/>
      <c r="AB136" s="653"/>
      <c r="AC136" s="653"/>
      <c r="AD136" s="653"/>
      <c r="AE136" s="653"/>
      <c r="AF136" s="870"/>
      <c r="AG136" s="1282"/>
      <c r="AH136" s="1282"/>
      <c r="AI136" s="1282"/>
      <c r="AJ136" s="1282"/>
      <c r="AK136" s="870"/>
      <c r="AL136" s="1282"/>
      <c r="AM136" s="1282"/>
      <c r="AN136" s="1282"/>
      <c r="AO136" s="1282"/>
      <c r="AP136" s="870"/>
      <c r="AQ136" s="507">
        <f t="shared" ref="AQ136:BD136" si="182">AQ135/AQ112</f>
        <v>0.12921348314606743</v>
      </c>
      <c r="AR136" s="507">
        <f t="shared" si="182"/>
        <v>0.12476722532588454</v>
      </c>
      <c r="AS136" s="507">
        <f t="shared" si="182"/>
        <v>0.11967545638945234</v>
      </c>
      <c r="AT136" s="507">
        <f t="shared" si="182"/>
        <v>0.10916179337231968</v>
      </c>
      <c r="AU136" s="1266">
        <f t="shared" si="182"/>
        <v>0.12084737602311027</v>
      </c>
      <c r="AV136" s="507">
        <f t="shared" si="182"/>
        <v>5.3016453382084092E-2</v>
      </c>
      <c r="AW136" s="507">
        <f t="shared" si="182"/>
        <v>5.8303886925795051E-2</v>
      </c>
      <c r="AX136" s="507">
        <f t="shared" si="182"/>
        <v>6.354515050167224E-2</v>
      </c>
      <c r="AY136" s="507">
        <f t="shared" si="182"/>
        <v>5.8181818181818182E-2</v>
      </c>
      <c r="AZ136" s="1266">
        <f t="shared" si="182"/>
        <v>5.8381247235736393E-2</v>
      </c>
      <c r="BA136" s="507">
        <f t="shared" si="182"/>
        <v>4.8417132216014895E-2</v>
      </c>
      <c r="BB136" s="507">
        <f t="shared" si="182"/>
        <v>3.7037037037037038E-3</v>
      </c>
      <c r="BC136" s="507">
        <f t="shared" si="182"/>
        <v>4.1366906474820136E-2</v>
      </c>
      <c r="BD136" s="507">
        <f t="shared" si="182"/>
        <v>4.1742286751361157E-2</v>
      </c>
      <c r="BE136" s="1266">
        <f>BE135/BE112</f>
        <v>3.388278388278388E-2</v>
      </c>
      <c r="BF136" s="469">
        <f>BA136-0.001</f>
        <v>4.7417132216014894E-2</v>
      </c>
      <c r="BG136" s="475">
        <v>7.1999999999999995E-2</v>
      </c>
      <c r="BH136" s="475">
        <v>7.0000000000000007E-2</v>
      </c>
      <c r="BI136" s="507">
        <v>7.0000000000000007E-2</v>
      </c>
      <c r="BJ136" s="1266">
        <f>BJ135/BJ112</f>
        <v>6.481946949497866E-2</v>
      </c>
      <c r="BK136" s="475">
        <v>7.1999999999999995E-2</v>
      </c>
      <c r="BL136" s="475">
        <v>7.1999999999999995E-2</v>
      </c>
      <c r="BM136" s="475">
        <v>7.0000000000000007E-2</v>
      </c>
      <c r="BN136" s="475">
        <v>7.0000000000000007E-2</v>
      </c>
      <c r="BO136" s="476">
        <f>BO135/BO112</f>
        <v>7.0981405232265801E-2</v>
      </c>
      <c r="BP136" s="475">
        <v>7.1999999999999995E-2</v>
      </c>
      <c r="BQ136" s="475">
        <v>7.1999999999999995E-2</v>
      </c>
      <c r="BR136" s="475">
        <v>7.0000000000000007E-2</v>
      </c>
      <c r="BS136" s="475">
        <v>7.0000000000000007E-2</v>
      </c>
      <c r="BT136" s="476">
        <f>BT135/BT112</f>
        <v>7.0992555831265514E-2</v>
      </c>
      <c r="BU136" s="475">
        <v>7.1999999999999995E-2</v>
      </c>
      <c r="BV136" s="475">
        <v>7.1999999999999995E-2</v>
      </c>
      <c r="BW136" s="475">
        <v>7.0000000000000007E-2</v>
      </c>
      <c r="BX136" s="475">
        <v>7.0000000000000007E-2</v>
      </c>
      <c r="BY136" s="476">
        <f>BY135/BY112</f>
        <v>7.0992555831265527E-2</v>
      </c>
      <c r="BZ136" s="475">
        <v>7.1999999999999995E-2</v>
      </c>
      <c r="CA136" s="475">
        <v>7.1999999999999995E-2</v>
      </c>
      <c r="CB136" s="475">
        <v>7.0000000000000007E-2</v>
      </c>
      <c r="CC136" s="475">
        <v>7.0000000000000007E-2</v>
      </c>
      <c r="CD136" s="472">
        <f>CD135/CD112</f>
        <v>7.0992555831265514E-2</v>
      </c>
      <c r="CE136" s="469">
        <v>7.1999999999999995E-2</v>
      </c>
      <c r="CF136" s="469">
        <v>7.1999999999999995E-2</v>
      </c>
      <c r="CG136" s="469">
        <v>7.0000000000000007E-2</v>
      </c>
      <c r="CH136" s="469">
        <v>7.0000000000000007E-2</v>
      </c>
      <c r="CI136" s="472">
        <f>CI135/CI112</f>
        <v>7.0992555831265514E-2</v>
      </c>
      <c r="CJ136" s="475">
        <v>7.1999999999999995E-2</v>
      </c>
      <c r="CK136" s="475">
        <v>7.1999999999999995E-2</v>
      </c>
      <c r="CL136" s="475">
        <v>7.0000000000000007E-2</v>
      </c>
      <c r="CM136" s="475">
        <v>7.0000000000000007E-2</v>
      </c>
      <c r="CN136" s="476">
        <f>CN135/CN112</f>
        <v>7.0992555831265514E-2</v>
      </c>
      <c r="CO136" s="475">
        <v>7.1999999999999995E-2</v>
      </c>
      <c r="CP136" s="475">
        <v>7.1999999999999995E-2</v>
      </c>
      <c r="CQ136" s="475">
        <v>7.0000000000000007E-2</v>
      </c>
      <c r="CR136" s="475">
        <v>7.0000000000000007E-2</v>
      </c>
      <c r="CS136" s="476">
        <f>CS135/CS112</f>
        <v>7.0992555831265514E-2</v>
      </c>
      <c r="CT136" s="475">
        <v>7.1999999999999995E-2</v>
      </c>
      <c r="CU136" s="475">
        <v>7.1999999999999995E-2</v>
      </c>
      <c r="CV136" s="475">
        <v>7.0000000000000007E-2</v>
      </c>
      <c r="CW136" s="475">
        <v>7.0000000000000007E-2</v>
      </c>
      <c r="CX136" s="476">
        <f>CX135/CX112</f>
        <v>7.0992555831265514E-2</v>
      </c>
      <c r="CY136" s="475"/>
      <c r="DA136" s="871"/>
      <c r="DB136" s="653"/>
      <c r="DC136" s="653"/>
    </row>
    <row r="137" spans="1:107" ht="11.25" hidden="1" customHeight="1" outlineLevel="2">
      <c r="A137" s="392"/>
      <c r="B137" s="114"/>
      <c r="C137" s="116"/>
      <c r="D137" s="117"/>
      <c r="E137" s="117"/>
      <c r="F137" s="118"/>
      <c r="G137" s="119"/>
      <c r="H137" s="116"/>
      <c r="I137" s="117"/>
      <c r="J137" s="117"/>
      <c r="K137" s="118"/>
      <c r="L137" s="116"/>
      <c r="M137" s="116"/>
      <c r="N137" s="117"/>
      <c r="O137" s="117"/>
      <c r="P137" s="118"/>
      <c r="Q137" s="119"/>
      <c r="R137" s="117"/>
      <c r="S137" s="117"/>
      <c r="T137" s="117"/>
      <c r="U137" s="117"/>
      <c r="V137" s="119"/>
      <c r="W137" s="117"/>
      <c r="X137" s="117"/>
      <c r="Y137" s="117"/>
      <c r="Z137" s="117"/>
      <c r="AA137" s="119"/>
      <c r="AB137" s="117"/>
      <c r="AC137" s="117"/>
      <c r="AD137" s="117"/>
      <c r="AE137" s="117"/>
      <c r="AF137" s="119"/>
      <c r="AG137" s="121"/>
      <c r="AH137" s="121"/>
      <c r="AI137" s="121"/>
      <c r="AJ137" s="121"/>
      <c r="AK137" s="119"/>
      <c r="AL137" s="121"/>
      <c r="AM137" s="121"/>
      <c r="AN137" s="121"/>
      <c r="AO137" s="121"/>
      <c r="AP137" s="119"/>
      <c r="AQ137" s="1113"/>
      <c r="AR137" s="1113"/>
      <c r="AS137" s="1113"/>
      <c r="AT137" s="1136"/>
      <c r="AU137" s="1137"/>
      <c r="AV137" s="1113"/>
      <c r="AW137" s="1113"/>
      <c r="AX137" s="1113"/>
      <c r="AY137" s="1136"/>
      <c r="AZ137" s="1137"/>
      <c r="BA137" s="1295"/>
      <c r="BB137" s="1295"/>
      <c r="BC137" s="1295"/>
      <c r="BD137" s="1136"/>
      <c r="BE137" s="1137"/>
      <c r="BF137" s="1295"/>
      <c r="BG137" s="1056"/>
      <c r="BH137" s="1056"/>
      <c r="BI137" s="1136"/>
      <c r="BJ137" s="1137"/>
      <c r="BK137" s="1056"/>
      <c r="BL137" s="1056"/>
      <c r="BM137" s="1056"/>
      <c r="BN137" s="1056"/>
      <c r="BO137" s="1268"/>
      <c r="BP137" s="1056"/>
      <c r="BQ137" s="1056"/>
      <c r="BR137" s="1056"/>
      <c r="BS137" s="1056"/>
      <c r="BT137" s="1268"/>
      <c r="BU137" s="1056"/>
      <c r="BV137" s="1056"/>
      <c r="BW137" s="1056"/>
      <c r="BX137" s="1056"/>
      <c r="BY137" s="1268"/>
      <c r="BZ137" s="1056"/>
      <c r="CA137" s="1056"/>
      <c r="CB137" s="1056"/>
      <c r="CC137" s="1056"/>
      <c r="CD137" s="1137"/>
      <c r="CE137" s="1295"/>
      <c r="CF137" s="1295"/>
      <c r="CG137" s="1295"/>
      <c r="CH137" s="1295"/>
      <c r="CI137" s="1137"/>
      <c r="CJ137" s="1056"/>
      <c r="CK137" s="1056"/>
      <c r="CL137" s="1056"/>
      <c r="CM137" s="1056"/>
      <c r="CN137" s="1268"/>
      <c r="CO137" s="1056"/>
      <c r="CP137" s="1056"/>
      <c r="CQ137" s="1056"/>
      <c r="CR137" s="1056"/>
      <c r="CS137" s="1268"/>
      <c r="CT137" s="1056"/>
      <c r="CU137" s="1056"/>
      <c r="CV137" s="1056"/>
      <c r="CW137" s="1056"/>
      <c r="CX137" s="1268"/>
      <c r="CY137" s="1719"/>
      <c r="DA137" s="126"/>
      <c r="DB137" s="117"/>
      <c r="DC137" s="117"/>
    </row>
    <row r="138" spans="1:107" ht="11.25" hidden="1" customHeight="1" outlineLevel="2">
      <c r="A138" s="495" t="s">
        <v>276</v>
      </c>
      <c r="B138" s="509"/>
      <c r="C138" s="510"/>
      <c r="D138" s="511"/>
      <c r="E138" s="511"/>
      <c r="F138" s="512"/>
      <c r="G138" s="513"/>
      <c r="H138" s="510"/>
      <c r="I138" s="511"/>
      <c r="J138" s="511"/>
      <c r="K138" s="512"/>
      <c r="L138" s="510"/>
      <c r="M138" s="510"/>
      <c r="N138" s="511"/>
      <c r="O138" s="511"/>
      <c r="P138" s="512"/>
      <c r="Q138" s="513"/>
      <c r="R138" s="511"/>
      <c r="S138" s="511"/>
      <c r="T138" s="511"/>
      <c r="U138" s="511"/>
      <c r="V138" s="513"/>
      <c r="W138" s="509"/>
      <c r="X138" s="509"/>
      <c r="Y138" s="509"/>
      <c r="Z138" s="509"/>
      <c r="AA138" s="514"/>
      <c r="AB138" s="509"/>
      <c r="AC138" s="509"/>
      <c r="AD138" s="509"/>
      <c r="AE138" s="509"/>
      <c r="AF138" s="498"/>
      <c r="AG138" s="509"/>
      <c r="AH138" s="509"/>
      <c r="AI138" s="509"/>
      <c r="AJ138" s="509"/>
      <c r="AK138" s="498"/>
      <c r="AL138" s="509"/>
      <c r="AM138" s="509"/>
      <c r="AN138" s="509"/>
      <c r="AO138" s="509"/>
      <c r="AP138" s="498"/>
      <c r="AQ138" s="509">
        <f>SUM(AQ120,AQ123,AQ129,AQ132,AQ135)</f>
        <v>71.100000000000009</v>
      </c>
      <c r="AR138" s="509">
        <f>SUM(AR120,AR123,AR129,AR132,AR135)</f>
        <v>65.7</v>
      </c>
      <c r="AS138" s="509">
        <f>SUM(AS120,AS123,AS129,AS132,AS135)</f>
        <v>59.400000000000006</v>
      </c>
      <c r="AT138" s="509">
        <f>SUM(AT120,AT123,AT129,AT132,AT135)</f>
        <v>76.999999999999986</v>
      </c>
      <c r="AU138" s="498">
        <f>SUM(AQ138:AT138)</f>
        <v>273.2</v>
      </c>
      <c r="AV138" s="509">
        <f>SUM(AV120,AV123,AV129,AV132,AV135)</f>
        <v>84.800000000000011</v>
      </c>
      <c r="AW138" s="509">
        <f>SUM(AW120,AW123,AW129,AW132,AW135)</f>
        <v>102.7</v>
      </c>
      <c r="AX138" s="509">
        <f>SUM(AX120,AX123,AX129,AX132,AX135)</f>
        <v>94.2</v>
      </c>
      <c r="AY138" s="509">
        <f>SUM(AY120,AY123,AY129,AY132,AY135)</f>
        <v>101.5</v>
      </c>
      <c r="AZ138" s="498">
        <f>SUM(AV138:AY138)</f>
        <v>383.2</v>
      </c>
      <c r="BA138" s="509">
        <f>SUM(BA120,BA123,BA129,BA132,BA135)</f>
        <v>101.79999999999998</v>
      </c>
      <c r="BB138" s="509">
        <f>SUM(BB120,BB123,BB129,BB132,BB135,BB126)</f>
        <v>109.2</v>
      </c>
      <c r="BC138" s="509">
        <f>SUM(BC120,BC123,BC129,BC132,BC135,BC126)</f>
        <v>104.7</v>
      </c>
      <c r="BD138" s="509">
        <f>SUM(BD120,BD123,BD129,BD132,BD135,BD126)</f>
        <v>116.39999999999999</v>
      </c>
      <c r="BE138" s="498">
        <f>SUM(BA138:BD138)</f>
        <v>432.09999999999997</v>
      </c>
      <c r="BF138" s="509">
        <f>SUM(BF120,BF123,BF129,BF132,BF135,BF126)</f>
        <v>117.37693560384599</v>
      </c>
      <c r="BG138" s="515">
        <f>SUM(BG120,BG123,BG129,BG132,BG135,BG126)</f>
        <v>135.71678287248918</v>
      </c>
      <c r="BH138" s="515">
        <f>SUM(BH120,BH123,BH129,BH132,BH135,BH126)</f>
        <v>137.34590643867909</v>
      </c>
      <c r="BI138" s="509">
        <f>SUM(BI120,BI123,BI129,BI132,BI135,BI126)</f>
        <v>140.66914207379693</v>
      </c>
      <c r="BJ138" s="498">
        <f>SUM(BF138:BI138)</f>
        <v>531.10876698881123</v>
      </c>
      <c r="BK138" s="515">
        <f>SUM(BK120,BK123,BK129,BK132,BK135,BK126)</f>
        <v>151.58510798545731</v>
      </c>
      <c r="BL138" s="515">
        <f>SUM(BL120,BL123,BL129,BL132,BL135,BL126)</f>
        <v>150.92069069281473</v>
      </c>
      <c r="BM138" s="515">
        <f>SUM(BM120,BM123,BM129,BM132,BM135,BM126)</f>
        <v>153.19942990768376</v>
      </c>
      <c r="BN138" s="515">
        <f>SUM(BN120,BN123,BN129,BN132,BN135,BN126)</f>
        <v>156.27516549044219</v>
      </c>
      <c r="BO138" s="499">
        <f>SUM(BK138:BN138)</f>
        <v>611.98039407639806</v>
      </c>
      <c r="BP138" s="515">
        <f>SUM(BP120,BP123,BP129,BP132,BP135,BP126)</f>
        <v>166.97395205558473</v>
      </c>
      <c r="BQ138" s="515">
        <f>SUM(BQ120,BQ123,BQ129,BQ132,BQ135,BQ126)</f>
        <v>166.00465153654474</v>
      </c>
      <c r="BR138" s="515">
        <f>SUM(BR120,BR123,BR129,BR132,BR135,BR126)</f>
        <v>167.68053014888542</v>
      </c>
      <c r="BS138" s="515">
        <f>SUM(BS120,BS123,BS129,BS132,BS135,BS126)</f>
        <v>169.62710050701097</v>
      </c>
      <c r="BT138" s="499">
        <f>SUM(BP138:BS138)</f>
        <v>670.28623424802583</v>
      </c>
      <c r="BU138" s="515">
        <f>SUM(BU120,BU123,BU129,BU132,BU135,BU126)</f>
        <v>182.22292577860756</v>
      </c>
      <c r="BV138" s="515">
        <f>SUM(BV120,BV123,BV129,BV132,BV135,BV126)</f>
        <v>181.19333268008634</v>
      </c>
      <c r="BW138" s="515">
        <f>SUM(BW120,BW123,BW129,BW132,BW135,BW126)</f>
        <v>182.94900325329391</v>
      </c>
      <c r="BX138" s="515">
        <f>SUM(BX120,BX123,BX129,BX132,BX135,BX126)</f>
        <v>184.73901682606996</v>
      </c>
      <c r="BY138" s="499">
        <f>SUM(BU138:BX138)</f>
        <v>731.10427853805777</v>
      </c>
      <c r="BZ138" s="515">
        <f>SUM(BZ120,BZ123,BZ129,BZ132,BZ135,BZ126)</f>
        <v>199.50844110098234</v>
      </c>
      <c r="CA138" s="515">
        <f>SUM(CA120,CA123,CA129,CA132,CA135,CA126)</f>
        <v>198.39934746657931</v>
      </c>
      <c r="CB138" s="515">
        <f>SUM(CB120,CB123,CB129,CB132,CB135,CB126)</f>
        <v>200.24243929681435</v>
      </c>
      <c r="CC138" s="515">
        <f>SUM(CC120,CC123,CC129,CC132,CC135,CC126)</f>
        <v>201.85498092505185</v>
      </c>
      <c r="CD138" s="498">
        <f>SUM(BZ138:CC138)</f>
        <v>800.0052087894278</v>
      </c>
      <c r="CE138" s="509">
        <f>SUM(CE120,CE123,CE129,CE132,CE135,CE126)</f>
        <v>219.11496977747032</v>
      </c>
      <c r="CF138" s="509">
        <f>SUM(CF120,CF123,CF129,CF132,CF135,CF126)</f>
        <v>217.90336603050108</v>
      </c>
      <c r="CG138" s="509">
        <f>SUM(CG120,CG123,CG129,CG132,CG135,CG126)</f>
        <v>219.84231354636754</v>
      </c>
      <c r="CH138" s="509">
        <f>SUM(CH120,CH123,CH129,CH132,CH135,CH126)</f>
        <v>221.25366701928911</v>
      </c>
      <c r="CI138" s="498">
        <f>SUM(CE138:CH138)</f>
        <v>878.11431637362807</v>
      </c>
      <c r="CJ138" s="515">
        <f>SUM(CJ120,CJ123,CJ129,CJ132,CJ135,CJ126)</f>
        <v>241.36750978919895</v>
      </c>
      <c r="CK138" s="515">
        <f>SUM(CK120,CK123,CK129,CK132,CK135,CK126)</f>
        <v>240.02593124836176</v>
      </c>
      <c r="CL138" s="515">
        <f>SUM(CL120,CL123,CL129,CL132,CL135,CL126)</f>
        <v>242.07006368141083</v>
      </c>
      <c r="CM138" s="515">
        <f>SUM(CM120,CM123,CM129,CM132,CM135,CM126)</f>
        <v>243.25332594259837</v>
      </c>
      <c r="CN138" s="499">
        <f>SUM(CJ138:CM138)</f>
        <v>966.71683066156993</v>
      </c>
      <c r="CO138" s="515">
        <f>SUM(CO120,CO123,CO129,CO132,CO135,CO126)</f>
        <v>266.63742286104235</v>
      </c>
      <c r="CP138" s="515">
        <f>SUM(CP120,CP123,CP129,CP132,CP135,CP126)</f>
        <v>265.13319085371228</v>
      </c>
      <c r="CQ138" s="515">
        <f>SUM(CQ120,CQ123,CQ129,CQ132,CQ135,CQ126)</f>
        <v>267.29283230102664</v>
      </c>
      <c r="CR138" s="515">
        <f>SUM(CR120,CR123,CR129,CR132,CR135,CR126)</f>
        <v>268.21747327323607</v>
      </c>
      <c r="CS138" s="499">
        <f>SUM(CO138:CR138)</f>
        <v>1067.2809192890172</v>
      </c>
      <c r="CT138" s="515">
        <f>SUM(CT120,CT123,CT129,CT132,CT135,CT126)</f>
        <v>295.34911887253986</v>
      </c>
      <c r="CU138" s="515">
        <f>SUM(CU120,CU123,CU129,CU132,CU135,CU126)</f>
        <v>293.64346000985125</v>
      </c>
      <c r="CV138" s="515">
        <f>SUM(CV120,CV123,CV129,CV132,CV135,CV126)</f>
        <v>295.93004113961632</v>
      </c>
      <c r="CW138" s="515">
        <f>SUM(CW120,CW123,CW129,CW132,CW135,CW126)</f>
        <v>296.561401390936</v>
      </c>
      <c r="CX138" s="499">
        <f>SUM(CT138:CW138)</f>
        <v>1181.4840214129435</v>
      </c>
      <c r="CY138" s="466"/>
      <c r="DA138" s="513"/>
      <c r="DB138" s="511"/>
      <c r="DC138" s="511"/>
    </row>
    <row r="139" spans="1:107" ht="11.25" hidden="1" customHeight="1" outlineLevel="2">
      <c r="A139" s="468" t="s">
        <v>277</v>
      </c>
      <c r="B139" s="469"/>
      <c r="C139" s="470"/>
      <c r="D139" s="469"/>
      <c r="E139" s="469"/>
      <c r="F139" s="471"/>
      <c r="G139" s="472"/>
      <c r="H139" s="470"/>
      <c r="I139" s="469"/>
      <c r="J139" s="469"/>
      <c r="K139" s="471"/>
      <c r="L139" s="470"/>
      <c r="M139" s="470"/>
      <c r="N139" s="469"/>
      <c r="O139" s="469"/>
      <c r="P139" s="471"/>
      <c r="Q139" s="472"/>
      <c r="R139" s="469"/>
      <c r="S139" s="469"/>
      <c r="T139" s="469"/>
      <c r="U139" s="469"/>
      <c r="V139" s="472"/>
      <c r="W139" s="469"/>
      <c r="X139" s="469"/>
      <c r="Y139" s="469"/>
      <c r="Z139" s="469"/>
      <c r="AA139" s="472"/>
      <c r="AB139" s="469"/>
      <c r="AC139" s="469"/>
      <c r="AD139" s="469"/>
      <c r="AE139" s="469"/>
      <c r="AF139" s="472"/>
      <c r="AG139" s="469"/>
      <c r="AH139" s="469"/>
      <c r="AI139" s="469"/>
      <c r="AJ139" s="469"/>
      <c r="AK139" s="472"/>
      <c r="AL139" s="469"/>
      <c r="AM139" s="469"/>
      <c r="AN139" s="469"/>
      <c r="AO139" s="469"/>
      <c r="AP139" s="472"/>
      <c r="AQ139" s="469">
        <f t="shared" ref="AQ139:BO139" si="183">AQ138/AQ115</f>
        <v>9.0412004069175989E-2</v>
      </c>
      <c r="AR139" s="469">
        <f t="shared" si="183"/>
        <v>9.3231162196679443E-2</v>
      </c>
      <c r="AS139" s="469">
        <f t="shared" si="183"/>
        <v>8.5161290322580657E-2</v>
      </c>
      <c r="AT139" s="469">
        <f t="shared" si="183"/>
        <v>0.10167701043179717</v>
      </c>
      <c r="AU139" s="472">
        <f t="shared" si="183"/>
        <v>9.2739061067924886E-2</v>
      </c>
      <c r="AV139" s="469">
        <f t="shared" si="183"/>
        <v>9.8753930359846281E-2</v>
      </c>
      <c r="AW139" s="469">
        <f t="shared" si="183"/>
        <v>0.10890774125132556</v>
      </c>
      <c r="AX139" s="469">
        <f t="shared" si="183"/>
        <v>9.512269009391093E-2</v>
      </c>
      <c r="AY139" s="469">
        <f t="shared" si="183"/>
        <v>0.10069444444444445</v>
      </c>
      <c r="AZ139" s="472">
        <f t="shared" si="183"/>
        <v>0.10084210526315789</v>
      </c>
      <c r="BA139" s="469">
        <f t="shared" si="183"/>
        <v>9.9056144789335387E-2</v>
      </c>
      <c r="BB139" s="469">
        <f t="shared" si="183"/>
        <v>0.10672400312744333</v>
      </c>
      <c r="BC139" s="469">
        <f t="shared" si="183"/>
        <v>0.10333596525858667</v>
      </c>
      <c r="BD139" s="469">
        <f t="shared" si="183"/>
        <v>0.10102412775559799</v>
      </c>
      <c r="BE139" s="472">
        <f t="shared" si="183"/>
        <v>0.10248321988473306</v>
      </c>
      <c r="BF139" s="469">
        <f t="shared" si="183"/>
        <v>0.11182728302896743</v>
      </c>
      <c r="BG139" s="475">
        <f t="shared" si="183"/>
        <v>0.1229730514279853</v>
      </c>
      <c r="BH139" s="475">
        <f t="shared" si="183"/>
        <v>0.12361384523505353</v>
      </c>
      <c r="BI139" s="469">
        <f t="shared" si="183"/>
        <v>0.12196648115281672</v>
      </c>
      <c r="BJ139" s="472">
        <f t="shared" si="183"/>
        <v>0.12022323285095224</v>
      </c>
      <c r="BK139" s="475">
        <f>BK138/BK115</f>
        <v>0.13491649108627285</v>
      </c>
      <c r="BL139" s="475">
        <f>BL138/BL115</f>
        <v>0.12993414089820923</v>
      </c>
      <c r="BM139" s="475">
        <f>BM138/BM115</f>
        <v>0.12970824451376176</v>
      </c>
      <c r="BN139" s="475">
        <f>BN138/BN115</f>
        <v>0.12626936041052242</v>
      </c>
      <c r="BO139" s="476">
        <f t="shared" si="183"/>
        <v>0.13010324769789292</v>
      </c>
      <c r="BP139" s="475">
        <f t="shared" ref="BP139:BY139" si="184">BP138/BP115</f>
        <v>0.13793388032274859</v>
      </c>
      <c r="BQ139" s="475">
        <f t="shared" si="184"/>
        <v>0.13257044644062668</v>
      </c>
      <c r="BR139" s="475">
        <f t="shared" si="184"/>
        <v>0.13203685846888957</v>
      </c>
      <c r="BS139" s="475">
        <f t="shared" si="184"/>
        <v>0.12799645938147183</v>
      </c>
      <c r="BT139" s="476">
        <f t="shared" si="184"/>
        <v>0.13252167763083683</v>
      </c>
      <c r="BU139" s="475">
        <f t="shared" si="184"/>
        <v>0.14046717690950808</v>
      </c>
      <c r="BV139" s="475">
        <f t="shared" si="184"/>
        <v>0.13496393512992033</v>
      </c>
      <c r="BW139" s="475">
        <f t="shared" si="184"/>
        <v>0.1343088659121065</v>
      </c>
      <c r="BX139" s="475">
        <f t="shared" si="184"/>
        <v>0.12988537709503251</v>
      </c>
      <c r="BY139" s="476">
        <f t="shared" si="184"/>
        <v>0.13478391061819758</v>
      </c>
      <c r="BZ139" s="475">
        <f t="shared" ref="BZ139:CN139" si="185">BZ138/BZ115</f>
        <v>0.14317892902039842</v>
      </c>
      <c r="CA139" s="475">
        <f t="shared" si="185"/>
        <v>0.13752175628424348</v>
      </c>
      <c r="CB139" s="475">
        <f t="shared" si="185"/>
        <v>0.13674241539324436</v>
      </c>
      <c r="CC139" s="475">
        <f t="shared" si="185"/>
        <v>0.13193408843224264</v>
      </c>
      <c r="CD139" s="472">
        <f t="shared" si="185"/>
        <v>0.13721176537825278</v>
      </c>
      <c r="CE139" s="469">
        <f t="shared" si="185"/>
        <v>0.1460648471842057</v>
      </c>
      <c r="CF139" s="469">
        <f t="shared" si="185"/>
        <v>0.14023984574124412</v>
      </c>
      <c r="CG139" s="469">
        <f t="shared" si="185"/>
        <v>0.13933359627188277</v>
      </c>
      <c r="CH139" s="469">
        <f t="shared" si="185"/>
        <v>0.13413942160043527</v>
      </c>
      <c r="CI139" s="472">
        <f t="shared" si="185"/>
        <v>0.13980140565937305</v>
      </c>
      <c r="CJ139" s="475">
        <f t="shared" si="185"/>
        <v>0.14911944444996994</v>
      </c>
      <c r="CK139" s="475">
        <f t="shared" si="185"/>
        <v>0.14311306993257558</v>
      </c>
      <c r="CL139" s="475">
        <f t="shared" si="185"/>
        <v>0.14207744587137508</v>
      </c>
      <c r="CM139" s="475">
        <f t="shared" si="185"/>
        <v>0.1364971374011956</v>
      </c>
      <c r="CN139" s="476">
        <f t="shared" si="185"/>
        <v>0.14254790243823839</v>
      </c>
      <c r="CO139" s="475">
        <f t="shared" ref="CO139:CX139" si="186">CO138/CO115</f>
        <v>0.15233614919607133</v>
      </c>
      <c r="CP139" s="475">
        <f t="shared" si="186"/>
        <v>0.14613533045840407</v>
      </c>
      <c r="CQ139" s="475">
        <f t="shared" si="186"/>
        <v>0.14496805220226691</v>
      </c>
      <c r="CR139" s="475">
        <f t="shared" si="186"/>
        <v>0.13900202576692169</v>
      </c>
      <c r="CS139" s="476">
        <f t="shared" si="186"/>
        <v>0.14544533766162751</v>
      </c>
      <c r="CT139" s="475">
        <f t="shared" si="186"/>
        <v>0.1557074335227174</v>
      </c>
      <c r="CU139" s="475">
        <f t="shared" si="186"/>
        <v>0.1492996816985851</v>
      </c>
      <c r="CV139" s="475">
        <f t="shared" si="186"/>
        <v>0.14799866931291733</v>
      </c>
      <c r="CW139" s="475">
        <f t="shared" si="186"/>
        <v>0.1416480154657643</v>
      </c>
      <c r="CX139" s="476">
        <f t="shared" si="186"/>
        <v>0.14848692151081852</v>
      </c>
      <c r="CY139" s="475"/>
      <c r="DA139" s="477"/>
      <c r="DB139" s="469"/>
      <c r="DC139" s="469"/>
    </row>
    <row r="140" spans="1:107" ht="11.25" hidden="1" customHeight="1" outlineLevel="2">
      <c r="A140" s="468"/>
      <c r="B140" s="469"/>
      <c r="C140" s="470"/>
      <c r="D140" s="469"/>
      <c r="E140" s="469"/>
      <c r="F140" s="471"/>
      <c r="G140" s="472"/>
      <c r="H140" s="470"/>
      <c r="I140" s="469"/>
      <c r="J140" s="469"/>
      <c r="K140" s="471"/>
      <c r="L140" s="470"/>
      <c r="M140" s="470"/>
      <c r="N140" s="469"/>
      <c r="O140" s="469"/>
      <c r="P140" s="471"/>
      <c r="Q140" s="472"/>
      <c r="R140" s="469"/>
      <c r="S140" s="469"/>
      <c r="T140" s="469"/>
      <c r="U140" s="469"/>
      <c r="V140" s="472"/>
      <c r="W140" s="469"/>
      <c r="X140" s="469"/>
      <c r="Y140" s="469"/>
      <c r="Z140" s="469"/>
      <c r="AA140" s="472"/>
      <c r="AB140" s="469"/>
      <c r="AC140" s="469"/>
      <c r="AD140" s="469"/>
      <c r="AE140" s="469"/>
      <c r="AF140" s="472"/>
      <c r="AG140" s="469"/>
      <c r="AH140" s="469"/>
      <c r="AI140" s="469"/>
      <c r="AJ140" s="469"/>
      <c r="AK140" s="472"/>
      <c r="AL140" s="469"/>
      <c r="AM140" s="469"/>
      <c r="AN140" s="469"/>
      <c r="AO140" s="469"/>
      <c r="AP140" s="472"/>
      <c r="AQ140" s="469"/>
      <c r="AR140" s="469"/>
      <c r="AS140" s="469"/>
      <c r="AT140" s="469"/>
      <c r="AU140" s="472"/>
      <c r="AV140" s="469"/>
      <c r="AW140" s="469"/>
      <c r="AX140" s="469"/>
      <c r="AY140" s="469"/>
      <c r="AZ140" s="472"/>
      <c r="BA140" s="469"/>
      <c r="BB140" s="469"/>
      <c r="BC140" s="469"/>
      <c r="BD140" s="469"/>
      <c r="BE140" s="472"/>
      <c r="BF140" s="469"/>
      <c r="BG140" s="475"/>
      <c r="BH140" s="475"/>
      <c r="BI140" s="469"/>
      <c r="BJ140" s="472"/>
      <c r="BK140" s="475"/>
      <c r="BL140" s="475"/>
      <c r="BM140" s="475"/>
      <c r="BN140" s="475"/>
      <c r="BO140" s="476"/>
      <c r="BP140" s="475"/>
      <c r="BQ140" s="475"/>
      <c r="BR140" s="475"/>
      <c r="BS140" s="475"/>
      <c r="BT140" s="476"/>
      <c r="BU140" s="475"/>
      <c r="BV140" s="475"/>
      <c r="BW140" s="475"/>
      <c r="BX140" s="475"/>
      <c r="BY140" s="476"/>
      <c r="BZ140" s="475"/>
      <c r="CA140" s="475"/>
      <c r="CB140" s="475"/>
      <c r="CC140" s="475"/>
      <c r="CD140" s="472"/>
      <c r="CE140" s="469"/>
      <c r="CF140" s="469"/>
      <c r="CG140" s="469"/>
      <c r="CH140" s="469"/>
      <c r="CI140" s="472"/>
      <c r="CJ140" s="475"/>
      <c r="CK140" s="475"/>
      <c r="CL140" s="475"/>
      <c r="CM140" s="475"/>
      <c r="CN140" s="476"/>
      <c r="CO140" s="475"/>
      <c r="CP140" s="475"/>
      <c r="CQ140" s="475"/>
      <c r="CR140" s="475"/>
      <c r="CS140" s="476"/>
      <c r="CT140" s="475"/>
      <c r="CU140" s="475"/>
      <c r="CV140" s="475"/>
      <c r="CW140" s="475"/>
      <c r="CX140" s="476"/>
      <c r="CY140" s="475"/>
      <c r="DA140" s="477"/>
      <c r="DB140" s="469"/>
      <c r="DC140" s="469"/>
    </row>
    <row r="141" spans="1:107" hidden="1" outlineLevel="1">
      <c r="A141" s="535" t="s">
        <v>308</v>
      </c>
      <c r="B141" s="200"/>
      <c r="C141" s="551"/>
      <c r="D141" s="363"/>
      <c r="E141" s="363"/>
      <c r="F141" s="552"/>
      <c r="G141" s="522"/>
      <c r="H141" s="551"/>
      <c r="I141" s="363"/>
      <c r="J141" s="363"/>
      <c r="K141" s="552"/>
      <c r="L141" s="551"/>
      <c r="M141" s="551"/>
      <c r="N141" s="363"/>
      <c r="O141" s="363"/>
      <c r="P141" s="552"/>
      <c r="Q141" s="522"/>
      <c r="R141" s="200"/>
      <c r="S141" s="200"/>
      <c r="T141" s="200"/>
      <c r="U141" s="200"/>
      <c r="V141" s="522"/>
      <c r="W141" s="200"/>
      <c r="X141" s="200"/>
      <c r="Y141" s="200"/>
      <c r="Z141" s="200"/>
      <c r="AA141" s="522"/>
      <c r="AB141" s="200"/>
      <c r="AC141" s="529"/>
      <c r="AD141" s="529"/>
      <c r="AE141" s="200"/>
      <c r="AF141" s="522"/>
      <c r="AG141" s="200"/>
      <c r="AH141" s="200"/>
      <c r="AI141" s="200"/>
      <c r="AJ141" s="200"/>
      <c r="AK141" s="522"/>
      <c r="AL141" s="200"/>
      <c r="AM141" s="200"/>
      <c r="AN141" s="200"/>
      <c r="AO141" s="200"/>
      <c r="AP141" s="522"/>
      <c r="AQ141" s="200"/>
      <c r="AR141" s="441"/>
      <c r="AS141" s="441"/>
      <c r="AT141" s="441"/>
      <c r="AU141" s="523"/>
      <c r="AV141" s="200"/>
      <c r="AW141" s="200"/>
      <c r="AX141" s="200"/>
      <c r="AY141" s="200"/>
      <c r="AZ141" s="522"/>
      <c r="BA141" s="441"/>
      <c r="BB141" s="441"/>
      <c r="BC141" s="200"/>
      <c r="BD141" s="200"/>
      <c r="BE141" s="522"/>
      <c r="BF141" s="200"/>
      <c r="BG141" s="441"/>
      <c r="BH141" s="441"/>
      <c r="BI141" s="200"/>
      <c r="BJ141" s="522"/>
      <c r="BK141" s="441"/>
      <c r="BL141" s="441"/>
      <c r="BM141" s="441"/>
      <c r="BN141" s="441"/>
      <c r="BO141" s="523"/>
      <c r="BP141" s="441"/>
      <c r="BQ141" s="441"/>
      <c r="BR141" s="441"/>
      <c r="BS141" s="441"/>
      <c r="BT141" s="523"/>
      <c r="BU141" s="441"/>
      <c r="BV141" s="441"/>
      <c r="BW141" s="441"/>
      <c r="BX141" s="441"/>
      <c r="BY141" s="523"/>
      <c r="BZ141" s="441"/>
      <c r="CA141" s="441"/>
      <c r="CB141" s="441"/>
      <c r="CC141" s="441"/>
      <c r="CD141" s="522"/>
      <c r="CE141" s="200"/>
      <c r="CF141" s="200"/>
      <c r="CG141" s="200"/>
      <c r="CH141" s="200"/>
      <c r="CI141" s="522"/>
      <c r="CJ141" s="441"/>
      <c r="CK141" s="441"/>
      <c r="CL141" s="441"/>
      <c r="CM141" s="441"/>
      <c r="CN141" s="523"/>
      <c r="CO141" s="441"/>
      <c r="CP141" s="441"/>
      <c r="CQ141" s="441"/>
      <c r="CR141" s="441"/>
      <c r="CS141" s="523"/>
      <c r="CT141" s="441"/>
      <c r="CU141" s="441"/>
      <c r="CV141" s="441"/>
      <c r="CW141" s="441"/>
      <c r="CX141" s="523"/>
      <c r="CY141" s="1348"/>
      <c r="DA141" s="201"/>
      <c r="DB141" s="200"/>
      <c r="DC141" s="200"/>
    </row>
    <row r="142" spans="1:107" hidden="1" outlineLevel="1">
      <c r="A142" s="90" t="s">
        <v>307</v>
      </c>
      <c r="B142" s="90"/>
      <c r="C142" s="205"/>
      <c r="D142" s="206"/>
      <c r="E142" s="206"/>
      <c r="F142" s="207"/>
      <c r="G142" s="208"/>
      <c r="H142" s="205"/>
      <c r="I142" s="206"/>
      <c r="J142" s="206"/>
      <c r="K142" s="207"/>
      <c r="L142" s="205"/>
      <c r="M142" s="205"/>
      <c r="N142" s="206"/>
      <c r="O142" s="206"/>
      <c r="P142" s="207"/>
      <c r="Q142" s="208"/>
      <c r="R142" s="90"/>
      <c r="S142" s="90"/>
      <c r="T142" s="90"/>
      <c r="U142" s="90"/>
      <c r="V142" s="208"/>
      <c r="W142" s="90"/>
      <c r="X142" s="90"/>
      <c r="Y142" s="90"/>
      <c r="Z142" s="90"/>
      <c r="AA142" s="208"/>
      <c r="AB142" s="90"/>
      <c r="AC142" s="358"/>
      <c r="AD142" s="358"/>
      <c r="AE142" s="90"/>
      <c r="AF142" s="208"/>
      <c r="AG142" s="200"/>
      <c r="AH142" s="200"/>
      <c r="AI142" s="200"/>
      <c r="AJ142" s="200"/>
      <c r="AK142" s="522"/>
      <c r="AL142" s="200"/>
      <c r="AM142" s="200"/>
      <c r="AN142" s="200"/>
      <c r="AO142" s="200"/>
      <c r="AP142" s="522"/>
      <c r="AQ142" s="200"/>
      <c r="AR142" s="200"/>
      <c r="AS142" s="441"/>
      <c r="AT142" s="441"/>
      <c r="AU142" s="523"/>
      <c r="AV142" s="200"/>
      <c r="AW142" s="200"/>
      <c r="AX142" s="200"/>
      <c r="AY142" s="200"/>
      <c r="AZ142" s="523"/>
      <c r="BA142" s="441"/>
      <c r="BB142" s="441"/>
      <c r="BC142" s="200"/>
      <c r="BD142" s="200"/>
      <c r="BE142" s="523"/>
      <c r="BF142" s="200"/>
      <c r="BG142" s="441"/>
      <c r="BH142" s="441"/>
      <c r="BI142" s="200"/>
      <c r="BJ142" s="523"/>
      <c r="BK142" s="441"/>
      <c r="BL142" s="441"/>
      <c r="BM142" s="441"/>
      <c r="BN142" s="441"/>
      <c r="BO142" s="523"/>
      <c r="BP142" s="441"/>
      <c r="BQ142" s="441"/>
      <c r="BR142" s="441"/>
      <c r="BS142" s="441"/>
      <c r="BT142" s="523"/>
      <c r="BU142" s="441"/>
      <c r="BV142" s="441"/>
      <c r="BW142" s="441"/>
      <c r="BX142" s="441"/>
      <c r="BY142" s="523"/>
      <c r="BZ142" s="441"/>
      <c r="CA142" s="441"/>
      <c r="CB142" s="441"/>
      <c r="CC142" s="441"/>
      <c r="CD142" s="522"/>
      <c r="CE142" s="200"/>
      <c r="CF142" s="200"/>
      <c r="CG142" s="200"/>
      <c r="CH142" s="200"/>
      <c r="CI142" s="522"/>
      <c r="CJ142" s="441"/>
      <c r="CK142" s="441"/>
      <c r="CL142" s="441"/>
      <c r="CM142" s="441"/>
      <c r="CN142" s="523"/>
      <c r="CO142" s="441"/>
      <c r="CP142" s="441"/>
      <c r="CQ142" s="441"/>
      <c r="CR142" s="441"/>
      <c r="CS142" s="523"/>
      <c r="CT142" s="441"/>
      <c r="CU142" s="441"/>
      <c r="CV142" s="441"/>
      <c r="CW142" s="441"/>
      <c r="CX142" s="523"/>
      <c r="CY142" s="1348"/>
      <c r="DA142" s="201"/>
      <c r="DB142" s="200"/>
      <c r="DC142" s="200"/>
    </row>
    <row r="143" spans="1:107" hidden="1" outlineLevel="1">
      <c r="A143" s="90" t="s">
        <v>63</v>
      </c>
      <c r="B143" s="90"/>
      <c r="C143" s="205"/>
      <c r="D143" s="206"/>
      <c r="E143" s="206"/>
      <c r="F143" s="207"/>
      <c r="G143" s="208"/>
      <c r="H143" s="205"/>
      <c r="I143" s="206"/>
      <c r="J143" s="206"/>
      <c r="K143" s="207"/>
      <c r="L143" s="205"/>
      <c r="M143" s="205"/>
      <c r="N143" s="206"/>
      <c r="O143" s="206"/>
      <c r="P143" s="207"/>
      <c r="Q143" s="208"/>
      <c r="R143" s="90"/>
      <c r="S143" s="90"/>
      <c r="T143" s="90"/>
      <c r="U143" s="90"/>
      <c r="V143" s="208"/>
      <c r="W143" s="417"/>
      <c r="X143" s="417"/>
      <c r="Y143" s="417"/>
      <c r="Z143" s="417"/>
      <c r="AA143" s="311"/>
      <c r="AB143" s="417"/>
      <c r="AC143" s="417"/>
      <c r="AD143" s="417"/>
      <c r="AE143" s="417"/>
      <c r="AF143" s="311"/>
      <c r="AG143" s="417"/>
      <c r="AH143" s="417"/>
      <c r="AI143" s="417"/>
      <c r="AJ143" s="417"/>
      <c r="AK143" s="311"/>
      <c r="AL143" s="417"/>
      <c r="AM143" s="417"/>
      <c r="AN143" s="417"/>
      <c r="AO143" s="417"/>
      <c r="AP143" s="311"/>
      <c r="AQ143" s="417">
        <f t="shared" ref="AQ143:BD143" si="187">AQ90/AQ$115</f>
        <v>0.46007121057985756</v>
      </c>
      <c r="AR143" s="417">
        <f t="shared" si="187"/>
        <v>0.45451965375337022</v>
      </c>
      <c r="AS143" s="417">
        <f t="shared" si="187"/>
        <v>0.46265232974910392</v>
      </c>
      <c r="AT143" s="417">
        <f t="shared" si="187"/>
        <v>0.43153307804040675</v>
      </c>
      <c r="AU143" s="386">
        <f t="shared" si="187"/>
        <v>0.45201805899725028</v>
      </c>
      <c r="AV143" s="417">
        <f t="shared" si="187"/>
        <v>0.38732968440666121</v>
      </c>
      <c r="AW143" s="417">
        <f t="shared" si="187"/>
        <v>0.44888653234358433</v>
      </c>
      <c r="AX143" s="417">
        <f t="shared" si="187"/>
        <v>0.42098354034131064</v>
      </c>
      <c r="AY143" s="417">
        <f t="shared" si="187"/>
        <v>0.4015873015873016</v>
      </c>
      <c r="AZ143" s="386">
        <f t="shared" si="187"/>
        <v>0.41515789473684211</v>
      </c>
      <c r="BA143" s="417">
        <f t="shared" si="187"/>
        <v>0.41335019947455481</v>
      </c>
      <c r="BB143" s="417">
        <f t="shared" si="187"/>
        <v>0.42327990617670058</v>
      </c>
      <c r="BC143" s="417">
        <f t="shared" si="187"/>
        <v>0.4124555862613502</v>
      </c>
      <c r="BD143" s="417">
        <f t="shared" si="187"/>
        <v>0.37944801249783028</v>
      </c>
      <c r="BE143" s="386"/>
      <c r="BF143" s="417">
        <f>BF90/BF$115</f>
        <v>0.38987106848432823</v>
      </c>
      <c r="BG143" s="417">
        <f>BG90/BG$115</f>
        <v>0.40601914711423814</v>
      </c>
      <c r="BH143" s="417">
        <f>BH90/BH$115</f>
        <v>0.40732671171226037</v>
      </c>
      <c r="BI143" s="417">
        <f>BI90/BI$115</f>
        <v>0.40809990128139489</v>
      </c>
      <c r="BJ143" s="386"/>
      <c r="BK143" s="417">
        <f>BK90/BK$115</f>
        <v>0.39588144138133607</v>
      </c>
      <c r="BL143" s="417">
        <f>BL90/BL$115</f>
        <v>0.39825797142127906</v>
      </c>
      <c r="BM143" s="417">
        <f>BM90/BM$115</f>
        <v>0.39752684026364343</v>
      </c>
      <c r="BN143" s="417">
        <f>BN90/BN$115</f>
        <v>0.39833946576264279</v>
      </c>
      <c r="BO143" s="523"/>
      <c r="BP143" s="417">
        <f>BP90/BP$115</f>
        <v>0.39503837402884451</v>
      </c>
      <c r="BQ143" s="417">
        <f>BQ90/BQ$115</f>
        <v>0.40098933149671567</v>
      </c>
      <c r="BR143" s="417">
        <f>BR90/BR$115</f>
        <v>0.40329150382404433</v>
      </c>
      <c r="BS143" s="417">
        <f>BS90/BS$115</f>
        <v>0.40965203025285635</v>
      </c>
      <c r="BT143" s="523"/>
      <c r="BU143" s="417">
        <f>BU90/BU$115</f>
        <v>0.40593450333179093</v>
      </c>
      <c r="BV143" s="417">
        <f>BV90/BV$115</f>
        <v>0.41185936590394534</v>
      </c>
      <c r="BW143" s="417">
        <f>BW90/BW$115</f>
        <v>0.41404565656600456</v>
      </c>
      <c r="BX143" s="417">
        <f>BX90/BX$115</f>
        <v>0.42032100680176304</v>
      </c>
      <c r="BY143" s="523"/>
      <c r="BZ143" s="417">
        <f>BZ90/BZ$115</f>
        <v>0.41616833480907034</v>
      </c>
      <c r="CA143" s="417">
        <f>CA90/CA$115</f>
        <v>0.4220575446800347</v>
      </c>
      <c r="CB143" s="417">
        <f>CB90/CB$115</f>
        <v>0.42411905891233814</v>
      </c>
      <c r="CC143" s="417">
        <f>CC90/CC$115</f>
        <v>0.43029280558545385</v>
      </c>
      <c r="CD143" s="522"/>
      <c r="CE143" s="417">
        <f>CE90/CE$115</f>
        <v>0.42568851011787534</v>
      </c>
      <c r="CF143" s="417">
        <f>CF90/CF$115</f>
        <v>0.43153403508583754</v>
      </c>
      <c r="CG143" s="417">
        <f>CG90/CG$115</f>
        <v>0.43346326750212233</v>
      </c>
      <c r="CH143" s="417">
        <f>CH90/CH$115</f>
        <v>0.43952092579571256</v>
      </c>
      <c r="CI143" s="522"/>
      <c r="CJ143" s="417">
        <f>CJ90/CJ$115</f>
        <v>0.43445100515239088</v>
      </c>
      <c r="CK143" s="417">
        <f>CK90/CK$115</f>
        <v>0.44024635888635483</v>
      </c>
      <c r="CL143" s="417">
        <f>CL90/CL$115</f>
        <v>0.44203724825237717</v>
      </c>
      <c r="CM143" s="417">
        <f>CM90/CM$115</f>
        <v>0.44796639076999412</v>
      </c>
      <c r="CN143" s="523"/>
      <c r="CO143" s="417">
        <f>CO90/CO$115</f>
        <v>0.442419519316888</v>
      </c>
      <c r="CP143" s="417">
        <f>CP90/CP$115</f>
        <v>0.44815973635280948</v>
      </c>
      <c r="CQ143" s="417">
        <f>CQ90/CQ$115</f>
        <v>0.44980768502708846</v>
      </c>
      <c r="CR143" s="417">
        <f>CR90/CR$115</f>
        <v>0.4555979992177222</v>
      </c>
      <c r="CS143" s="523"/>
      <c r="CT143" s="417">
        <f>CT90/CT$115</f>
        <v>0.4495656769803405</v>
      </c>
      <c r="CU143" s="417">
        <f>CU90/CU$115</f>
        <v>0.45524724681515294</v>
      </c>
      <c r="CV143" s="417">
        <f>CV90/CV$115</f>
        <v>0.45674910680768077</v>
      </c>
      <c r="CW143" s="417">
        <f>CW90/CW$115</f>
        <v>0.46239239751749733</v>
      </c>
      <c r="CX143" s="523"/>
      <c r="CY143" s="1348"/>
      <c r="DA143" s="201"/>
      <c r="DB143" s="200"/>
      <c r="DC143" s="200"/>
    </row>
    <row r="144" spans="1:107" hidden="1" outlineLevel="1">
      <c r="A144" s="90" t="s">
        <v>64</v>
      </c>
      <c r="B144" s="90"/>
      <c r="C144" s="205"/>
      <c r="D144" s="206"/>
      <c r="E144" s="206"/>
      <c r="F144" s="207"/>
      <c r="G144" s="208"/>
      <c r="H144" s="205"/>
      <c r="I144" s="206"/>
      <c r="J144" s="206"/>
      <c r="K144" s="207"/>
      <c r="L144" s="205"/>
      <c r="M144" s="205"/>
      <c r="N144" s="206"/>
      <c r="O144" s="206"/>
      <c r="P144" s="207"/>
      <c r="Q144" s="208"/>
      <c r="R144" s="90"/>
      <c r="S144" s="90"/>
      <c r="T144" s="90"/>
      <c r="U144" s="90"/>
      <c r="V144" s="208"/>
      <c r="W144" s="417"/>
      <c r="X144" s="417"/>
      <c r="Y144" s="417"/>
      <c r="Z144" s="417"/>
      <c r="AA144" s="311"/>
      <c r="AB144" s="417"/>
      <c r="AC144" s="417"/>
      <c r="AD144" s="417"/>
      <c r="AE144" s="417"/>
      <c r="AF144" s="311"/>
      <c r="AG144" s="417"/>
      <c r="AH144" s="417"/>
      <c r="AI144" s="417"/>
      <c r="AJ144" s="417"/>
      <c r="AK144" s="311"/>
      <c r="AL144" s="417"/>
      <c r="AM144" s="417"/>
      <c r="AN144" s="417"/>
      <c r="AO144" s="417"/>
      <c r="AP144" s="311"/>
      <c r="AQ144" s="417">
        <f>AQ94/AQ115</f>
        <v>0.17522889114954221</v>
      </c>
      <c r="AR144" s="417">
        <f>AR94/AR115</f>
        <v>0.16205477508159499</v>
      </c>
      <c r="AS144" s="417">
        <f>AS94/AS115</f>
        <v>0.15555555555555556</v>
      </c>
      <c r="AT144" s="417">
        <f>AT94/AT115</f>
        <v>0.1770764558299221</v>
      </c>
      <c r="AU144" s="523"/>
      <c r="AV144" s="417">
        <f>AV94/AV115</f>
        <v>0.15209036916268778</v>
      </c>
      <c r="AW144" s="417">
        <f>AW94/AW115</f>
        <v>0.1477200424178155</v>
      </c>
      <c r="AX144" s="417">
        <f>AX94/AX115</f>
        <v>0.15924467333131373</v>
      </c>
      <c r="AY144" s="417">
        <f>AY94/AY115</f>
        <v>0.16458333333333333</v>
      </c>
      <c r="AZ144" s="523"/>
      <c r="BA144" s="417">
        <f>BA94/BA115</f>
        <v>0.14761117057507053</v>
      </c>
      <c r="BB144" s="417">
        <f>BB94/BB115</f>
        <v>0.13360046911649726</v>
      </c>
      <c r="BC144" s="417">
        <f>BC94/BC115</f>
        <v>0.14913146466640348</v>
      </c>
      <c r="BD144" s="417">
        <f>BD94/BD115</f>
        <v>0.16177746918937688</v>
      </c>
      <c r="BE144" s="523"/>
      <c r="BF144" s="417">
        <f>BF94/BF115</f>
        <v>0.15894027116299411</v>
      </c>
      <c r="BG144" s="417">
        <f>BG94/BG115</f>
        <v>0.16098853358977369</v>
      </c>
      <c r="BH144" s="417">
        <f>BH94/BH115</f>
        <v>0.15990791010517658</v>
      </c>
      <c r="BI144" s="417">
        <f>BI94/BI115</f>
        <v>0.1579007060475244</v>
      </c>
      <c r="BJ144" s="523"/>
      <c r="BK144" s="417">
        <f>BK94/BK115</f>
        <v>0.15641493909275739</v>
      </c>
      <c r="BL144" s="417">
        <f>BL94/BL115</f>
        <v>0.15735391920799779</v>
      </c>
      <c r="BM144" s="417">
        <f>BM94/BM115</f>
        <v>0.15706504525853618</v>
      </c>
      <c r="BN144" s="417">
        <f>BN94/BN115</f>
        <v>0.15663666036626367</v>
      </c>
      <c r="BO144" s="523"/>
      <c r="BP144" s="417">
        <f>BP94/BP115</f>
        <v>0.1553385916856852</v>
      </c>
      <c r="BQ144" s="417">
        <f>BQ94/BQ115</f>
        <v>0.15542609915621536</v>
      </c>
      <c r="BR144" s="417">
        <f>BR94/BR115</f>
        <v>0.15555216942974767</v>
      </c>
      <c r="BS144" s="417">
        <f>BS94/BS115</f>
        <v>0.15353361324065892</v>
      </c>
      <c r="BT144" s="523"/>
      <c r="BU144" s="417">
        <f>BU94/BU115</f>
        <v>0.15214032015687193</v>
      </c>
      <c r="BV144" s="417">
        <f>BV94/BV115</f>
        <v>0.15215574553113032</v>
      </c>
      <c r="BW144" s="417">
        <f>BW94/BW115</f>
        <v>0.15221361958738222</v>
      </c>
      <c r="BX144" s="417">
        <f>BX94/BX115</f>
        <v>0.15014737207802026</v>
      </c>
      <c r="BY144" s="523"/>
      <c r="BZ144" s="417">
        <f>BZ94/BZ115</f>
        <v>0.14866395160482257</v>
      </c>
      <c r="CA144" s="417">
        <f>CA94/CA115</f>
        <v>0.14861387510976012</v>
      </c>
      <c r="CB144" s="417">
        <f>CB94/CB115</f>
        <v>0.14860771278392282</v>
      </c>
      <c r="CC144" s="417">
        <f>CC94/CC115</f>
        <v>0.14650383902724007</v>
      </c>
      <c r="CD144" s="522"/>
      <c r="CE144" s="417">
        <f>CE94/CE115</f>
        <v>0.1449361926402683</v>
      </c>
      <c r="CF144" s="417">
        <f>CF94/CF115</f>
        <v>0.14482749710806425</v>
      </c>
      <c r="CG144" s="417">
        <f>CG94/CG115</f>
        <v>0.14476185581667331</v>
      </c>
      <c r="CH144" s="417">
        <f>CH94/CH115</f>
        <v>0.14263061601408289</v>
      </c>
      <c r="CI144" s="522"/>
      <c r="CJ144" s="417">
        <f>CJ94/CJ115</f>
        <v>0.14098535668270901</v>
      </c>
      <c r="CK144" s="417">
        <f>CK94/CK115</f>
        <v>0.14082508580724692</v>
      </c>
      <c r="CL144" s="417">
        <f>CL94/CL115</f>
        <v>0.14070482454280461</v>
      </c>
      <c r="CM144" s="417">
        <f>CM94/CM115</f>
        <v>0.13855650290265623</v>
      </c>
      <c r="CN144" s="523"/>
      <c r="CO144" s="417">
        <f>CO94/CO115</f>
        <v>0.13684084939286523</v>
      </c>
      <c r="CP144" s="417">
        <f>CP94/CP115</f>
        <v>0.13663607197922878</v>
      </c>
      <c r="CQ144" s="417">
        <f>CQ94/CQ115</f>
        <v>0.13646625516954239</v>
      </c>
      <c r="CR144" s="417">
        <f>CR94/CR115</f>
        <v>0.13431099626205939</v>
      </c>
      <c r="CS144" s="523"/>
      <c r="CT144" s="417">
        <f>CT94/CT115</f>
        <v>0.13253265831749497</v>
      </c>
      <c r="CU144" s="417">
        <f>CU94/CU115</f>
        <v>0.13229034256860658</v>
      </c>
      <c r="CV144" s="417">
        <f>CV94/CV115</f>
        <v>0.13207614679986757</v>
      </c>
      <c r="CW144" s="417">
        <f>CW94/CW115</f>
        <v>0.12992380408884377</v>
      </c>
      <c r="CX144" s="523"/>
      <c r="CY144" s="1348"/>
      <c r="DA144" s="201"/>
      <c r="DB144" s="200"/>
      <c r="DC144" s="200"/>
    </row>
    <row r="145" spans="1:107" hidden="1" outlineLevel="1">
      <c r="A145" s="90" t="s">
        <v>80</v>
      </c>
      <c r="B145" s="90"/>
      <c r="C145" s="205"/>
      <c r="D145" s="206"/>
      <c r="E145" s="206"/>
      <c r="F145" s="207"/>
      <c r="G145" s="208"/>
      <c r="H145" s="205"/>
      <c r="I145" s="206"/>
      <c r="J145" s="206"/>
      <c r="K145" s="207"/>
      <c r="L145" s="205"/>
      <c r="M145" s="205"/>
      <c r="N145" s="206"/>
      <c r="O145" s="206"/>
      <c r="P145" s="207"/>
      <c r="Q145" s="208"/>
      <c r="R145" s="90"/>
      <c r="S145" s="90"/>
      <c r="T145" s="90"/>
      <c r="U145" s="90"/>
      <c r="V145" s="208"/>
      <c r="W145" s="417"/>
      <c r="X145" s="417"/>
      <c r="Y145" s="417"/>
      <c r="Z145" s="417"/>
      <c r="AA145" s="311"/>
      <c r="AB145" s="417"/>
      <c r="AC145" s="417"/>
      <c r="AD145" s="417"/>
      <c r="AE145" s="417"/>
      <c r="AF145" s="311"/>
      <c r="AG145" s="417"/>
      <c r="AH145" s="417"/>
      <c r="AI145" s="417"/>
      <c r="AJ145" s="417"/>
      <c r="AK145" s="311"/>
      <c r="AL145" s="417"/>
      <c r="AM145" s="417"/>
      <c r="AN145" s="417"/>
      <c r="AO145" s="417"/>
      <c r="AP145" s="311"/>
      <c r="AQ145" s="417">
        <f>AQ98/AQ115</f>
        <v>0.19061546286876907</v>
      </c>
      <c r="AR145" s="417">
        <f>AR98/AR115</f>
        <v>0.19554420320703847</v>
      </c>
      <c r="AS145" s="417">
        <f>AS98/AS115</f>
        <v>0.19799283154121863</v>
      </c>
      <c r="AT145" s="417">
        <f>AT98/AT115</f>
        <v>0.17403935032351778</v>
      </c>
      <c r="AU145" s="523"/>
      <c r="AV145" s="417">
        <f>AV98/AV115</f>
        <v>0.19319902177710493</v>
      </c>
      <c r="AW145" s="417">
        <f>AW98/AW115</f>
        <v>0.16542948038176034</v>
      </c>
      <c r="AX145" s="417">
        <f>AX98/AX115</f>
        <v>0.16419266888821568</v>
      </c>
      <c r="AY145" s="417">
        <f>AY98/AY115</f>
        <v>0.16855158730158731</v>
      </c>
      <c r="AZ145" s="523"/>
      <c r="BA145" s="417">
        <f>BA98/BA115</f>
        <v>0.17689987350394085</v>
      </c>
      <c r="BB145" s="417">
        <f>BB98/BB115</f>
        <v>0.17787333854573886</v>
      </c>
      <c r="BC145" s="417">
        <f>BC98/BC115</f>
        <v>0.17232530596131071</v>
      </c>
      <c r="BD145" s="417">
        <f>BD98/BD115</f>
        <v>0.17505641381704568</v>
      </c>
      <c r="BE145" s="523"/>
      <c r="BF145" s="417">
        <f>BF98/BF115</f>
        <v>0.18447696181595938</v>
      </c>
      <c r="BG145" s="417">
        <f>BG98/BG115</f>
        <v>0.17632731175228197</v>
      </c>
      <c r="BH145" s="417">
        <f>BH98/BH115</f>
        <v>0.17164085330976128</v>
      </c>
      <c r="BI145" s="417">
        <f>BI98/BI115</f>
        <v>0.16865961161424983</v>
      </c>
      <c r="BJ145" s="523"/>
      <c r="BK145" s="417">
        <f>BK98/BK115</f>
        <v>0.17140091464513663</v>
      </c>
      <c r="BL145" s="417">
        <f>BL98/BL115</f>
        <v>0.16994288850611783</v>
      </c>
      <c r="BM145" s="417">
        <f>BM98/BM115</f>
        <v>0.1713021438647864</v>
      </c>
      <c r="BN145" s="417">
        <f>BN98/BN115</f>
        <v>0.17083492819420371</v>
      </c>
      <c r="BO145" s="523"/>
      <c r="BP145" s="417">
        <f>BP98/BP115</f>
        <v>0.16976851452507769</v>
      </c>
      <c r="BQ145" s="417">
        <f>BQ98/BQ115</f>
        <v>0.16740235157027658</v>
      </c>
      <c r="BR145" s="417">
        <f>BR98/BR115</f>
        <v>0.1650622030571775</v>
      </c>
      <c r="BS145" s="417">
        <f>BS98/BS115</f>
        <v>0.16133848798867587</v>
      </c>
      <c r="BT145" s="523"/>
      <c r="BU145" s="417">
        <f>BU98/BU115</f>
        <v>0.16020400477970637</v>
      </c>
      <c r="BV145" s="417">
        <f>BV98/BV115</f>
        <v>0.1578982151482011</v>
      </c>
      <c r="BW145" s="417">
        <f>BW98/BW115</f>
        <v>0.15562391469345116</v>
      </c>
      <c r="BX145" s="417">
        <f>BX98/BX115</f>
        <v>0.15202097191605157</v>
      </c>
      <c r="BY145" s="523"/>
      <c r="BZ145" s="417">
        <f>BZ98/BZ115</f>
        <v>0.15082938925779033</v>
      </c>
      <c r="CA145" s="417">
        <f>CA98/CA115</f>
        <v>0.1485933864888643</v>
      </c>
      <c r="CB145" s="417">
        <f>CB98/CB115</f>
        <v>0.14639135469221157</v>
      </c>
      <c r="CC145" s="417">
        <f>CC98/CC115</f>
        <v>0.14291770446424912</v>
      </c>
      <c r="CD145" s="522"/>
      <c r="CE145" s="417">
        <f>CE98/CE115</f>
        <v>0.14167995360926017</v>
      </c>
      <c r="CF145" s="417">
        <f>CF98/CF115</f>
        <v>0.13952190735258821</v>
      </c>
      <c r="CG145" s="417">
        <f>CG98/CG115</f>
        <v>0.13739770517719282</v>
      </c>
      <c r="CH145" s="417">
        <f>CH98/CH115</f>
        <v>0.13406056398220878</v>
      </c>
      <c r="CI145" s="522"/>
      <c r="CJ145" s="417">
        <f>CJ98/CJ115</f>
        <v>0.13278738618732081</v>
      </c>
      <c r="CK145" s="417">
        <f>CK98/CK115</f>
        <v>0.13071416752097817</v>
      </c>
      <c r="CL145" s="417">
        <f>CL98/CL115</f>
        <v>0.128672453930636</v>
      </c>
      <c r="CM145" s="417">
        <f>CM98/CM115</f>
        <v>0.12547767271608379</v>
      </c>
      <c r="CN145" s="523"/>
      <c r="CO145" s="417">
        <f>CO98/CO115</f>
        <v>0.12417947903920974</v>
      </c>
      <c r="CP145" s="417">
        <f>CP98/CP115</f>
        <v>0.12219663950679981</v>
      </c>
      <c r="CQ145" s="417">
        <f>CQ98/CQ115</f>
        <v>0.12024115133493521</v>
      </c>
      <c r="CR145" s="417">
        <f>CR98/CR115</f>
        <v>0.11719318829431999</v>
      </c>
      <c r="CS145" s="523"/>
      <c r="CT145" s="417">
        <f>CT98/CT115</f>
        <v>0.11587993389729294</v>
      </c>
      <c r="CU145" s="417">
        <f>CU98/CU115</f>
        <v>0.11399171634498177</v>
      </c>
      <c r="CV145" s="417">
        <f>CV98/CV115</f>
        <v>0.11212526945907686</v>
      </c>
      <c r="CW145" s="417">
        <f>CW98/CW115</f>
        <v>0.10922719588845203</v>
      </c>
      <c r="CX145" s="523"/>
      <c r="CY145" s="1348"/>
      <c r="DA145" s="201"/>
      <c r="DB145" s="200"/>
      <c r="DC145" s="200"/>
    </row>
    <row r="146" spans="1:107" hidden="1" outlineLevel="1">
      <c r="A146" s="90" t="s">
        <v>69</v>
      </c>
      <c r="B146" s="90"/>
      <c r="C146" s="205"/>
      <c r="D146" s="206"/>
      <c r="E146" s="206"/>
      <c r="F146" s="207"/>
      <c r="G146" s="208"/>
      <c r="H146" s="205"/>
      <c r="I146" s="206"/>
      <c r="J146" s="206"/>
      <c r="K146" s="207"/>
      <c r="L146" s="205"/>
      <c r="M146" s="205"/>
      <c r="N146" s="206"/>
      <c r="O146" s="206"/>
      <c r="P146" s="207"/>
      <c r="Q146" s="208"/>
      <c r="R146" s="90"/>
      <c r="S146" s="90"/>
      <c r="T146" s="90"/>
      <c r="U146" s="90"/>
      <c r="V146" s="208"/>
      <c r="W146" s="417"/>
      <c r="X146" s="417"/>
      <c r="Y146" s="417"/>
      <c r="Z146" s="417"/>
      <c r="AA146" s="311"/>
      <c r="AB146" s="417"/>
      <c r="AC146" s="417"/>
      <c r="AD146" s="417"/>
      <c r="AE146" s="417"/>
      <c r="AF146" s="311"/>
      <c r="AG146" s="417"/>
      <c r="AH146" s="417"/>
      <c r="AI146" s="417"/>
      <c r="AJ146" s="417"/>
      <c r="AK146" s="311"/>
      <c r="AL146" s="417"/>
      <c r="AM146" s="417"/>
      <c r="AN146" s="417"/>
      <c r="AO146" s="417"/>
      <c r="AP146" s="311"/>
      <c r="AQ146" s="417">
        <f>AQ101/AQ115</f>
        <v>9.7151576805696846E-2</v>
      </c>
      <c r="AR146" s="417">
        <f>AR101/AR115</f>
        <v>0.10089399744572157</v>
      </c>
      <c r="AS146" s="417">
        <f>AS101/AS115</f>
        <v>0.10207885304659499</v>
      </c>
      <c r="AT146" s="417">
        <f>AT101/AT115</f>
        <v>0.10458206787270567</v>
      </c>
      <c r="AU146" s="523"/>
      <c r="AV146" s="417">
        <f>AV101/AV115</f>
        <v>9.1883079073017349E-2</v>
      </c>
      <c r="AW146" s="417">
        <f>AW101/AW115</f>
        <v>8.0487804878048783E-2</v>
      </c>
      <c r="AX146" s="417">
        <f>AX101/AX115</f>
        <v>9.441583358578208E-2</v>
      </c>
      <c r="AY146" s="417">
        <f>AY101/AY115</f>
        <v>0.10257936507936509</v>
      </c>
      <c r="AZ146" s="523"/>
      <c r="BA146" s="417">
        <f>BA101/BA115</f>
        <v>0.1019752846161331</v>
      </c>
      <c r="BB146" s="417">
        <f>BB101/BB115</f>
        <v>9.9198592650508219E-2</v>
      </c>
      <c r="BC146" s="417">
        <f>BC101/BC115</f>
        <v>9.45519147256218E-2</v>
      </c>
      <c r="BD146" s="417">
        <f>BD101/BD115</f>
        <v>0.12211421628189552</v>
      </c>
      <c r="BE146" s="523"/>
      <c r="BF146" s="417">
        <f>BF101/BF115</f>
        <v>8.6460714139403802E-2</v>
      </c>
      <c r="BG146" s="417">
        <f>BG101/BG115</f>
        <v>8.0585384266063681E-2</v>
      </c>
      <c r="BH146" s="417">
        <f>BH101/BH115</f>
        <v>8.2045572427172322E-2</v>
      </c>
      <c r="BI146" s="417">
        <f>BI101/BI115</f>
        <v>8.2991708964838637E-2</v>
      </c>
      <c r="BJ146" s="523"/>
      <c r="BK146" s="417">
        <f>BK101/BK115</f>
        <v>8.5192537142012442E-2</v>
      </c>
      <c r="BL146" s="417">
        <f>BL101/BL115</f>
        <v>8.4715067668260022E-2</v>
      </c>
      <c r="BM146" s="417">
        <f>BM101/BM115</f>
        <v>8.3309897335625258E-2</v>
      </c>
      <c r="BN146" s="417">
        <f>BN101/BN115</f>
        <v>8.3877724425329897E-2</v>
      </c>
      <c r="BO146" s="523"/>
      <c r="BP146" s="417">
        <f>BP101/BP115</f>
        <v>8.1467513111914344E-2</v>
      </c>
      <c r="BQ146" s="417">
        <f>BQ101/BQ115</f>
        <v>7.9938268221066006E-2</v>
      </c>
      <c r="BR146" s="417">
        <f>BR101/BR115</f>
        <v>7.8820796347089911E-2</v>
      </c>
      <c r="BS146" s="417">
        <f>BS101/BS115</f>
        <v>7.7797961327311038E-2</v>
      </c>
      <c r="BT146" s="523"/>
      <c r="BU146" s="417">
        <f>BU101/BU115</f>
        <v>7.550243232955578E-2</v>
      </c>
      <c r="BV146" s="417">
        <f>BV101/BV115</f>
        <v>7.4050955330524693E-2</v>
      </c>
      <c r="BW146" s="417">
        <f>BW101/BW115</f>
        <v>7.298435605817187E-2</v>
      </c>
      <c r="BX146" s="417">
        <f>BX101/BX115</f>
        <v>7.1993618538517726E-2</v>
      </c>
      <c r="BY146" s="523"/>
      <c r="BZ146" s="417">
        <f>BZ101/BZ115</f>
        <v>6.9812599698282449E-2</v>
      </c>
      <c r="CA146" s="417">
        <f>CA101/CA115</f>
        <v>6.8440502444541584E-2</v>
      </c>
      <c r="CB146" s="417">
        <f>CB101/CB115</f>
        <v>6.7426270478214728E-2</v>
      </c>
      <c r="CC146" s="417">
        <f>CC101/CC115</f>
        <v>6.6471701174154643E-2</v>
      </c>
      <c r="CD146" s="522"/>
      <c r="CE146" s="417">
        <f>CE101/CE115</f>
        <v>6.4404543745150131E-2</v>
      </c>
      <c r="CF146" s="417">
        <f>CF101/CF115</f>
        <v>6.31126443717277E-2</v>
      </c>
      <c r="CG146" s="417">
        <f>CG101/CG115</f>
        <v>6.2151762894307939E-2</v>
      </c>
      <c r="CH146" s="417">
        <f>CH101/CH115</f>
        <v>6.1236740700552295E-2</v>
      </c>
      <c r="CI146" s="522"/>
      <c r="CJ146" s="417">
        <f>CJ101/CJ115</f>
        <v>5.9282319548488116E-2</v>
      </c>
      <c r="CK146" s="417">
        <f>CK101/CK115</f>
        <v>5.8070678129649736E-2</v>
      </c>
      <c r="CL146" s="417">
        <f>CL101/CL115</f>
        <v>5.7163632665594266E-2</v>
      </c>
      <c r="CM146" s="417">
        <f>CM101/CM115</f>
        <v>5.6290841917416116E-2</v>
      </c>
      <c r="CN146" s="523"/>
      <c r="CO146" s="417">
        <f>CO101/CO115</f>
        <v>5.4447565133494802E-2</v>
      </c>
      <c r="CP146" s="417">
        <f>CP101/CP115</f>
        <v>5.3315533916444911E-2</v>
      </c>
      <c r="CQ146" s="417">
        <f>CQ101/CQ115</f>
        <v>5.2462336182276019E-2</v>
      </c>
      <c r="CR146" s="417">
        <f>CR101/CR115</f>
        <v>5.1633780307977703E-2</v>
      </c>
      <c r="CS146" s="523"/>
      <c r="CT146" s="417">
        <f>CT101/CT115</f>
        <v>4.9899607795663312E-2</v>
      </c>
      <c r="CU146" s="417">
        <f>CU101/CU115</f>
        <v>4.8845893318098868E-2</v>
      </c>
      <c r="CV146" s="417">
        <f>CV101/CV115</f>
        <v>4.8046113576236754E-2</v>
      </c>
      <c r="CW146" s="417">
        <f>CW101/CW115</f>
        <v>4.7263143260593499E-2</v>
      </c>
      <c r="CX146" s="523"/>
      <c r="CY146" s="1348"/>
      <c r="DA146" s="201"/>
      <c r="DB146" s="200"/>
      <c r="DC146" s="200"/>
    </row>
    <row r="147" spans="1:107" hidden="1" outlineLevel="1">
      <c r="A147" s="90" t="s">
        <v>201</v>
      </c>
      <c r="B147" s="90"/>
      <c r="C147" s="205"/>
      <c r="D147" s="206"/>
      <c r="E147" s="206"/>
      <c r="F147" s="207"/>
      <c r="G147" s="208"/>
      <c r="H147" s="205"/>
      <c r="I147" s="206"/>
      <c r="J147" s="206"/>
      <c r="K147" s="207"/>
      <c r="L147" s="205"/>
      <c r="M147" s="205"/>
      <c r="N147" s="206"/>
      <c r="O147" s="206"/>
      <c r="P147" s="207"/>
      <c r="Q147" s="208"/>
      <c r="R147" s="90"/>
      <c r="S147" s="90"/>
      <c r="T147" s="90"/>
      <c r="U147" s="90"/>
      <c r="V147" s="208"/>
      <c r="W147" s="417"/>
      <c r="X147" s="417"/>
      <c r="Y147" s="417"/>
      <c r="Z147" s="417"/>
      <c r="AA147" s="311"/>
      <c r="AB147" s="417"/>
      <c r="AC147" s="417"/>
      <c r="AD147" s="417"/>
      <c r="AE147" s="417"/>
      <c r="AF147" s="311"/>
      <c r="AG147" s="417"/>
      <c r="AH147" s="417"/>
      <c r="AI147" s="417"/>
      <c r="AJ147" s="417"/>
      <c r="AK147" s="311"/>
      <c r="AL147" s="417"/>
      <c r="AM147" s="417"/>
      <c r="AN147" s="417"/>
      <c r="AO147" s="417"/>
      <c r="AP147" s="311"/>
      <c r="AQ147" s="417">
        <f>AQ108/AQ115</f>
        <v>9.0284842319430306E-3</v>
      </c>
      <c r="AR147" s="417">
        <f>AR108/AR115</f>
        <v>1.07847310912445E-2</v>
      </c>
      <c r="AS147" s="417">
        <f>AS108/AS115</f>
        <v>1.1039426523297492E-2</v>
      </c>
      <c r="AT147" s="417">
        <f>AT108/AT115</f>
        <v>4.5028390334081611E-2</v>
      </c>
      <c r="AU147" s="523"/>
      <c r="AV147" s="417">
        <f>AV108/AV115</f>
        <v>0.1117969022941656</v>
      </c>
      <c r="AW147" s="417">
        <f>AW108/AW115</f>
        <v>9.7454931071049841E-2</v>
      </c>
      <c r="AX147" s="417">
        <f>AX108/AX115</f>
        <v>0.10077754215894172</v>
      </c>
      <c r="AY147" s="417">
        <f>AY108/AY115</f>
        <v>0.10813492063492064</v>
      </c>
      <c r="AZ147" s="523"/>
      <c r="BA147" s="417">
        <f>BA108/BA115</f>
        <v>0.10791086893062178</v>
      </c>
      <c r="BB147" s="417">
        <f>BB108/BB115</f>
        <v>0.11327208756841284</v>
      </c>
      <c r="BC147" s="417">
        <f>BC108/BC115</f>
        <v>0.11666008685353337</v>
      </c>
      <c r="BD147" s="417">
        <f>BD108/BD115</f>
        <v>0.11378232945669156</v>
      </c>
      <c r="BE147" s="523"/>
      <c r="BF147" s="417">
        <f>BF108/BF115</f>
        <v>0.12864855801156028</v>
      </c>
      <c r="BG147" s="417">
        <f>BG108/BG115</f>
        <v>0.12724761440771545</v>
      </c>
      <c r="BH147" s="417">
        <f>BH108/BH115</f>
        <v>0.13081724591935881</v>
      </c>
      <c r="BI147" s="417">
        <f>BI108/BI115</f>
        <v>0.13585449792357393</v>
      </c>
      <c r="BJ147" s="523"/>
      <c r="BK147" s="417">
        <f>BK108/BK115</f>
        <v>0.14433817711776334</v>
      </c>
      <c r="BL147" s="417">
        <f>BL108/BL115</f>
        <v>0.14380846014902787</v>
      </c>
      <c r="BM147" s="417">
        <f>BM108/BM115</f>
        <v>0.14495868433197392</v>
      </c>
      <c r="BN147" s="417">
        <f>BN108/BN115</f>
        <v>0.14525500928731891</v>
      </c>
      <c r="BO147" s="523"/>
      <c r="BP147" s="417">
        <f>BP108/BP115</f>
        <v>0.15370418146022913</v>
      </c>
      <c r="BQ147" s="417">
        <f>BQ108/BQ115</f>
        <v>0.15304781764125278</v>
      </c>
      <c r="BR147" s="417">
        <f>BR108/BR115</f>
        <v>0.15468104216512063</v>
      </c>
      <c r="BS147" s="417">
        <f>BS108/BS115</f>
        <v>0.15563832996475505</v>
      </c>
      <c r="BT147" s="523"/>
      <c r="BU147" s="417">
        <f>BU108/BU115</f>
        <v>0.16456066464317087</v>
      </c>
      <c r="BV147" s="417">
        <f>BV108/BV115</f>
        <v>0.16378228964683533</v>
      </c>
      <c r="BW147" s="417">
        <f>BW108/BW115</f>
        <v>0.16545881835702486</v>
      </c>
      <c r="BX147" s="417">
        <f>BX108/BX115</f>
        <v>0.16638195186759641</v>
      </c>
      <c r="BY147" s="523"/>
      <c r="BZ147" s="417">
        <f>BZ108/BZ115</f>
        <v>0.17577729114122717</v>
      </c>
      <c r="CA147" s="417">
        <f>CA108/CA115</f>
        <v>0.17486920207058423</v>
      </c>
      <c r="CB147" s="417">
        <f>CB108/CB115</f>
        <v>0.17658472890145605</v>
      </c>
      <c r="CC147" s="417">
        <f>CC108/CC115</f>
        <v>0.17746506501025006</v>
      </c>
      <c r="CD147" s="522"/>
      <c r="CE147" s="417">
        <f>CE108/CE115</f>
        <v>0.18733086193823881</v>
      </c>
      <c r="CF147" s="417">
        <f>CF108/CF115</f>
        <v>0.18628607102254666</v>
      </c>
      <c r="CG147" s="417">
        <f>CG108/CG115</f>
        <v>0.18803613804747152</v>
      </c>
      <c r="CH147" s="417">
        <f>CH108/CH115</f>
        <v>0.18886523055589702</v>
      </c>
      <c r="CI147" s="522"/>
      <c r="CJ147" s="417">
        <f>CJ108/CJ115</f>
        <v>0.19919658018291503</v>
      </c>
      <c r="CK147" s="417">
        <f>CK108/CK115</f>
        <v>0.19800892693308517</v>
      </c>
      <c r="CL147" s="417">
        <f>CL108/CL115</f>
        <v>0.1997889929389419</v>
      </c>
      <c r="CM147" s="417">
        <f>CM108/CM115</f>
        <v>0.20055872342031919</v>
      </c>
      <c r="CN147" s="523"/>
      <c r="CO147" s="417">
        <f>CO108/CO115</f>
        <v>0.21134842705483847</v>
      </c>
      <c r="CP147" s="417">
        <f>CP108/CP115</f>
        <v>0.21001267273485882</v>
      </c>
      <c r="CQ147" s="417">
        <f>CQ108/CQ115</f>
        <v>0.21181817935541683</v>
      </c>
      <c r="CR147" s="417">
        <f>CR108/CR115</f>
        <v>0.21252087809562031</v>
      </c>
      <c r="CS147" s="523"/>
      <c r="CT147" s="417">
        <f>CT108/CT115</f>
        <v>0.22375953751251454</v>
      </c>
      <c r="CU147" s="417">
        <f>CU108/CU115</f>
        <v>0.22227143975933469</v>
      </c>
      <c r="CV147" s="417">
        <f>CV108/CV115</f>
        <v>0.22409787326707584</v>
      </c>
      <c r="CW147" s="417">
        <f>CW108/CW115</f>
        <v>0.22472642709631413</v>
      </c>
      <c r="CX147" s="523"/>
      <c r="CY147" s="1348"/>
      <c r="DA147" s="201"/>
      <c r="DB147" s="200"/>
      <c r="DC147" s="200"/>
    </row>
    <row r="148" spans="1:107" hidden="1" outlineLevel="1">
      <c r="A148" s="90" t="s">
        <v>70</v>
      </c>
      <c r="B148" s="90"/>
      <c r="C148" s="205"/>
      <c r="D148" s="206"/>
      <c r="E148" s="206"/>
      <c r="F148" s="207"/>
      <c r="G148" s="208"/>
      <c r="H148" s="205"/>
      <c r="I148" s="206"/>
      <c r="J148" s="206"/>
      <c r="K148" s="207"/>
      <c r="L148" s="205"/>
      <c r="M148" s="205"/>
      <c r="N148" s="206"/>
      <c r="O148" s="206"/>
      <c r="P148" s="207"/>
      <c r="Q148" s="208"/>
      <c r="R148" s="90"/>
      <c r="S148" s="90"/>
      <c r="T148" s="90"/>
      <c r="U148" s="90"/>
      <c r="V148" s="208"/>
      <c r="W148" s="417"/>
      <c r="X148" s="417"/>
      <c r="Y148" s="417"/>
      <c r="Z148" s="417"/>
      <c r="AA148" s="311"/>
      <c r="AB148" s="417"/>
      <c r="AC148" s="417"/>
      <c r="AD148" s="417"/>
      <c r="AE148" s="417"/>
      <c r="AF148" s="311"/>
      <c r="AG148" s="417"/>
      <c r="AH148" s="417"/>
      <c r="AI148" s="417"/>
      <c r="AJ148" s="417"/>
      <c r="AK148" s="311"/>
      <c r="AL148" s="417"/>
      <c r="AM148" s="417"/>
      <c r="AN148" s="417"/>
      <c r="AO148" s="417"/>
      <c r="AP148" s="311"/>
      <c r="AQ148" s="417">
        <f>AQ112/AQ115</f>
        <v>6.7904374364191236E-2</v>
      </c>
      <c r="AR148" s="417">
        <f>AR112/AR115</f>
        <v>7.6202639421030227E-2</v>
      </c>
      <c r="AS148" s="417">
        <f>AS112/AS115</f>
        <v>7.0681003584229393E-2</v>
      </c>
      <c r="AT148" s="417">
        <f>AT112/AT115</f>
        <v>6.7740657599366164E-2</v>
      </c>
      <c r="AU148" s="523"/>
      <c r="AV148" s="417">
        <f>AV112/AV115</f>
        <v>6.370094328636311E-2</v>
      </c>
      <c r="AW148" s="417">
        <f>AW112/AW115</f>
        <v>6.002120890774125E-2</v>
      </c>
      <c r="AX148" s="417">
        <f>AX112/AX115</f>
        <v>6.0385741694436022E-2</v>
      </c>
      <c r="AY148" s="417">
        <f>AY112/AY115</f>
        <v>5.4563492063492064E-2</v>
      </c>
      <c r="AZ148" s="523"/>
      <c r="BA148" s="417">
        <f>BA112/BA115</f>
        <v>5.2252602899678896E-2</v>
      </c>
      <c r="BB148" s="417">
        <f>BB112/BB115</f>
        <v>5.2775605942142305E-2</v>
      </c>
      <c r="BC148" s="417">
        <f>BC112/BC115</f>
        <v>5.4875641531780504E-2</v>
      </c>
      <c r="BD148" s="417">
        <f>BD112/BD115</f>
        <v>4.7821558757160224E-2</v>
      </c>
      <c r="BE148" s="523"/>
      <c r="BF148" s="417">
        <f>BF112/BF115</f>
        <v>5.1602426385754178E-2</v>
      </c>
      <c r="BG148" s="417">
        <f>BG112/BG115</f>
        <v>4.8832008869927002E-2</v>
      </c>
      <c r="BH148" s="417">
        <f>BH112/BH115</f>
        <v>4.8261706526270723E-2</v>
      </c>
      <c r="BI148" s="417">
        <f>BI112/BI115</f>
        <v>4.6493574168418164E-2</v>
      </c>
      <c r="BJ148" s="523"/>
      <c r="BK148" s="417">
        <f>BK112/BK115</f>
        <v>4.6771990620994248E-2</v>
      </c>
      <c r="BL148" s="417">
        <f>BL112/BL115</f>
        <v>4.5921693047317441E-2</v>
      </c>
      <c r="BM148" s="417">
        <f>BM112/BM115</f>
        <v>4.5837388945434807E-2</v>
      </c>
      <c r="BN148" s="417">
        <f>BN112/BN115</f>
        <v>4.5056211964240908E-2</v>
      </c>
      <c r="BO148" s="523"/>
      <c r="BP148" s="417">
        <f>BP112/BP115</f>
        <v>4.4682825188249078E-2</v>
      </c>
      <c r="BQ148" s="417">
        <f>BQ112/BQ115</f>
        <v>4.3196131914473655E-2</v>
      </c>
      <c r="BR148" s="417">
        <f>BR112/BR115</f>
        <v>4.2592285176819851E-2</v>
      </c>
      <c r="BS148" s="417">
        <f>BS112/BS115</f>
        <v>4.2039577225742822E-2</v>
      </c>
      <c r="BT148" s="523"/>
      <c r="BU148" s="417">
        <f>BU112/BU115</f>
        <v>4.1658074758904207E-2</v>
      </c>
      <c r="BV148" s="417">
        <f>BV112/BV115</f>
        <v>4.0253428439363241E-2</v>
      </c>
      <c r="BW148" s="417">
        <f>BW112/BW115</f>
        <v>3.9673634737965396E-2</v>
      </c>
      <c r="BX148" s="417">
        <f>BX112/BX115</f>
        <v>3.913507879805099E-2</v>
      </c>
      <c r="BY148" s="523"/>
      <c r="BZ148" s="417">
        <f>BZ112/BZ115</f>
        <v>3.8748433488807299E-2</v>
      </c>
      <c r="CA148" s="417">
        <f>CA112/CA115</f>
        <v>3.7425489206215093E-2</v>
      </c>
      <c r="CB148" s="417">
        <f>CB112/CB115</f>
        <v>3.6870874231856567E-2</v>
      </c>
      <c r="CC148" s="417">
        <f>CC112/CC115</f>
        <v>3.634888473865211E-2</v>
      </c>
      <c r="CD148" s="522"/>
      <c r="CE148" s="417">
        <f>CE112/CE115</f>
        <v>3.5959937949207189E-2</v>
      </c>
      <c r="CF148" s="417">
        <f>CF112/CF115</f>
        <v>3.4717845059235627E-2</v>
      </c>
      <c r="CG148" s="417">
        <f>CG112/CG115</f>
        <v>3.4189270562232095E-2</v>
      </c>
      <c r="CH148" s="417">
        <f>CH112/CH115</f>
        <v>3.3685922951546314E-2</v>
      </c>
      <c r="CI148" s="522"/>
      <c r="CJ148" s="417">
        <f>CJ112/CJ115</f>
        <v>3.3297352246176151E-2</v>
      </c>
      <c r="CK148" s="417">
        <f>CK112/CK115</f>
        <v>3.2134782722685107E-2</v>
      </c>
      <c r="CL148" s="417">
        <f>CL112/CL115</f>
        <v>3.1632847669646046E-2</v>
      </c>
      <c r="CM148" s="417">
        <f>CM112/CM115</f>
        <v>3.114986827353057E-2</v>
      </c>
      <c r="CN148" s="523"/>
      <c r="CO148" s="417">
        <f>CO112/CO115</f>
        <v>3.0764160062703706E-2</v>
      </c>
      <c r="CP148" s="417">
        <f>CP112/CP115</f>
        <v>2.9679345509858315E-2</v>
      </c>
      <c r="CQ148" s="417">
        <f>CQ112/CQ115</f>
        <v>2.9204392930741101E-2</v>
      </c>
      <c r="CR148" s="417">
        <f>CR112/CR115</f>
        <v>2.8743157822300459E-2</v>
      </c>
      <c r="CS148" s="523"/>
      <c r="CT148" s="417">
        <f>CT112/CT115</f>
        <v>2.8362585496693783E-2</v>
      </c>
      <c r="CU148" s="417">
        <f>CU112/CU115</f>
        <v>2.7353361193825074E-2</v>
      </c>
      <c r="CV148" s="417">
        <f>CV112/CV115</f>
        <v>2.690549009006224E-2</v>
      </c>
      <c r="CW148" s="417">
        <f>CW112/CW115</f>
        <v>2.6467032148299149E-2</v>
      </c>
      <c r="CX148" s="523"/>
      <c r="CY148" s="1348"/>
      <c r="DA148" s="201"/>
      <c r="DB148" s="200"/>
      <c r="DC148" s="200"/>
    </row>
    <row r="149" spans="1:107" collapsed="1">
      <c r="A149" s="90"/>
      <c r="B149" s="90"/>
      <c r="C149" s="205"/>
      <c r="D149" s="206"/>
      <c r="E149" s="206"/>
      <c r="F149" s="207"/>
      <c r="G149" s="208"/>
      <c r="H149" s="205"/>
      <c r="I149" s="206"/>
      <c r="J149" s="206"/>
      <c r="K149" s="207"/>
      <c r="L149" s="205"/>
      <c r="M149" s="205"/>
      <c r="N149" s="206"/>
      <c r="O149" s="206"/>
      <c r="P149" s="207"/>
      <c r="Q149" s="208"/>
      <c r="R149" s="90"/>
      <c r="S149" s="90"/>
      <c r="T149" s="90"/>
      <c r="U149" s="90"/>
      <c r="V149" s="208"/>
      <c r="W149" s="90"/>
      <c r="X149" s="90"/>
      <c r="Y149" s="90"/>
      <c r="Z149" s="90"/>
      <c r="AA149" s="208"/>
      <c r="AB149" s="90"/>
      <c r="AC149" s="90"/>
      <c r="AD149" s="90"/>
      <c r="AE149" s="90"/>
      <c r="AF149" s="208"/>
      <c r="AG149" s="200"/>
      <c r="AH149" s="200"/>
      <c r="AI149" s="200"/>
      <c r="AJ149" s="200"/>
      <c r="AK149" s="522"/>
      <c r="AL149" s="200"/>
      <c r="AM149" s="200"/>
      <c r="AN149" s="200"/>
      <c r="AO149" s="200"/>
      <c r="AP149" s="522"/>
      <c r="AQ149" s="200"/>
      <c r="AR149" s="1043"/>
      <c r="AS149" s="1043"/>
      <c r="AT149" s="1043"/>
      <c r="AU149" s="523"/>
      <c r="AV149" s="200"/>
      <c r="AW149" s="200"/>
      <c r="AX149" s="200"/>
      <c r="AY149" s="1043"/>
      <c r="AZ149" s="523"/>
      <c r="BA149" s="1043"/>
      <c r="BB149" s="1043"/>
      <c r="BC149" s="1323"/>
      <c r="BD149" s="1043"/>
      <c r="BE149" s="523"/>
      <c r="BF149" s="1323"/>
      <c r="BG149" s="1043"/>
      <c r="BH149" s="1043"/>
      <c r="BI149" s="1043"/>
      <c r="BJ149" s="523"/>
      <c r="BK149" s="1043"/>
      <c r="BL149" s="1043"/>
      <c r="BM149" s="1043"/>
      <c r="BN149" s="1043"/>
      <c r="BO149" s="523"/>
      <c r="BP149" s="1043"/>
      <c r="BQ149" s="1043"/>
      <c r="BR149" s="1043"/>
      <c r="BS149" s="1043"/>
      <c r="BT149" s="523"/>
      <c r="BU149" s="1043"/>
      <c r="BV149" s="1043"/>
      <c r="BW149" s="1043"/>
      <c r="BX149" s="1043"/>
      <c r="BY149" s="523"/>
      <c r="BZ149" s="1043"/>
      <c r="CA149" s="1043"/>
      <c r="CB149" s="1043"/>
      <c r="CC149" s="1043"/>
      <c r="CD149" s="522"/>
      <c r="CE149" s="1323"/>
      <c r="CF149" s="1323"/>
      <c r="CG149" s="1323"/>
      <c r="CH149" s="1323"/>
      <c r="CI149" s="522"/>
      <c r="CJ149" s="1043"/>
      <c r="CK149" s="1043"/>
      <c r="CL149" s="1043"/>
      <c r="CM149" s="1043"/>
      <c r="CN149" s="523"/>
      <c r="CO149" s="1043"/>
      <c r="CP149" s="1043"/>
      <c r="CQ149" s="1043"/>
      <c r="CR149" s="1043"/>
      <c r="CS149" s="523"/>
      <c r="CT149" s="1043"/>
      <c r="CU149" s="1043"/>
      <c r="CV149" s="1043"/>
      <c r="CW149" s="1043"/>
      <c r="CX149" s="523"/>
      <c r="CY149" s="1348"/>
      <c r="DA149" s="201"/>
      <c r="DB149" s="200"/>
      <c r="DC149" s="200"/>
    </row>
    <row r="150" spans="1:107">
      <c r="A150" s="90"/>
      <c r="B150" s="90"/>
      <c r="C150" s="205"/>
      <c r="D150" s="206"/>
      <c r="E150" s="206"/>
      <c r="F150" s="207"/>
      <c r="G150" s="208"/>
      <c r="H150" s="205"/>
      <c r="I150" s="206"/>
      <c r="J150" s="206"/>
      <c r="K150" s="207"/>
      <c r="L150" s="205"/>
      <c r="M150" s="205"/>
      <c r="N150" s="206"/>
      <c r="O150" s="206"/>
      <c r="P150" s="207"/>
      <c r="Q150" s="208"/>
      <c r="R150" s="90"/>
      <c r="S150" s="90"/>
      <c r="T150" s="90"/>
      <c r="U150" s="90"/>
      <c r="V150" s="208"/>
      <c r="W150" s="417"/>
      <c r="X150" s="417"/>
      <c r="Y150" s="417"/>
      <c r="Z150" s="417"/>
      <c r="AA150" s="311"/>
      <c r="AB150" s="417"/>
      <c r="AC150" s="417"/>
      <c r="AD150" s="417"/>
      <c r="AE150" s="417"/>
      <c r="AF150" s="311"/>
      <c r="AG150" s="417"/>
      <c r="AH150" s="417"/>
      <c r="AI150" s="417"/>
      <c r="AJ150" s="417"/>
      <c r="AK150" s="311"/>
      <c r="AL150" s="417"/>
      <c r="AM150" s="417"/>
      <c r="AN150" s="417"/>
      <c r="AO150" s="417"/>
      <c r="AP150" s="311"/>
      <c r="AQ150" s="417"/>
      <c r="AR150" s="417"/>
      <c r="AS150" s="417"/>
      <c r="AT150" s="417"/>
      <c r="AU150" s="523"/>
      <c r="AV150" s="417"/>
      <c r="AW150" s="417"/>
      <c r="AX150" s="417"/>
      <c r="AY150" s="417"/>
      <c r="AZ150" s="523"/>
      <c r="BA150" s="417"/>
      <c r="BB150" s="417"/>
      <c r="BC150" s="417"/>
      <c r="BD150" s="417"/>
      <c r="BE150" s="523"/>
      <c r="BF150" s="417"/>
      <c r="BG150" s="417"/>
      <c r="BH150" s="417"/>
      <c r="BI150" s="417"/>
      <c r="BJ150" s="523"/>
      <c r="BK150" s="417"/>
      <c r="BL150" s="417"/>
      <c r="BM150" s="417"/>
      <c r="BN150" s="417"/>
      <c r="BO150" s="523"/>
      <c r="BP150" s="417"/>
      <c r="BQ150" s="417"/>
      <c r="BR150" s="417"/>
      <c r="BS150" s="417"/>
      <c r="BT150" s="523"/>
      <c r="BU150" s="417"/>
      <c r="BV150" s="417"/>
      <c r="BW150" s="417"/>
      <c r="BX150" s="417"/>
      <c r="BY150" s="523"/>
      <c r="BZ150" s="417"/>
      <c r="CA150" s="417"/>
      <c r="CB150" s="417"/>
      <c r="CC150" s="417"/>
      <c r="CD150" s="523"/>
      <c r="CE150" s="417"/>
      <c r="CF150" s="417"/>
      <c r="CG150" s="417"/>
      <c r="CH150" s="417"/>
      <c r="CI150" s="523"/>
      <c r="CJ150" s="417"/>
      <c r="CK150" s="417"/>
      <c r="CL150" s="417"/>
      <c r="CM150" s="417"/>
      <c r="CN150" s="523"/>
      <c r="CO150" s="417"/>
      <c r="CP150" s="417"/>
      <c r="CQ150" s="417"/>
      <c r="CR150" s="417"/>
      <c r="CS150" s="523"/>
      <c r="CT150" s="417"/>
      <c r="CU150" s="417"/>
      <c r="CV150" s="417"/>
      <c r="CW150" s="417"/>
      <c r="CX150" s="523"/>
      <c r="CY150" s="1348"/>
      <c r="DA150" s="201"/>
      <c r="DB150" s="200"/>
      <c r="DC150" s="200"/>
    </row>
    <row r="151" spans="1:107" ht="11.25" hidden="1" customHeight="1" outlineLevel="1">
      <c r="A151" s="1270" t="s">
        <v>67</v>
      </c>
      <c r="B151" s="654"/>
      <c r="C151" s="1271"/>
      <c r="D151" s="866"/>
      <c r="E151" s="866"/>
      <c r="F151" s="1272"/>
      <c r="G151" s="867"/>
      <c r="H151" s="1271"/>
      <c r="I151" s="866"/>
      <c r="J151" s="866"/>
      <c r="K151" s="1272"/>
      <c r="L151" s="1271"/>
      <c r="M151" s="1271"/>
      <c r="N151" s="866"/>
      <c r="O151" s="866"/>
      <c r="P151" s="1272"/>
      <c r="Q151" s="867"/>
      <c r="R151" s="866"/>
      <c r="S151" s="866"/>
      <c r="T151" s="866"/>
      <c r="U151" s="866"/>
      <c r="V151" s="867"/>
      <c r="W151" s="866"/>
      <c r="X151" s="866"/>
      <c r="Y151" s="866"/>
      <c r="Z151" s="866"/>
      <c r="AA151" s="867"/>
      <c r="AB151" s="866"/>
      <c r="AC151" s="866"/>
      <c r="AD151" s="866"/>
      <c r="AE151" s="866"/>
      <c r="AF151" s="867"/>
      <c r="AG151" s="1273"/>
      <c r="AH151" s="1273"/>
      <c r="AI151" s="1273"/>
      <c r="AJ151" s="1273"/>
      <c r="AK151" s="867"/>
      <c r="AL151" s="1273"/>
      <c r="AM151" s="1273"/>
      <c r="AN151" s="1273"/>
      <c r="AO151" s="1273"/>
      <c r="AP151" s="867"/>
      <c r="AQ151" s="1274"/>
      <c r="AR151" s="1274"/>
      <c r="AS151" s="1274"/>
      <c r="AT151" s="1275"/>
      <c r="AU151" s="1276"/>
      <c r="AV151" s="1274"/>
      <c r="AW151" s="1274"/>
      <c r="AX151" s="1274"/>
      <c r="AY151" s="1275"/>
      <c r="AZ151" s="1276"/>
      <c r="BA151" s="1277"/>
      <c r="BB151" s="1277"/>
      <c r="BC151" s="1324"/>
      <c r="BD151" s="1275"/>
      <c r="BE151" s="1276"/>
      <c r="BF151" s="1324"/>
      <c r="BG151" s="1279"/>
      <c r="BH151" s="1279"/>
      <c r="BI151" s="1275"/>
      <c r="BJ151" s="1276"/>
      <c r="BK151" s="1279"/>
      <c r="BL151" s="1279"/>
      <c r="BM151" s="1279"/>
      <c r="BN151" s="1279"/>
      <c r="BO151" s="1278"/>
      <c r="BP151" s="1279"/>
      <c r="BQ151" s="1279"/>
      <c r="BR151" s="1279"/>
      <c r="BS151" s="1279"/>
      <c r="BT151" s="1278"/>
      <c r="BU151" s="1279"/>
      <c r="BV151" s="1279"/>
      <c r="BW151" s="1279"/>
      <c r="BX151" s="1279"/>
      <c r="BY151" s="1278"/>
      <c r="BZ151" s="1279"/>
      <c r="CA151" s="1279"/>
      <c r="CB151" s="1279"/>
      <c r="CC151" s="1279"/>
      <c r="CD151" s="1278"/>
      <c r="CE151" s="1279"/>
      <c r="CF151" s="1279"/>
      <c r="CG151" s="1279"/>
      <c r="CH151" s="1279"/>
      <c r="CI151" s="1278"/>
      <c r="CJ151" s="1279"/>
      <c r="CK151" s="1279"/>
      <c r="CL151" s="1279"/>
      <c r="CM151" s="1279"/>
      <c r="CN151" s="1278"/>
      <c r="CO151" s="1279"/>
      <c r="CP151" s="1279"/>
      <c r="CQ151" s="1279"/>
      <c r="CR151" s="1279"/>
      <c r="CS151" s="1278"/>
      <c r="CT151" s="1279"/>
      <c r="CU151" s="1279"/>
      <c r="CV151" s="1279"/>
      <c r="CW151" s="1279"/>
      <c r="CX151" s="1278"/>
      <c r="CY151" s="1725"/>
      <c r="DA151" s="126"/>
      <c r="DB151" s="117"/>
      <c r="DC151" s="117"/>
    </row>
    <row r="152" spans="1:107" ht="11.25" hidden="1" customHeight="1" outlineLevel="1">
      <c r="A152" s="392" t="s">
        <v>76</v>
      </c>
      <c r="B152" s="114"/>
      <c r="C152" s="116"/>
      <c r="D152" s="117"/>
      <c r="E152" s="117"/>
      <c r="F152" s="118"/>
      <c r="G152" s="119"/>
      <c r="H152" s="116"/>
      <c r="I152" s="117"/>
      <c r="J152" s="117"/>
      <c r="K152" s="118"/>
      <c r="L152" s="116"/>
      <c r="M152" s="116"/>
      <c r="N152" s="117"/>
      <c r="O152" s="117"/>
      <c r="P152" s="118"/>
      <c r="Q152" s="119"/>
      <c r="R152" s="117"/>
      <c r="S152" s="117"/>
      <c r="T152" s="117"/>
      <c r="U152" s="117"/>
      <c r="V152" s="119"/>
      <c r="W152" s="117"/>
      <c r="X152" s="117"/>
      <c r="Y152" s="117"/>
      <c r="Z152" s="117"/>
      <c r="AA152" s="119"/>
      <c r="AB152" s="117"/>
      <c r="AC152" s="117"/>
      <c r="AD152" s="117"/>
      <c r="AE152" s="117"/>
      <c r="AF152" s="119"/>
      <c r="AG152" s="121"/>
      <c r="AH152" s="121"/>
      <c r="AI152" s="121"/>
      <c r="AJ152" s="121"/>
      <c r="AK152" s="119"/>
      <c r="AL152" s="121"/>
      <c r="AM152" s="121"/>
      <c r="AN152" s="121"/>
      <c r="AO152" s="121"/>
      <c r="AP152" s="119"/>
      <c r="AQ152" s="1113"/>
      <c r="AR152" s="1113"/>
      <c r="AS152" s="1113"/>
      <c r="AT152" s="1136"/>
      <c r="AU152" s="1137"/>
      <c r="AV152" s="1113"/>
      <c r="AW152" s="1113"/>
      <c r="AX152" s="1113"/>
      <c r="AY152" s="1136"/>
      <c r="AZ152" s="1137"/>
      <c r="BA152" s="1055"/>
      <c r="BB152" s="1055"/>
      <c r="BC152" s="1295"/>
      <c r="BD152" s="1136"/>
      <c r="BE152" s="1137"/>
      <c r="BF152" s="1295"/>
      <c r="BG152" s="1056"/>
      <c r="BH152" s="1056"/>
      <c r="BI152" s="1136"/>
      <c r="BJ152" s="1137"/>
      <c r="BK152" s="1056"/>
      <c r="BL152" s="1056"/>
      <c r="BM152" s="1056"/>
      <c r="BN152" s="1056"/>
      <c r="BO152" s="1057"/>
      <c r="BP152" s="1056"/>
      <c r="BQ152" s="1056"/>
      <c r="BR152" s="1056"/>
      <c r="BS152" s="1056"/>
      <c r="BT152" s="1057"/>
      <c r="BU152" s="1056"/>
      <c r="BV152" s="1056"/>
      <c r="BW152" s="1056"/>
      <c r="BX152" s="1056"/>
      <c r="BY152" s="1057"/>
      <c r="BZ152" s="1056"/>
      <c r="CA152" s="1056"/>
      <c r="CB152" s="1056"/>
      <c r="CC152" s="1056"/>
      <c r="CD152" s="1057"/>
      <c r="CE152" s="1056"/>
      <c r="CF152" s="1056"/>
      <c r="CG152" s="1056"/>
      <c r="CH152" s="1056"/>
      <c r="CI152" s="1057"/>
      <c r="CJ152" s="1056"/>
      <c r="CK152" s="1056"/>
      <c r="CL152" s="1056"/>
      <c r="CM152" s="1056"/>
      <c r="CN152" s="1057"/>
      <c r="CO152" s="1056"/>
      <c r="CP152" s="1056"/>
      <c r="CQ152" s="1056"/>
      <c r="CR152" s="1056"/>
      <c r="CS152" s="1057"/>
      <c r="CT152" s="1056"/>
      <c r="CU152" s="1056"/>
      <c r="CV152" s="1056"/>
      <c r="CW152" s="1056"/>
      <c r="CX152" s="1057"/>
      <c r="CY152" s="1719"/>
      <c r="DA152" s="126"/>
      <c r="DB152" s="117"/>
      <c r="DC152" s="117"/>
    </row>
    <row r="153" spans="1:107" ht="11.25" hidden="1" customHeight="1" outlineLevel="1">
      <c r="A153" s="457" t="s">
        <v>93</v>
      </c>
      <c r="B153" s="458"/>
      <c r="C153" s="459"/>
      <c r="D153" s="460"/>
      <c r="E153" s="460"/>
      <c r="F153" s="461"/>
      <c r="G153" s="462"/>
      <c r="H153" s="459"/>
      <c r="I153" s="460"/>
      <c r="J153" s="460"/>
      <c r="K153" s="461"/>
      <c r="L153" s="459"/>
      <c r="M153" s="459"/>
      <c r="N153" s="460"/>
      <c r="O153" s="460"/>
      <c r="P153" s="461"/>
      <c r="Q153" s="462"/>
      <c r="R153" s="460"/>
      <c r="S153" s="460"/>
      <c r="T153" s="460"/>
      <c r="U153" s="460"/>
      <c r="V153" s="463">
        <v>987.78099999999995</v>
      </c>
      <c r="W153" s="464">
        <v>254.69</v>
      </c>
      <c r="X153" s="464">
        <v>288.79199999999997</v>
      </c>
      <c r="Y153" s="464">
        <v>290.89999999999998</v>
      </c>
      <c r="Z153" s="458">
        <f>AA153-SUM(W153:Y153)</f>
        <v>294.32000000000005</v>
      </c>
      <c r="AA153" s="465">
        <v>1128.702</v>
      </c>
      <c r="AB153" s="464">
        <v>382.1</v>
      </c>
      <c r="AC153" s="464">
        <v>360.1</v>
      </c>
      <c r="AD153" s="464">
        <v>331.6</v>
      </c>
      <c r="AE153" s="464">
        <v>364.1</v>
      </c>
      <c r="AF153" s="465">
        <f>SUM(AB153:AE153)</f>
        <v>1437.9</v>
      </c>
      <c r="AG153" s="458">
        <v>346.4</v>
      </c>
      <c r="AH153" s="458">
        <v>436.61900000000003</v>
      </c>
      <c r="AI153" s="458">
        <v>545.5</v>
      </c>
      <c r="AJ153" s="458">
        <v>570.5</v>
      </c>
      <c r="AK153" s="465">
        <f>SUM(AG153:AJ153)</f>
        <v>1899.019</v>
      </c>
      <c r="AL153" s="458">
        <v>543.5</v>
      </c>
      <c r="AM153" s="458">
        <v>527.20000000000005</v>
      </c>
      <c r="AN153" s="458">
        <v>493.6</v>
      </c>
      <c r="AO153" s="458">
        <v>508.7</v>
      </c>
      <c r="AP153" s="465">
        <f>SUM(AL153:AO153)</f>
        <v>2073</v>
      </c>
      <c r="AQ153" s="458">
        <v>460.7</v>
      </c>
      <c r="AR153" s="458">
        <v>411.7</v>
      </c>
      <c r="AS153" s="458">
        <v>400.4</v>
      </c>
      <c r="AT153" s="458">
        <v>429.3</v>
      </c>
      <c r="AU153" s="465">
        <f>SUM(AQ153:AT153)</f>
        <v>1702.1</v>
      </c>
      <c r="AV153" s="458">
        <v>432</v>
      </c>
      <c r="AW153" s="458">
        <v>532.70000000000005</v>
      </c>
      <c r="AX153" s="458">
        <v>549.70000000000005</v>
      </c>
      <c r="AY153" s="458">
        <v>542.1</v>
      </c>
      <c r="AZ153" s="465">
        <f>SUM(AV153:AY153)</f>
        <v>2056.5</v>
      </c>
      <c r="BA153" s="466">
        <f>AY153*(1+BA154)</f>
        <v>544.81049999999993</v>
      </c>
      <c r="BB153" s="466">
        <f>BA153*(1+BB154)</f>
        <v>535.54872149999994</v>
      </c>
      <c r="BC153" s="458">
        <f>BB153*(1+BC154)</f>
        <v>522.16000346249996</v>
      </c>
      <c r="BD153" s="458">
        <f>BC153*(1+BD154)</f>
        <v>551.92312365986243</v>
      </c>
      <c r="BE153" s="465">
        <f>SUM(BA153:BD153)</f>
        <v>2154.4423486223623</v>
      </c>
      <c r="BF153" s="458">
        <f>BD153*(1+BF154)</f>
        <v>601.59620478925012</v>
      </c>
      <c r="BG153" s="466">
        <f>BF153*(1+BG154)</f>
        <v>619.04249472813831</v>
      </c>
      <c r="BH153" s="466">
        <f>BG153*(1+BH154)</f>
        <v>625.23291967541968</v>
      </c>
      <c r="BI153" s="458">
        <f>BH153*(1+BI154)</f>
        <v>642.11420850665593</v>
      </c>
      <c r="BJ153" s="465">
        <f>SUM(BF153:BI153)</f>
        <v>2487.9858276994642</v>
      </c>
      <c r="BK153" s="466">
        <f>BI153*(1+BK154)</f>
        <v>693.48334518718843</v>
      </c>
      <c r="BL153" s="466">
        <f>BK153*(1+BL154)</f>
        <v>706.65952874574498</v>
      </c>
      <c r="BM153" s="466">
        <f>BL153*(1+BM154)</f>
        <v>706.65952874574498</v>
      </c>
      <c r="BN153" s="466">
        <f>BM153*(1+BN154)</f>
        <v>718.67274073442263</v>
      </c>
      <c r="BO153" s="951">
        <f>SUM(BK153:BN153)</f>
        <v>2825.4751434131013</v>
      </c>
      <c r="BP153" s="466">
        <f>BN153*(1+BP154)</f>
        <v>768.97983258583224</v>
      </c>
      <c r="BQ153" s="466">
        <f>BP153*(1+BQ154)</f>
        <v>775.9006510791047</v>
      </c>
      <c r="BR153" s="466">
        <f>BQ153*(1+BR154)</f>
        <v>768.14164456831361</v>
      </c>
      <c r="BS153" s="466">
        <f>BR153*(1+BS154)</f>
        <v>773.51863608029169</v>
      </c>
      <c r="BT153" s="951">
        <f>SUM(BP153:BS153)</f>
        <v>3086.5407643135422</v>
      </c>
      <c r="BU153" s="466">
        <f>BS153*(1+BU154)</f>
        <v>819.92975424510928</v>
      </c>
      <c r="BV153" s="466">
        <f>BU153*(1+BV154)</f>
        <v>819.10982449086418</v>
      </c>
      <c r="BW153" s="466">
        <f>BV153*(1+BW154)</f>
        <v>802.72762800104692</v>
      </c>
      <c r="BX153" s="466">
        <f>BW153*(1+BX154)</f>
        <v>800.31944511704376</v>
      </c>
      <c r="BY153" s="951">
        <f>SUM(BU153:BX153)</f>
        <v>3242.0866518540643</v>
      </c>
      <c r="BZ153" s="466">
        <f>BX153*(1+BZ154)</f>
        <v>840.33541737289602</v>
      </c>
      <c r="CA153" s="466">
        <f>BZ153*(1+CA154)</f>
        <v>831.09172778179413</v>
      </c>
      <c r="CB153" s="466">
        <f>CA153*(1+CB154)</f>
        <v>806.1589759483403</v>
      </c>
      <c r="CC153" s="466">
        <f>CB153*(1+CC154)</f>
        <v>795.67890926101188</v>
      </c>
      <c r="CD153" s="951">
        <f>SUM(BZ153:CC153)</f>
        <v>3273.2650303640426</v>
      </c>
      <c r="CE153" s="466">
        <f>CC153*(1+CE154)</f>
        <v>827.50606563145243</v>
      </c>
      <c r="CF153" s="466">
        <f>CE153*(1+CF154)</f>
        <v>810.12843825319192</v>
      </c>
      <c r="CG153" s="466">
        <f>CF153*(1+CG154)</f>
        <v>777.7233007230642</v>
      </c>
      <c r="CH153" s="466">
        <f>CG153*(1+CH154)</f>
        <v>759.83566480643367</v>
      </c>
      <c r="CI153" s="951">
        <f>SUM(CE153:CH153)</f>
        <v>3175.1934694141423</v>
      </c>
      <c r="CJ153" s="466">
        <f>CH153*(1+CJ154)</f>
        <v>782.63073475062674</v>
      </c>
      <c r="CK153" s="466">
        <f>CJ153*(1+CK154)</f>
        <v>758.36918197335729</v>
      </c>
      <c r="CL153" s="466">
        <f>CK153*(1+CL154)</f>
        <v>720.4507228746894</v>
      </c>
      <c r="CM153" s="466">
        <f>CL153*(1+CM154)</f>
        <v>696.67584901982468</v>
      </c>
      <c r="CN153" s="951">
        <f>SUM(CJ153:CM153)</f>
        <v>2958.1264886184981</v>
      </c>
      <c r="CO153" s="466">
        <f>CM153*(1+CO154)</f>
        <v>710.60936600022114</v>
      </c>
      <c r="CP153" s="466">
        <f>CO153*(1+CP154)</f>
        <v>681.47438199421208</v>
      </c>
      <c r="CQ153" s="466">
        <f>CP153*(1+CQ154)</f>
        <v>640.58591907455934</v>
      </c>
      <c r="CR153" s="466">
        <f>CQ153*(1+CR154)</f>
        <v>613.04072455435323</v>
      </c>
      <c r="CS153" s="951">
        <f>SUM(CO153:CR153)</f>
        <v>2645.7103916233459</v>
      </c>
      <c r="CT153" s="466">
        <f>CR153*(1+CT154)</f>
        <v>619.17113179989678</v>
      </c>
      <c r="CU153" s="466">
        <f>CT153*(1+CU154)</f>
        <v>587.59340407810203</v>
      </c>
      <c r="CV153" s="466">
        <f>CU153*(1+CV154)</f>
        <v>546.46186579263485</v>
      </c>
      <c r="CW153" s="466">
        <f>CV153*(1+CW154)</f>
        <v>517.49938690562522</v>
      </c>
      <c r="CX153" s="951">
        <f>SUM(CT153:CW153)</f>
        <v>2270.7257885762588</v>
      </c>
      <c r="CY153" s="466"/>
      <c r="DA153" s="126"/>
      <c r="DB153" s="460"/>
      <c r="DC153" s="460"/>
    </row>
    <row r="154" spans="1:107" ht="11.25" hidden="1" customHeight="1" outlineLevel="1">
      <c r="A154" s="468" t="s">
        <v>78</v>
      </c>
      <c r="B154" s="469"/>
      <c r="C154" s="470"/>
      <c r="D154" s="469"/>
      <c r="E154" s="469"/>
      <c r="F154" s="471"/>
      <c r="G154" s="472"/>
      <c r="H154" s="470"/>
      <c r="I154" s="469"/>
      <c r="J154" s="469"/>
      <c r="K154" s="471"/>
      <c r="L154" s="470"/>
      <c r="M154" s="470"/>
      <c r="N154" s="469"/>
      <c r="O154" s="469"/>
      <c r="P154" s="471"/>
      <c r="Q154" s="472"/>
      <c r="R154" s="469"/>
      <c r="S154" s="469"/>
      <c r="T154" s="469"/>
      <c r="U154" s="469"/>
      <c r="V154" s="473"/>
      <c r="W154" s="469"/>
      <c r="X154" s="469">
        <f>X153/W153-1</f>
        <v>0.13389610899524906</v>
      </c>
      <c r="Y154" s="469">
        <f>Y153/X153-1</f>
        <v>7.2993711737168177E-3</v>
      </c>
      <c r="Z154" s="469">
        <f>Z153/Y153-1</f>
        <v>1.1756617394293789E-2</v>
      </c>
      <c r="AA154" s="472"/>
      <c r="AB154" s="469">
        <f>AB153/Z153-1</f>
        <v>0.29824680619733601</v>
      </c>
      <c r="AC154" s="469">
        <f>AC153/AB153-1</f>
        <v>-5.757655064119338E-2</v>
      </c>
      <c r="AD154" s="469">
        <f>AD153/AC153-1</f>
        <v>-7.9144682032768698E-2</v>
      </c>
      <c r="AE154" s="469">
        <f>AE153/AD153-1</f>
        <v>9.8009650180940877E-2</v>
      </c>
      <c r="AF154" s="474"/>
      <c r="AG154" s="469">
        <f>AG153/AE153-1</f>
        <v>-4.8613018401538199E-2</v>
      </c>
      <c r="AH154" s="469">
        <f>AH153/AG153-1</f>
        <v>0.26044745958429583</v>
      </c>
      <c r="AI154" s="469">
        <f>AI153/AH153-1</f>
        <v>0.24937302316207033</v>
      </c>
      <c r="AJ154" s="469">
        <f>AJ153/AI153-1</f>
        <v>4.5829514207149424E-2</v>
      </c>
      <c r="AK154" s="474"/>
      <c r="AL154" s="469">
        <f>AL153/AJ153-1</f>
        <v>-4.7326906222611709E-2</v>
      </c>
      <c r="AM154" s="469">
        <f>AM153/AL153-1</f>
        <v>-2.9990800367985182E-2</v>
      </c>
      <c r="AN154" s="469">
        <f>AN153/AM153-1</f>
        <v>-6.3732928679817946E-2</v>
      </c>
      <c r="AO154" s="469">
        <f>AO153/AN153-1</f>
        <v>3.0591572123176647E-2</v>
      </c>
      <c r="AP154" s="474"/>
      <c r="AQ154" s="469">
        <f>AQ153/AO153-1</f>
        <v>-9.4358167878907051E-2</v>
      </c>
      <c r="AR154" s="469">
        <f>AR153/AQ153-1</f>
        <v>-0.10635988712828304</v>
      </c>
      <c r="AS154" s="469">
        <f>AS153/AR153-1</f>
        <v>-2.7447170269613852E-2</v>
      </c>
      <c r="AT154" s="469">
        <f>AT153/AS153-1</f>
        <v>7.2177822177822204E-2</v>
      </c>
      <c r="AU154" s="472"/>
      <c r="AV154" s="469">
        <f>AV153/AT153-1</f>
        <v>6.2893081761006275E-3</v>
      </c>
      <c r="AW154" s="469">
        <f>AW153/AV153-1</f>
        <v>0.23310185185185195</v>
      </c>
      <c r="AX154" s="469">
        <f>AX153/AW153-1</f>
        <v>3.1912896564670445E-2</v>
      </c>
      <c r="AY154" s="469">
        <f>AY153/AX153-1</f>
        <v>-1.3825723121702826E-2</v>
      </c>
      <c r="AZ154" s="472"/>
      <c r="BA154" s="475">
        <v>5.0000000000000001E-3</v>
      </c>
      <c r="BB154" s="475">
        <v>-1.7000000000000001E-2</v>
      </c>
      <c r="BC154" s="469">
        <v>-2.5000000000000001E-2</v>
      </c>
      <c r="BD154" s="469">
        <v>5.7000000000000002E-2</v>
      </c>
      <c r="BE154" s="472"/>
      <c r="BF154" s="469">
        <v>0.09</v>
      </c>
      <c r="BG154" s="475">
        <v>2.9000000000000001E-2</v>
      </c>
      <c r="BH154" s="475">
        <v>0.01</v>
      </c>
      <c r="BI154" s="469">
        <v>2.7E-2</v>
      </c>
      <c r="BJ154" s="472"/>
      <c r="BK154" s="475">
        <f>BF154-1%</f>
        <v>0.08</v>
      </c>
      <c r="BL154" s="475">
        <f>BG154-1%</f>
        <v>1.9000000000000003E-2</v>
      </c>
      <c r="BM154" s="475">
        <f>BH154-1%</f>
        <v>0</v>
      </c>
      <c r="BN154" s="475">
        <f>BI154-1%</f>
        <v>1.7000000000000001E-2</v>
      </c>
      <c r="BO154" s="950"/>
      <c r="BP154" s="475">
        <f>BK154-1%</f>
        <v>7.0000000000000007E-2</v>
      </c>
      <c r="BQ154" s="475">
        <f>BL154-1%</f>
        <v>9.0000000000000028E-3</v>
      </c>
      <c r="BR154" s="475">
        <f>BM154-1%</f>
        <v>-0.01</v>
      </c>
      <c r="BS154" s="475">
        <f>BN154-1%</f>
        <v>7.000000000000001E-3</v>
      </c>
      <c r="BT154" s="950"/>
      <c r="BU154" s="475">
        <f>BP154-1%</f>
        <v>6.0000000000000005E-2</v>
      </c>
      <c r="BV154" s="475">
        <f>BQ154-1%</f>
        <v>-9.9999999999999742E-4</v>
      </c>
      <c r="BW154" s="475">
        <f>BR154-1%</f>
        <v>-0.02</v>
      </c>
      <c r="BX154" s="475">
        <f>BS154-1%</f>
        <v>-2.9999999999999992E-3</v>
      </c>
      <c r="BY154" s="950"/>
      <c r="BZ154" s="475">
        <f>BU154-1%</f>
        <v>0.05</v>
      </c>
      <c r="CA154" s="475">
        <f>BV154-1%</f>
        <v>-1.0999999999999998E-2</v>
      </c>
      <c r="CB154" s="475">
        <f>BW154-1%</f>
        <v>-0.03</v>
      </c>
      <c r="CC154" s="475">
        <f>BX154-1%</f>
        <v>-1.2999999999999999E-2</v>
      </c>
      <c r="CD154" s="950"/>
      <c r="CE154" s="475">
        <f>BZ154-1%</f>
        <v>0.04</v>
      </c>
      <c r="CF154" s="475">
        <f>CA154-1%</f>
        <v>-2.0999999999999998E-2</v>
      </c>
      <c r="CG154" s="475">
        <f>CB154-1%</f>
        <v>-0.04</v>
      </c>
      <c r="CH154" s="475">
        <f>CC154-1%</f>
        <v>-2.3E-2</v>
      </c>
      <c r="CI154" s="950"/>
      <c r="CJ154" s="475">
        <f>CE154-1%</f>
        <v>0.03</v>
      </c>
      <c r="CK154" s="475">
        <f>CF154-1%</f>
        <v>-3.1E-2</v>
      </c>
      <c r="CL154" s="475">
        <f>CG154-1%</f>
        <v>-0.05</v>
      </c>
      <c r="CM154" s="475">
        <f>CH154-1%</f>
        <v>-3.3000000000000002E-2</v>
      </c>
      <c r="CN154" s="950"/>
      <c r="CO154" s="475">
        <f>CJ154-1%</f>
        <v>1.9999999999999997E-2</v>
      </c>
      <c r="CP154" s="475">
        <f>CK154-1%</f>
        <v>-4.1000000000000002E-2</v>
      </c>
      <c r="CQ154" s="475">
        <f>CL154-1%</f>
        <v>-6.0000000000000005E-2</v>
      </c>
      <c r="CR154" s="475">
        <f>CM154-1%</f>
        <v>-4.3000000000000003E-2</v>
      </c>
      <c r="CS154" s="950"/>
      <c r="CT154" s="475">
        <f>CO154-1%</f>
        <v>9.9999999999999967E-3</v>
      </c>
      <c r="CU154" s="475">
        <f>CP154-1%</f>
        <v>-5.1000000000000004E-2</v>
      </c>
      <c r="CV154" s="475">
        <f>CQ154-1%</f>
        <v>-7.0000000000000007E-2</v>
      </c>
      <c r="CW154" s="475">
        <f>CR154-1%</f>
        <v>-5.3000000000000005E-2</v>
      </c>
      <c r="CX154" s="950"/>
      <c r="CY154" s="475"/>
      <c r="DA154" s="126"/>
      <c r="DB154" s="469"/>
      <c r="DC154" s="469"/>
    </row>
    <row r="155" spans="1:107" ht="11.25" hidden="1" customHeight="1" outlineLevel="1">
      <c r="A155" s="468" t="s">
        <v>77</v>
      </c>
      <c r="B155" s="469"/>
      <c r="C155" s="470"/>
      <c r="D155" s="469"/>
      <c r="E155" s="469"/>
      <c r="F155" s="471"/>
      <c r="G155" s="472"/>
      <c r="H155" s="470"/>
      <c r="I155" s="469"/>
      <c r="J155" s="469"/>
      <c r="K155" s="471"/>
      <c r="L155" s="470"/>
      <c r="M155" s="470"/>
      <c r="N155" s="469"/>
      <c r="O155" s="469"/>
      <c r="P155" s="471"/>
      <c r="Q155" s="472"/>
      <c r="R155" s="469"/>
      <c r="S155" s="469"/>
      <c r="T155" s="469"/>
      <c r="U155" s="469"/>
      <c r="V155" s="473"/>
      <c r="W155" s="469"/>
      <c r="X155" s="469"/>
      <c r="Y155" s="469"/>
      <c r="Z155" s="469"/>
      <c r="AA155" s="472">
        <f>+AA153/V153-1</f>
        <v>0.14266421403124796</v>
      </c>
      <c r="AB155" s="469">
        <f>AB153/W153-1</f>
        <v>0.50025521221877578</v>
      </c>
      <c r="AC155" s="469">
        <f>AC153/X153-1</f>
        <v>0.24691819717997743</v>
      </c>
      <c r="AD155" s="469">
        <f>AD153/Y153-1</f>
        <v>0.13991062220694417</v>
      </c>
      <c r="AE155" s="469">
        <f>AE153/Z153-1</f>
        <v>0.23708888284859997</v>
      </c>
      <c r="AF155" s="472">
        <f>+AF153/AA153-1</f>
        <v>0.27394121743383115</v>
      </c>
      <c r="AG155" s="469">
        <f>AG153/AB153-1</f>
        <v>-9.3431038995027582E-2</v>
      </c>
      <c r="AH155" s="469">
        <f>AH153/AC153-1</f>
        <v>0.2124937517356289</v>
      </c>
      <c r="AI155" s="469">
        <f>AI153/AD153-1</f>
        <v>0.64505428226779249</v>
      </c>
      <c r="AJ155" s="469">
        <f>AJ153/AE153-1</f>
        <v>0.56687723152979941</v>
      </c>
      <c r="AK155" s="472">
        <f>+AK153/AF153-1</f>
        <v>0.32068919952708796</v>
      </c>
      <c r="AL155" s="469">
        <f t="shared" ref="AL155:AZ155" si="188">AL153/AG153-1</f>
        <v>0.56899538106235581</v>
      </c>
      <c r="AM155" s="469">
        <f t="shared" si="188"/>
        <v>0.20746005098266451</v>
      </c>
      <c r="AN155" s="469">
        <f t="shared" si="188"/>
        <v>-9.514207149404208E-2</v>
      </c>
      <c r="AO155" s="469">
        <f t="shared" si="188"/>
        <v>-0.10832602979842243</v>
      </c>
      <c r="AP155" s="472">
        <f t="shared" si="188"/>
        <v>9.1616250285015521E-2</v>
      </c>
      <c r="AQ155" s="469">
        <f t="shared" si="188"/>
        <v>-0.15234590616375343</v>
      </c>
      <c r="AR155" s="469">
        <f t="shared" si="188"/>
        <v>-0.21908194233687417</v>
      </c>
      <c r="AS155" s="469">
        <f t="shared" si="188"/>
        <v>-0.18881685575364671</v>
      </c>
      <c r="AT155" s="469">
        <f t="shared" si="188"/>
        <v>-0.15608413603302529</v>
      </c>
      <c r="AU155" s="472">
        <f t="shared" si="188"/>
        <v>-0.17891944042450558</v>
      </c>
      <c r="AV155" s="469">
        <f t="shared" si="188"/>
        <v>-6.2296505317994355E-2</v>
      </c>
      <c r="AW155" s="469">
        <f t="shared" si="188"/>
        <v>0.29390332766577609</v>
      </c>
      <c r="AX155" s="469">
        <f t="shared" si="188"/>
        <v>0.37287712287712305</v>
      </c>
      <c r="AY155" s="469">
        <f t="shared" si="188"/>
        <v>0.26275331935709301</v>
      </c>
      <c r="AZ155" s="472">
        <f t="shared" si="188"/>
        <v>0.20821338346748131</v>
      </c>
      <c r="BA155" s="475">
        <f t="shared" ref="BA155:BJ155" si="189">BA153/AV153-1</f>
        <v>0.26113541666666662</v>
      </c>
      <c r="BB155" s="475">
        <f t="shared" si="189"/>
        <v>5.3477032100617272E-3</v>
      </c>
      <c r="BC155" s="469">
        <f t="shared" si="189"/>
        <v>-5.0100048276332743E-2</v>
      </c>
      <c r="BD155" s="469">
        <f t="shared" si="189"/>
        <v>1.8120501124999855E-2</v>
      </c>
      <c r="BE155" s="472">
        <f t="shared" si="189"/>
        <v>4.7625746959573112E-2</v>
      </c>
      <c r="BF155" s="469">
        <f t="shared" si="189"/>
        <v>0.10423019525000021</v>
      </c>
      <c r="BG155" s="475">
        <f t="shared" si="189"/>
        <v>0.15590322574999993</v>
      </c>
      <c r="BH155" s="475">
        <f t="shared" si="189"/>
        <v>0.19739718770000003</v>
      </c>
      <c r="BI155" s="469">
        <f t="shared" si="189"/>
        <v>0.16341240469999985</v>
      </c>
      <c r="BJ155" s="472">
        <f t="shared" si="189"/>
        <v>0.15481661845831396</v>
      </c>
      <c r="BK155" s="475">
        <f t="shared" ref="BK155:BT155" si="190">BK153/BF153-1</f>
        <v>0.15273889639999982</v>
      </c>
      <c r="BL155" s="475">
        <f t="shared" si="190"/>
        <v>0.14153638039999983</v>
      </c>
      <c r="BM155" s="475">
        <f t="shared" si="190"/>
        <v>0.13023403999999994</v>
      </c>
      <c r="BN155" s="475">
        <f t="shared" si="190"/>
        <v>0.11922883999999989</v>
      </c>
      <c r="BO155" s="950">
        <f t="shared" si="190"/>
        <v>0.13564760375894069</v>
      </c>
      <c r="BP155" s="475">
        <f t="shared" si="190"/>
        <v>0.10886561000000006</v>
      </c>
      <c r="BQ155" s="475">
        <f t="shared" si="190"/>
        <v>9.7983710000000057E-2</v>
      </c>
      <c r="BR155" s="475">
        <f t="shared" si="190"/>
        <v>8.7003872900000001E-2</v>
      </c>
      <c r="BS155" s="475">
        <f t="shared" si="190"/>
        <v>7.6315535899999842E-2</v>
      </c>
      <c r="BT155" s="950">
        <f t="shared" si="190"/>
        <v>9.239706868738562E-2</v>
      </c>
      <c r="BU155" s="475">
        <f t="shared" ref="BU155:CD155" si="191">BU153/BP153-1</f>
        <v>6.625651219999984E-2</v>
      </c>
      <c r="BV155" s="475">
        <f t="shared" si="191"/>
        <v>5.5689054199999921E-2</v>
      </c>
      <c r="BW155" s="475">
        <f t="shared" si="191"/>
        <v>4.502552840000007E-2</v>
      </c>
      <c r="BX155" s="475">
        <f t="shared" si="191"/>
        <v>3.46479164000002E-2</v>
      </c>
      <c r="BY155" s="950">
        <f t="shared" si="191"/>
        <v>5.0394891698479105E-2</v>
      </c>
      <c r="BZ155" s="475">
        <f t="shared" si="191"/>
        <v>2.4887087000000196E-2</v>
      </c>
      <c r="CA155" s="475">
        <f t="shared" si="191"/>
        <v>1.462795700000008E-2</v>
      </c>
      <c r="CB155" s="475">
        <f t="shared" si="191"/>
        <v>4.2746104999999979E-3</v>
      </c>
      <c r="CC155" s="475">
        <f t="shared" si="191"/>
        <v>-5.7983544999999914E-3</v>
      </c>
      <c r="CD155" s="950">
        <f t="shared" si="191"/>
        <v>9.6167628623213819E-3</v>
      </c>
      <c r="CE155" s="475">
        <f t="shared" ref="CE155:CN155" si="192">CE153/BZ153-1</f>
        <v>-1.5266941599999972E-2</v>
      </c>
      <c r="CF155" s="475">
        <f t="shared" si="192"/>
        <v>-2.5223797599999931E-2</v>
      </c>
      <c r="CG155" s="475">
        <f t="shared" si="192"/>
        <v>-3.5273036799999935E-2</v>
      </c>
      <c r="CH155" s="475">
        <f t="shared" si="192"/>
        <v>-4.5047372800000041E-2</v>
      </c>
      <c r="CI155" s="950">
        <f t="shared" si="192"/>
        <v>-2.9961387189901045E-2</v>
      </c>
      <c r="CJ155" s="475">
        <f t="shared" si="192"/>
        <v>-5.4229609600000006E-2</v>
      </c>
      <c r="CK155" s="475">
        <f t="shared" si="192"/>
        <v>-6.3890185600000038E-2</v>
      </c>
      <c r="CL155" s="475">
        <f t="shared" si="192"/>
        <v>-7.3641329500000019E-2</v>
      </c>
      <c r="CM155" s="475">
        <f t="shared" si="192"/>
        <v>-8.3122994499999936E-2</v>
      </c>
      <c r="CN155" s="950">
        <f t="shared" si="192"/>
        <v>-6.8363387266507369E-2</v>
      </c>
      <c r="CO155" s="475">
        <f t="shared" ref="CO155:CX155" si="193">CO153/CJ153-1</f>
        <v>-9.2024713000000036E-2</v>
      </c>
      <c r="CP155" s="475">
        <f t="shared" si="193"/>
        <v>-0.10139494300000007</v>
      </c>
      <c r="CQ155" s="475">
        <f t="shared" si="193"/>
        <v>-0.1108539436</v>
      </c>
      <c r="CR155" s="475">
        <f t="shared" si="193"/>
        <v>-0.12004883560000013</v>
      </c>
      <c r="CS155" s="950">
        <f t="shared" si="193"/>
        <v>-0.10561282561688445</v>
      </c>
      <c r="CT155" s="475">
        <f t="shared" si="193"/>
        <v>-0.1286758078000001</v>
      </c>
      <c r="CU155" s="475">
        <f t="shared" si="193"/>
        <v>-0.1377615658000001</v>
      </c>
      <c r="CV155" s="475">
        <f t="shared" si="193"/>
        <v>-0.1469343151000001</v>
      </c>
      <c r="CW155" s="475">
        <f t="shared" si="193"/>
        <v>-0.15584827210000007</v>
      </c>
      <c r="CX155" s="950">
        <f t="shared" si="193"/>
        <v>-0.14173304993408797</v>
      </c>
      <c r="CY155" s="475"/>
      <c r="DA155" s="126"/>
      <c r="DB155" s="469"/>
      <c r="DC155" s="469"/>
    </row>
    <row r="156" spans="1:107" ht="11.25" hidden="1" customHeight="1" outlineLevel="1">
      <c r="A156" s="468"/>
      <c r="B156" s="469"/>
      <c r="C156" s="470"/>
      <c r="D156" s="469"/>
      <c r="E156" s="469"/>
      <c r="F156" s="471"/>
      <c r="G156" s="472"/>
      <c r="H156" s="470"/>
      <c r="I156" s="469"/>
      <c r="J156" s="469"/>
      <c r="K156" s="471"/>
      <c r="L156" s="470"/>
      <c r="M156" s="470"/>
      <c r="N156" s="469"/>
      <c r="O156" s="469"/>
      <c r="P156" s="471"/>
      <c r="Q156" s="472"/>
      <c r="R156" s="469"/>
      <c r="S156" s="469"/>
      <c r="T156" s="469"/>
      <c r="U156" s="469"/>
      <c r="V156" s="473"/>
      <c r="W156" s="469"/>
      <c r="X156" s="469"/>
      <c r="Y156" s="469"/>
      <c r="Z156" s="469"/>
      <c r="AA156" s="472"/>
      <c r="AB156" s="469"/>
      <c r="AC156" s="469"/>
      <c r="AD156" s="469"/>
      <c r="AE156" s="469"/>
      <c r="AF156" s="472"/>
      <c r="AG156" s="469"/>
      <c r="AH156" s="469"/>
      <c r="AI156" s="469"/>
      <c r="AJ156" s="469"/>
      <c r="AK156" s="472"/>
      <c r="AL156" s="469"/>
      <c r="AM156" s="469"/>
      <c r="AN156" s="469"/>
      <c r="AO156" s="469"/>
      <c r="AP156" s="472"/>
      <c r="AQ156" s="469"/>
      <c r="AR156" s="475"/>
      <c r="AS156" s="469"/>
      <c r="AT156" s="469"/>
      <c r="AU156" s="472"/>
      <c r="AV156" s="469"/>
      <c r="AW156" s="469"/>
      <c r="AX156" s="469"/>
      <c r="AY156" s="469"/>
      <c r="AZ156" s="472"/>
      <c r="BA156" s="475"/>
      <c r="BB156" s="475"/>
      <c r="BC156" s="469"/>
      <c r="BD156" s="469"/>
      <c r="BE156" s="472"/>
      <c r="BF156" s="469"/>
      <c r="BG156" s="475"/>
      <c r="BH156" s="475"/>
      <c r="BI156" s="469"/>
      <c r="BJ156" s="472"/>
      <c r="BK156" s="475"/>
      <c r="BL156" s="475"/>
      <c r="BM156" s="475"/>
      <c r="BN156" s="475"/>
      <c r="BO156" s="950"/>
      <c r="BP156" s="475"/>
      <c r="BQ156" s="475"/>
      <c r="BR156" s="475"/>
      <c r="BS156" s="475"/>
      <c r="BT156" s="950"/>
      <c r="BU156" s="475"/>
      <c r="BV156" s="475"/>
      <c r="BW156" s="475"/>
      <c r="BX156" s="475"/>
      <c r="BY156" s="950"/>
      <c r="BZ156" s="475"/>
      <c r="CA156" s="475"/>
      <c r="CB156" s="475"/>
      <c r="CC156" s="475"/>
      <c r="CD156" s="950"/>
      <c r="CE156" s="475"/>
      <c r="CF156" s="475"/>
      <c r="CG156" s="475"/>
      <c r="CH156" s="475"/>
      <c r="CI156" s="950"/>
      <c r="CJ156" s="475"/>
      <c r="CK156" s="475"/>
      <c r="CL156" s="475"/>
      <c r="CM156" s="475"/>
      <c r="CN156" s="950"/>
      <c r="CO156" s="475"/>
      <c r="CP156" s="475"/>
      <c r="CQ156" s="475"/>
      <c r="CR156" s="475"/>
      <c r="CS156" s="950"/>
      <c r="CT156" s="475"/>
      <c r="CU156" s="475"/>
      <c r="CV156" s="475"/>
      <c r="CW156" s="475"/>
      <c r="CX156" s="950"/>
      <c r="CY156" s="475"/>
      <c r="DA156" s="126"/>
      <c r="DB156" s="469"/>
      <c r="DC156" s="469"/>
    </row>
    <row r="157" spans="1:107" ht="11.25" hidden="1" customHeight="1" outlineLevel="1">
      <c r="A157" s="478" t="s">
        <v>94</v>
      </c>
      <c r="B157" s="479"/>
      <c r="C157" s="480"/>
      <c r="D157" s="481"/>
      <c r="E157" s="481"/>
      <c r="F157" s="482"/>
      <c r="G157" s="483"/>
      <c r="H157" s="480"/>
      <c r="I157" s="481"/>
      <c r="J157" s="481"/>
      <c r="K157" s="482"/>
      <c r="L157" s="480"/>
      <c r="M157" s="480"/>
      <c r="N157" s="481"/>
      <c r="O157" s="481"/>
      <c r="P157" s="482"/>
      <c r="Q157" s="483"/>
      <c r="R157" s="481"/>
      <c r="S157" s="481"/>
      <c r="T157" s="481"/>
      <c r="U157" s="481"/>
      <c r="V157" s="484">
        <v>439.404</v>
      </c>
      <c r="W157" s="485">
        <v>160.95699999999999</v>
      </c>
      <c r="X157" s="485">
        <v>150.11799999999999</v>
      </c>
      <c r="Y157" s="485">
        <v>135.69999999999999</v>
      </c>
      <c r="Z157" s="479">
        <f>AA157-SUM(W157:Y157)</f>
        <v>146.745</v>
      </c>
      <c r="AA157" s="486">
        <v>593.52</v>
      </c>
      <c r="AB157" s="485">
        <v>156.19999999999999</v>
      </c>
      <c r="AC157" s="485">
        <v>151.4</v>
      </c>
      <c r="AD157" s="485">
        <v>142.30000000000001</v>
      </c>
      <c r="AE157" s="485">
        <v>169</v>
      </c>
      <c r="AF157" s="486">
        <f>SUM(AB157:AE157)</f>
        <v>618.90000000000009</v>
      </c>
      <c r="AG157" s="479">
        <v>161.30000000000001</v>
      </c>
      <c r="AH157" s="479">
        <v>173.1</v>
      </c>
      <c r="AI157" s="479">
        <v>165.8</v>
      </c>
      <c r="AJ157" s="479">
        <v>180.1</v>
      </c>
      <c r="AK157" s="486">
        <f>SUM(AG157:AJ157)</f>
        <v>680.3</v>
      </c>
      <c r="AL157" s="479">
        <v>182.1</v>
      </c>
      <c r="AM157" s="479">
        <v>185.4</v>
      </c>
      <c r="AN157" s="479">
        <v>203.9</v>
      </c>
      <c r="AO157" s="479">
        <v>186.3</v>
      </c>
      <c r="AP157" s="486">
        <f>SUM(AL157:AO157)</f>
        <v>757.7</v>
      </c>
      <c r="AQ157" s="479">
        <v>149.9</v>
      </c>
      <c r="AR157" s="479">
        <v>137.80000000000001</v>
      </c>
      <c r="AS157" s="479">
        <v>138.1</v>
      </c>
      <c r="AT157" s="479">
        <v>131.80000000000001</v>
      </c>
      <c r="AU157" s="486">
        <f>SUM(AQ157:AT157)</f>
        <v>557.60000000000014</v>
      </c>
      <c r="AV157" s="479">
        <v>165.9</v>
      </c>
      <c r="AW157" s="479">
        <v>156</v>
      </c>
      <c r="AX157" s="479">
        <v>162.6</v>
      </c>
      <c r="AY157" s="479">
        <f>169.9</f>
        <v>169.9</v>
      </c>
      <c r="AZ157" s="486">
        <f>SUM(AV157:AY157)</f>
        <v>654.4</v>
      </c>
      <c r="BA157" s="487">
        <f>AY157*(1+BA158)</f>
        <v>170.74949999999998</v>
      </c>
      <c r="BB157" s="487">
        <f>BA157*(1+BB158)</f>
        <v>178.43322749999996</v>
      </c>
      <c r="BC157" s="479">
        <f>BB157*(1+BC158)</f>
        <v>184.32152400749993</v>
      </c>
      <c r="BD157" s="479">
        <f>BC157*(1+BD158)</f>
        <v>196.30242306798741</v>
      </c>
      <c r="BE157" s="486">
        <f>SUM(BA157:BD157)</f>
        <v>729.80667457548736</v>
      </c>
      <c r="BF157" s="479">
        <f>BD157*(1+BF158)</f>
        <v>186.48730191458802</v>
      </c>
      <c r="BG157" s="487">
        <f>BF157*(1+BG158)</f>
        <v>187.41973842416093</v>
      </c>
      <c r="BH157" s="487">
        <f>BG157*(1+BH158)</f>
        <v>186.48263973204013</v>
      </c>
      <c r="BI157" s="479">
        <f>BH157*(1+BI158)</f>
        <v>188.34746612936053</v>
      </c>
      <c r="BJ157" s="486">
        <f>SUM(BF157:BI157)</f>
        <v>748.73714620014971</v>
      </c>
      <c r="BK157" s="487">
        <f>BI157*(1+BK158)</f>
        <v>182.69704214547971</v>
      </c>
      <c r="BL157" s="487">
        <f>BK157*(1+BL158)</f>
        <v>185.43749777766189</v>
      </c>
      <c r="BM157" s="487">
        <f>BL157*(1+BM158)</f>
        <v>187.2918727554385</v>
      </c>
      <c r="BN157" s="487">
        <f>BM157*(1+BN158)</f>
        <v>191.97416957432446</v>
      </c>
      <c r="BO157" s="952">
        <f>SUM(BK157:BN157)</f>
        <v>747.40058225290454</v>
      </c>
      <c r="BP157" s="487">
        <f>BN157*(1+BP158)</f>
        <v>186.21494448709473</v>
      </c>
      <c r="BQ157" s="487">
        <f>BP157*(1+BQ158)</f>
        <v>189.00816865440112</v>
      </c>
      <c r="BR157" s="487">
        <f>BQ157*(1+BR158)</f>
        <v>190.89825034094514</v>
      </c>
      <c r="BS157" s="487">
        <f>BR157*(1+BS158)</f>
        <v>195.67070659946876</v>
      </c>
      <c r="BT157" s="952">
        <f>SUM(BP157:BS157)</f>
        <v>761.79207008190974</v>
      </c>
      <c r="BU157" s="487">
        <f>BS157*(1+BU158)</f>
        <v>189.80058540148468</v>
      </c>
      <c r="BV157" s="487">
        <f>BU157*(1+BV158)</f>
        <v>192.64759418250694</v>
      </c>
      <c r="BW157" s="487">
        <f>BV157*(1+BW158)</f>
        <v>194.574070124332</v>
      </c>
      <c r="BX157" s="487">
        <f>BW157*(1+BX158)</f>
        <v>199.43842187744028</v>
      </c>
      <c r="BY157" s="952">
        <f>SUM(BU157:BX157)</f>
        <v>776.46067158576398</v>
      </c>
      <c r="BZ157" s="487">
        <f>BX157*(1+BZ158)</f>
        <v>193.45526922111705</v>
      </c>
      <c r="CA157" s="487">
        <f>BZ157*(1+CA158)</f>
        <v>196.3570982594338</v>
      </c>
      <c r="CB157" s="487">
        <f>CA157*(1+CB158)</f>
        <v>198.32066924202815</v>
      </c>
      <c r="CC157" s="487">
        <f>CB157*(1+CC158)</f>
        <v>203.27868597307884</v>
      </c>
      <c r="CD157" s="952">
        <f>SUM(BZ157:CC157)</f>
        <v>791.41172269565777</v>
      </c>
      <c r="CE157" s="487">
        <f>CC157*(1+CE158)</f>
        <v>197.18032539388648</v>
      </c>
      <c r="CF157" s="487">
        <f>CE157*(1+CF158)</f>
        <v>200.13803027479474</v>
      </c>
      <c r="CG157" s="487">
        <f>CF157*(1+CG158)</f>
        <v>202.13941057754269</v>
      </c>
      <c r="CH157" s="487">
        <f>CG157*(1+CH158)</f>
        <v>207.19289584198123</v>
      </c>
      <c r="CI157" s="952">
        <f>SUM(CE157:CH157)</f>
        <v>806.65066208820508</v>
      </c>
      <c r="CJ157" s="487">
        <f>CH157*(1+CJ158)</f>
        <v>200.97710896672177</v>
      </c>
      <c r="CK157" s="487">
        <f>CJ157*(1+CK158)</f>
        <v>203.99176560122257</v>
      </c>
      <c r="CL157" s="487">
        <f>CK157*(1+CL158)</f>
        <v>206.03168325723479</v>
      </c>
      <c r="CM157" s="487">
        <f>CL157*(1+CM158)</f>
        <v>211.18247533866565</v>
      </c>
      <c r="CN157" s="952">
        <f>SUM(CJ157:CM157)</f>
        <v>822.18303316384481</v>
      </c>
      <c r="CO157" s="487">
        <f>CM157*(1+CO158)</f>
        <v>204.84700107850568</v>
      </c>
      <c r="CP157" s="487">
        <f>CO157*(1+CP158)</f>
        <v>207.91970609468325</v>
      </c>
      <c r="CQ157" s="487">
        <f>CP157*(1+CQ158)</f>
        <v>209.99890315563007</v>
      </c>
      <c r="CR157" s="487">
        <f>CQ157*(1+CR158)</f>
        <v>215.24887573452079</v>
      </c>
      <c r="CS157" s="952">
        <f>SUM(CO157:CR157)</f>
        <v>838.01448606333975</v>
      </c>
      <c r="CT157" s="487">
        <f>CR157*(1+CT158)</f>
        <v>208.79140946248518</v>
      </c>
      <c r="CU157" s="487">
        <f>CT157*(1+CU158)</f>
        <v>211.92328060442244</v>
      </c>
      <c r="CV157" s="487">
        <f>CU157*(1+CV158)</f>
        <v>214.04251341046668</v>
      </c>
      <c r="CW157" s="487">
        <f>CV157*(1+CW158)</f>
        <v>219.39357624572833</v>
      </c>
      <c r="CX157" s="952">
        <f>SUM(CT157:CW157)</f>
        <v>854.15077972310269</v>
      </c>
      <c r="CY157" s="487"/>
      <c r="DA157" s="126"/>
      <c r="DB157" s="481"/>
      <c r="DC157" s="481"/>
    </row>
    <row r="158" spans="1:107" ht="11.25" hidden="1" customHeight="1" outlineLevel="1">
      <c r="A158" s="489" t="s">
        <v>78</v>
      </c>
      <c r="B158" s="469"/>
      <c r="C158" s="470"/>
      <c r="D158" s="469"/>
      <c r="E158" s="469"/>
      <c r="F158" s="471"/>
      <c r="G158" s="472"/>
      <c r="H158" s="470"/>
      <c r="I158" s="469"/>
      <c r="J158" s="469"/>
      <c r="K158" s="471"/>
      <c r="L158" s="470"/>
      <c r="M158" s="470"/>
      <c r="N158" s="469"/>
      <c r="O158" s="469"/>
      <c r="P158" s="471"/>
      <c r="Q158" s="472"/>
      <c r="R158" s="469"/>
      <c r="S158" s="469"/>
      <c r="T158" s="469"/>
      <c r="U158" s="469"/>
      <c r="V158" s="473"/>
      <c r="W158" s="469"/>
      <c r="X158" s="469">
        <f>X157/W157-1</f>
        <v>-6.73409668420758E-2</v>
      </c>
      <c r="Y158" s="469">
        <f>Y157/X157-1</f>
        <v>-9.604444503657128E-2</v>
      </c>
      <c r="Z158" s="469">
        <f>Z157/Y157-1</f>
        <v>8.1392778187177717E-2</v>
      </c>
      <c r="AA158" s="472"/>
      <c r="AB158" s="469">
        <f>AB157/Z157-1</f>
        <v>6.4431496814201461E-2</v>
      </c>
      <c r="AC158" s="469">
        <f>AC157/AB157-1</f>
        <v>-3.0729833546734864E-2</v>
      </c>
      <c r="AD158" s="469">
        <f>+AD157/AC157-1</f>
        <v>-6.0105680317040888E-2</v>
      </c>
      <c r="AE158" s="469">
        <f>+AE157/AD157-1</f>
        <v>0.1876317638791285</v>
      </c>
      <c r="AF158" s="474"/>
      <c r="AG158" s="469">
        <f>AG157/AE157-1</f>
        <v>-4.5562130177514759E-2</v>
      </c>
      <c r="AH158" s="469">
        <f>AH157/AG157-1</f>
        <v>7.3155610663360182E-2</v>
      </c>
      <c r="AI158" s="469">
        <f>AI157/AH157-1</f>
        <v>-4.2172154823801211E-2</v>
      </c>
      <c r="AJ158" s="469">
        <f>AJ157/AI157-1</f>
        <v>8.6248492159227919E-2</v>
      </c>
      <c r="AK158" s="474"/>
      <c r="AL158" s="469">
        <f>AL157/AJ157-1</f>
        <v>1.110494169905607E-2</v>
      </c>
      <c r="AM158" s="469">
        <f>AM157/AL157-1</f>
        <v>1.8121911037891403E-2</v>
      </c>
      <c r="AN158" s="469">
        <f>AN157/AM157-1</f>
        <v>9.9784250269687069E-2</v>
      </c>
      <c r="AO158" s="469">
        <f>AO157/AN157-1</f>
        <v>-8.6316821971554658E-2</v>
      </c>
      <c r="AP158" s="474"/>
      <c r="AQ158" s="469">
        <f>AQ157/AO157-1</f>
        <v>-0.19538378958668812</v>
      </c>
      <c r="AR158" s="469">
        <f>AR157/AQ157-1</f>
        <v>-8.0720480320213395E-2</v>
      </c>
      <c r="AS158" s="469">
        <f>AS157/AR157-1</f>
        <v>2.1770682148039011E-3</v>
      </c>
      <c r="AT158" s="469">
        <f>AT157/AS157-1</f>
        <v>-4.5619116582186647E-2</v>
      </c>
      <c r="AU158" s="472"/>
      <c r="AV158" s="469">
        <f>AV157/AT157-1</f>
        <v>0.25872534142640347</v>
      </c>
      <c r="AW158" s="469">
        <f>AW157/AV157-1</f>
        <v>-5.9674502712477429E-2</v>
      </c>
      <c r="AX158" s="469">
        <f>AX157/AW157-1</f>
        <v>4.2307692307692379E-2</v>
      </c>
      <c r="AY158" s="469">
        <f>AY157/AX157-1</f>
        <v>4.4895448954489714E-2</v>
      </c>
      <c r="AZ158" s="472"/>
      <c r="BA158" s="475">
        <v>5.0000000000000001E-3</v>
      </c>
      <c r="BB158" s="475">
        <v>4.4999999999999998E-2</v>
      </c>
      <c r="BC158" s="469">
        <v>3.3000000000000002E-2</v>
      </c>
      <c r="BD158" s="469">
        <v>6.5000000000000002E-2</v>
      </c>
      <c r="BE158" s="472"/>
      <c r="BF158" s="469">
        <v>-0.05</v>
      </c>
      <c r="BG158" s="475">
        <v>5.0000000000000001E-3</v>
      </c>
      <c r="BH158" s="475">
        <v>-5.0000000000000001E-3</v>
      </c>
      <c r="BI158" s="469">
        <v>0.01</v>
      </c>
      <c r="BJ158" s="472"/>
      <c r="BK158" s="475">
        <v>-0.03</v>
      </c>
      <c r="BL158" s="475">
        <v>1.4999999999999999E-2</v>
      </c>
      <c r="BM158" s="475">
        <v>0.01</v>
      </c>
      <c r="BN158" s="475">
        <v>2.5000000000000001E-2</v>
      </c>
      <c r="BO158" s="950"/>
      <c r="BP158" s="475">
        <v>-0.03</v>
      </c>
      <c r="BQ158" s="475">
        <v>1.4999999999999999E-2</v>
      </c>
      <c r="BR158" s="475">
        <v>0.01</v>
      </c>
      <c r="BS158" s="475">
        <v>2.5000000000000001E-2</v>
      </c>
      <c r="BT158" s="950"/>
      <c r="BU158" s="475">
        <v>-0.03</v>
      </c>
      <c r="BV158" s="475">
        <v>1.4999999999999999E-2</v>
      </c>
      <c r="BW158" s="475">
        <v>0.01</v>
      </c>
      <c r="BX158" s="475">
        <v>2.5000000000000001E-2</v>
      </c>
      <c r="BY158" s="950"/>
      <c r="BZ158" s="475">
        <v>-0.03</v>
      </c>
      <c r="CA158" s="475">
        <v>1.4999999999999999E-2</v>
      </c>
      <c r="CB158" s="475">
        <v>0.01</v>
      </c>
      <c r="CC158" s="475">
        <v>2.5000000000000001E-2</v>
      </c>
      <c r="CD158" s="950"/>
      <c r="CE158" s="475">
        <v>-0.03</v>
      </c>
      <c r="CF158" s="475">
        <v>1.4999999999999999E-2</v>
      </c>
      <c r="CG158" s="475">
        <v>0.01</v>
      </c>
      <c r="CH158" s="475">
        <v>2.5000000000000001E-2</v>
      </c>
      <c r="CI158" s="950"/>
      <c r="CJ158" s="475">
        <v>-0.03</v>
      </c>
      <c r="CK158" s="475">
        <v>1.4999999999999999E-2</v>
      </c>
      <c r="CL158" s="475">
        <v>0.01</v>
      </c>
      <c r="CM158" s="475">
        <v>2.5000000000000001E-2</v>
      </c>
      <c r="CN158" s="950"/>
      <c r="CO158" s="475">
        <v>-0.03</v>
      </c>
      <c r="CP158" s="475">
        <v>1.4999999999999999E-2</v>
      </c>
      <c r="CQ158" s="475">
        <v>0.01</v>
      </c>
      <c r="CR158" s="475">
        <v>2.5000000000000001E-2</v>
      </c>
      <c r="CS158" s="950"/>
      <c r="CT158" s="475">
        <v>-0.03</v>
      </c>
      <c r="CU158" s="475">
        <v>1.4999999999999999E-2</v>
      </c>
      <c r="CV158" s="475">
        <v>0.01</v>
      </c>
      <c r="CW158" s="475">
        <v>2.5000000000000001E-2</v>
      </c>
      <c r="CX158" s="950"/>
      <c r="CY158" s="475"/>
      <c r="DA158" s="126"/>
      <c r="DB158" s="469"/>
      <c r="DC158" s="469"/>
    </row>
    <row r="159" spans="1:107" ht="11.25" hidden="1" customHeight="1" outlineLevel="1">
      <c r="A159" s="489" t="s">
        <v>77</v>
      </c>
      <c r="B159" s="469"/>
      <c r="C159" s="470"/>
      <c r="D159" s="469"/>
      <c r="E159" s="469"/>
      <c r="F159" s="471"/>
      <c r="G159" s="472"/>
      <c r="H159" s="470"/>
      <c r="I159" s="469"/>
      <c r="J159" s="469"/>
      <c r="K159" s="471"/>
      <c r="L159" s="470"/>
      <c r="M159" s="470"/>
      <c r="N159" s="469"/>
      <c r="O159" s="469"/>
      <c r="P159" s="471"/>
      <c r="Q159" s="472"/>
      <c r="R159" s="469"/>
      <c r="S159" s="469"/>
      <c r="T159" s="469"/>
      <c r="U159" s="469"/>
      <c r="V159" s="473"/>
      <c r="W159" s="469"/>
      <c r="X159" s="469"/>
      <c r="Y159" s="469"/>
      <c r="Z159" s="469"/>
      <c r="AA159" s="472">
        <f>+AA157/V157-1</f>
        <v>0.35073872791326433</v>
      </c>
      <c r="AB159" s="469">
        <f>AB157/W157-1</f>
        <v>-2.9554477282752623E-2</v>
      </c>
      <c r="AC159" s="469">
        <f>AC157/X157-1</f>
        <v>8.5399485737887026E-3</v>
      </c>
      <c r="AD159" s="469">
        <f>AD157/Y157-1</f>
        <v>4.8636698599852757E-2</v>
      </c>
      <c r="AE159" s="469"/>
      <c r="AF159" s="472">
        <f>+AF157/AA157-1</f>
        <v>4.276182773958781E-2</v>
      </c>
      <c r="AG159" s="469">
        <f>AG157/AB157-1</f>
        <v>3.2650448143406008E-2</v>
      </c>
      <c r="AH159" s="469">
        <f>AH157/AC157-1</f>
        <v>0.14332892998678992</v>
      </c>
      <c r="AI159" s="469">
        <f>AI157/AD157-1</f>
        <v>0.16514406184118058</v>
      </c>
      <c r="AJ159" s="469">
        <f>AJ157/AE157-1</f>
        <v>6.5680473372780934E-2</v>
      </c>
      <c r="AK159" s="472">
        <f>+AK157/AF157-1</f>
        <v>9.9208272741961201E-2</v>
      </c>
      <c r="AL159" s="469">
        <f t="shared" ref="AL159:AZ159" si="194">AL157/AG157-1</f>
        <v>0.12895226286422812</v>
      </c>
      <c r="AM159" s="469">
        <f t="shared" si="194"/>
        <v>7.1057192374350153E-2</v>
      </c>
      <c r="AN159" s="469">
        <f t="shared" si="194"/>
        <v>0.22979493365500603</v>
      </c>
      <c r="AO159" s="469">
        <f t="shared" si="194"/>
        <v>3.4425319267074039E-2</v>
      </c>
      <c r="AP159" s="472">
        <f t="shared" si="194"/>
        <v>0.11377333529325306</v>
      </c>
      <c r="AQ159" s="469">
        <f t="shared" si="194"/>
        <v>-0.17682591982427232</v>
      </c>
      <c r="AR159" s="469">
        <f t="shared" si="194"/>
        <v>-0.25674217907227614</v>
      </c>
      <c r="AS159" s="469">
        <f t="shared" si="194"/>
        <v>-0.32270720941638065</v>
      </c>
      <c r="AT159" s="469">
        <f t="shared" si="194"/>
        <v>-0.29253891572732149</v>
      </c>
      <c r="AU159" s="472">
        <f t="shared" si="194"/>
        <v>-0.26408868945492925</v>
      </c>
      <c r="AV159" s="469">
        <f t="shared" si="194"/>
        <v>0.10673782521681119</v>
      </c>
      <c r="AW159" s="469">
        <f t="shared" si="194"/>
        <v>0.13207547169811318</v>
      </c>
      <c r="AX159" s="469">
        <f t="shared" si="194"/>
        <v>0.17740767559739323</v>
      </c>
      <c r="AY159" s="469">
        <f t="shared" si="194"/>
        <v>0.2890743550834598</v>
      </c>
      <c r="AZ159" s="472">
        <f t="shared" si="194"/>
        <v>0.17360114777618341</v>
      </c>
      <c r="BA159" s="475">
        <f t="shared" ref="BA159:BJ159" si="195">BA157/AV157-1</f>
        <v>2.9231464737793811E-2</v>
      </c>
      <c r="BB159" s="475">
        <f t="shared" si="195"/>
        <v>0.14380274038461516</v>
      </c>
      <c r="BC159" s="469">
        <f t="shared" si="195"/>
        <v>0.13358870853320992</v>
      </c>
      <c r="BD159" s="469">
        <f t="shared" si="195"/>
        <v>0.15539978262499932</v>
      </c>
      <c r="BE159" s="472">
        <f t="shared" si="195"/>
        <v>0.11523024843442453</v>
      </c>
      <c r="BF159" s="469">
        <f t="shared" si="195"/>
        <v>9.216894874999948E-2</v>
      </c>
      <c r="BG159" s="475">
        <f t="shared" si="195"/>
        <v>5.0363438749999379E-2</v>
      </c>
      <c r="BH159" s="475">
        <f t="shared" si="195"/>
        <v>1.1724706249999661E-2</v>
      </c>
      <c r="BI159" s="469">
        <f t="shared" si="195"/>
        <v>-4.0523987500000191E-2</v>
      </c>
      <c r="BJ159" s="472">
        <f t="shared" si="195"/>
        <v>2.593902232488321E-2</v>
      </c>
      <c r="BK159" s="475">
        <f t="shared" ref="BK159:BT159" si="196">BK157/BF157-1</f>
        <v>-2.0324492500000124E-2</v>
      </c>
      <c r="BL159" s="475">
        <f t="shared" si="196"/>
        <v>-1.0576477500000014E-2</v>
      </c>
      <c r="BM159" s="475">
        <f t="shared" si="196"/>
        <v>4.33945499999977E-3</v>
      </c>
      <c r="BN159" s="475">
        <f t="shared" si="196"/>
        <v>1.9255387499999888E-2</v>
      </c>
      <c r="BO159" s="950">
        <f t="shared" si="196"/>
        <v>-1.7850910082773952E-3</v>
      </c>
      <c r="BP159" s="475">
        <f t="shared" si="196"/>
        <v>1.9255387499999888E-2</v>
      </c>
      <c r="BQ159" s="475">
        <f t="shared" si="196"/>
        <v>1.9255387499999888E-2</v>
      </c>
      <c r="BR159" s="475">
        <f t="shared" si="196"/>
        <v>1.9255387499999888E-2</v>
      </c>
      <c r="BS159" s="475">
        <f t="shared" si="196"/>
        <v>1.9255387499999888E-2</v>
      </c>
      <c r="BT159" s="950">
        <f t="shared" si="196"/>
        <v>1.9255387499999888E-2</v>
      </c>
      <c r="BU159" s="475">
        <f t="shared" ref="BU159:CD159" si="197">BU157/BP157-1</f>
        <v>1.9255387499999665E-2</v>
      </c>
      <c r="BV159" s="475">
        <f t="shared" si="197"/>
        <v>1.9255387499999888E-2</v>
      </c>
      <c r="BW159" s="475">
        <f t="shared" si="197"/>
        <v>1.9255387499999665E-2</v>
      </c>
      <c r="BX159" s="475">
        <f t="shared" si="197"/>
        <v>1.9255387499999665E-2</v>
      </c>
      <c r="BY159" s="950">
        <f t="shared" si="197"/>
        <v>1.9255387499999888E-2</v>
      </c>
      <c r="BZ159" s="475">
        <f t="shared" si="197"/>
        <v>1.9255387499999665E-2</v>
      </c>
      <c r="CA159" s="475">
        <f t="shared" si="197"/>
        <v>1.9255387499999665E-2</v>
      </c>
      <c r="CB159" s="475">
        <f t="shared" si="197"/>
        <v>1.9255387499999888E-2</v>
      </c>
      <c r="CC159" s="475">
        <f t="shared" si="197"/>
        <v>1.9255387499999888E-2</v>
      </c>
      <c r="CD159" s="950">
        <f t="shared" si="197"/>
        <v>1.9255387499999665E-2</v>
      </c>
      <c r="CE159" s="475">
        <f t="shared" ref="CE159:CN159" si="198">CE157/BZ157-1</f>
        <v>1.9255387499999888E-2</v>
      </c>
      <c r="CF159" s="475">
        <f t="shared" si="198"/>
        <v>1.9255387499999888E-2</v>
      </c>
      <c r="CG159" s="475">
        <f t="shared" si="198"/>
        <v>1.9255387499999888E-2</v>
      </c>
      <c r="CH159" s="475">
        <f t="shared" si="198"/>
        <v>1.9255387499999665E-2</v>
      </c>
      <c r="CI159" s="950">
        <f t="shared" si="198"/>
        <v>1.9255387499999888E-2</v>
      </c>
      <c r="CJ159" s="475">
        <f t="shared" si="198"/>
        <v>1.9255387499999665E-2</v>
      </c>
      <c r="CK159" s="475">
        <f t="shared" si="198"/>
        <v>1.9255387499999665E-2</v>
      </c>
      <c r="CL159" s="475">
        <f t="shared" si="198"/>
        <v>1.9255387499999665E-2</v>
      </c>
      <c r="CM159" s="475">
        <f t="shared" si="198"/>
        <v>1.9255387499999665E-2</v>
      </c>
      <c r="CN159" s="950">
        <f t="shared" si="198"/>
        <v>1.9255387499999665E-2</v>
      </c>
      <c r="CO159" s="475">
        <f t="shared" ref="CO159:CX159" si="199">CO157/CJ157-1</f>
        <v>1.9255387499999888E-2</v>
      </c>
      <c r="CP159" s="475">
        <f t="shared" si="199"/>
        <v>1.9255387499999888E-2</v>
      </c>
      <c r="CQ159" s="475">
        <f t="shared" si="199"/>
        <v>1.9255387499999888E-2</v>
      </c>
      <c r="CR159" s="475">
        <f t="shared" si="199"/>
        <v>1.9255387499999665E-2</v>
      </c>
      <c r="CS159" s="950">
        <f t="shared" si="199"/>
        <v>1.9255387499999665E-2</v>
      </c>
      <c r="CT159" s="475">
        <f t="shared" si="199"/>
        <v>1.9255387499999665E-2</v>
      </c>
      <c r="CU159" s="475">
        <f t="shared" si="199"/>
        <v>1.9255387499999888E-2</v>
      </c>
      <c r="CV159" s="475">
        <f t="shared" si="199"/>
        <v>1.9255387499999888E-2</v>
      </c>
      <c r="CW159" s="475">
        <f t="shared" si="199"/>
        <v>1.9255387499999888E-2</v>
      </c>
      <c r="CX159" s="950">
        <f t="shared" si="199"/>
        <v>1.9255387499999888E-2</v>
      </c>
      <c r="CY159" s="475"/>
      <c r="DA159" s="126"/>
      <c r="DB159" s="469"/>
      <c r="DC159" s="469"/>
    </row>
    <row r="160" spans="1:107" ht="11.25" hidden="1" customHeight="1" outlineLevel="1">
      <c r="A160" s="478" t="s">
        <v>50</v>
      </c>
      <c r="B160" s="479"/>
      <c r="C160" s="480"/>
      <c r="D160" s="481"/>
      <c r="E160" s="481"/>
      <c r="F160" s="482"/>
      <c r="G160" s="483"/>
      <c r="H160" s="480"/>
      <c r="I160" s="481"/>
      <c r="J160" s="481"/>
      <c r="K160" s="482"/>
      <c r="L160" s="480"/>
      <c r="M160" s="480"/>
      <c r="N160" s="481"/>
      <c r="O160" s="481"/>
      <c r="P160" s="482"/>
      <c r="Q160" s="483"/>
      <c r="R160" s="481"/>
      <c r="S160" s="481"/>
      <c r="T160" s="481"/>
      <c r="U160" s="481"/>
      <c r="V160" s="484">
        <v>102.495</v>
      </c>
      <c r="W160" s="485">
        <v>23.887</v>
      </c>
      <c r="X160" s="485">
        <v>26.079000000000001</v>
      </c>
      <c r="Y160" s="485">
        <v>30.1</v>
      </c>
      <c r="Z160" s="479">
        <f>AA160-SUM(W160:Y160)</f>
        <v>32.935999999999993</v>
      </c>
      <c r="AA160" s="486">
        <v>113.002</v>
      </c>
      <c r="AB160" s="485">
        <v>47.9</v>
      </c>
      <c r="AC160" s="485">
        <v>44.8</v>
      </c>
      <c r="AD160" s="485">
        <v>48.9</v>
      </c>
      <c r="AE160" s="485">
        <v>55.7</v>
      </c>
      <c r="AF160" s="486">
        <f>SUM(AB160:AE160)</f>
        <v>197.3</v>
      </c>
      <c r="AG160" s="479">
        <v>56</v>
      </c>
      <c r="AH160" s="479">
        <v>55.7</v>
      </c>
      <c r="AI160" s="479">
        <v>61.6</v>
      </c>
      <c r="AJ160" s="479">
        <v>66.3</v>
      </c>
      <c r="AK160" s="486">
        <f>SUM(AG160:AJ160)</f>
        <v>239.60000000000002</v>
      </c>
      <c r="AL160" s="479">
        <v>67.599999999999994</v>
      </c>
      <c r="AM160" s="479">
        <v>67.400000000000006</v>
      </c>
      <c r="AN160" s="479">
        <v>79.599999999999994</v>
      </c>
      <c r="AO160" s="479">
        <v>91.7</v>
      </c>
      <c r="AP160" s="486">
        <f>SUM(AL160:AO160)</f>
        <v>306.3</v>
      </c>
      <c r="AQ160" s="479">
        <v>77.099999999999994</v>
      </c>
      <c r="AR160" s="479">
        <v>71.900000000000006</v>
      </c>
      <c r="AS160" s="479">
        <v>71.900000000000006</v>
      </c>
      <c r="AT160" s="479">
        <v>80</v>
      </c>
      <c r="AU160" s="486">
        <f>SUM(AQ160:AT160)</f>
        <v>300.89999999999998</v>
      </c>
      <c r="AV160" s="479">
        <v>79.900000000000006</v>
      </c>
      <c r="AW160" s="479">
        <v>76.7</v>
      </c>
      <c r="AX160" s="479">
        <v>94.2</v>
      </c>
      <c r="AY160" s="479">
        <f>104.2</f>
        <v>104.2</v>
      </c>
      <c r="AZ160" s="486">
        <f>SUM(AV160:AY160)</f>
        <v>355</v>
      </c>
      <c r="BA160" s="487">
        <f>AY160*(1+BA161)</f>
        <v>108.889</v>
      </c>
      <c r="BB160" s="487">
        <f>BA160*(1+BB161)</f>
        <v>113.24455999999999</v>
      </c>
      <c r="BC160" s="479">
        <f>BB160*(1+BC161)</f>
        <v>116.6418968</v>
      </c>
      <c r="BD160" s="479">
        <f>BC160*(1+BD161)</f>
        <v>126.55645802799999</v>
      </c>
      <c r="BE160" s="486">
        <f>SUM(BA160:BD160)</f>
        <v>465.33191482799998</v>
      </c>
      <c r="BF160" s="479">
        <f>BD160*(1+BF161)</f>
        <v>125.29089344771999</v>
      </c>
      <c r="BG160" s="487">
        <f>BF160*(1+BG161)</f>
        <v>129.04962025115159</v>
      </c>
      <c r="BH160" s="487">
        <f>BG160*(1+BH161)</f>
        <v>133.56635695994188</v>
      </c>
      <c r="BI160" s="479">
        <f>BH160*(1+BI161)</f>
        <v>143.58383373193752</v>
      </c>
      <c r="BJ160" s="486">
        <f>SUM(BF160:BI160)</f>
        <v>531.49070439075092</v>
      </c>
      <c r="BK160" s="487">
        <f>BI160*(1+BK161)</f>
        <v>140.71215705729875</v>
      </c>
      <c r="BL160" s="487">
        <f>BK160*(1+BL161)</f>
        <v>143.52640019844472</v>
      </c>
      <c r="BM160" s="487">
        <f>BL160*(1+BM161)</f>
        <v>147.11456020340583</v>
      </c>
      <c r="BN160" s="487">
        <f>BM160*(1+BN161)</f>
        <v>156.67700661662721</v>
      </c>
      <c r="BO160" s="952">
        <f>SUM(BK160:BN160)</f>
        <v>588.03012407577648</v>
      </c>
      <c r="BP160" s="487">
        <f>BN160*(1+BP161)</f>
        <v>151.9766964181284</v>
      </c>
      <c r="BQ160" s="487">
        <f>BP160*(1+BQ161)</f>
        <v>153.49646338230968</v>
      </c>
      <c r="BR160" s="487">
        <f>BQ160*(1+BR161)</f>
        <v>155.79891033304432</v>
      </c>
      <c r="BS160" s="487">
        <f>BR160*(1+BS161)</f>
        <v>164.36785040136175</v>
      </c>
      <c r="BT160" s="952">
        <f>SUM(BP160:BS160)</f>
        <v>625.63992053484412</v>
      </c>
      <c r="BU160" s="487">
        <f>BS160*(1+BU161)</f>
        <v>157.79313638530726</v>
      </c>
      <c r="BV160" s="487">
        <f>BU160*(1+BV161)</f>
        <v>157.79313638530726</v>
      </c>
      <c r="BW160" s="487">
        <f>BV160*(1+BW161)</f>
        <v>158.58210206723379</v>
      </c>
      <c r="BX160" s="487">
        <f>BW160*(1+BX161)</f>
        <v>165.71829666025931</v>
      </c>
      <c r="BY160" s="952">
        <f>SUM(BU160:BX160)</f>
        <v>639.8866714981076</v>
      </c>
      <c r="BZ160" s="487">
        <f>BX160*(1+BZ161)</f>
        <v>157.43238182724633</v>
      </c>
      <c r="CA160" s="487">
        <f>BZ160*(1+CA161)</f>
        <v>155.85805800897387</v>
      </c>
      <c r="CB160" s="487">
        <f>CA160*(1+CB161)</f>
        <v>155.07876771892899</v>
      </c>
      <c r="CC160" s="487">
        <f>CB160*(1+CC161)</f>
        <v>160.5065245890915</v>
      </c>
      <c r="CD160" s="952">
        <f>SUM(BZ160:CC160)</f>
        <v>628.87573214424071</v>
      </c>
      <c r="CE160" s="487">
        <f>CC160*(1+CE161)</f>
        <v>150.87613311374599</v>
      </c>
      <c r="CF160" s="487">
        <f>CE160*(1+CF161)</f>
        <v>147.85861045147107</v>
      </c>
      <c r="CG160" s="487">
        <f>CF160*(1+CG161)</f>
        <v>145.64073129469901</v>
      </c>
      <c r="CH160" s="487">
        <f>CG160*(1+CH161)</f>
        <v>149.28174957706648</v>
      </c>
      <c r="CI160" s="952">
        <f>SUM(CE160:CH160)</f>
        <v>593.65722443698246</v>
      </c>
      <c r="CJ160" s="487">
        <f>CH160*(1+CJ161)</f>
        <v>138.8320271066718</v>
      </c>
      <c r="CK160" s="487">
        <f>CJ160*(1+CK161)</f>
        <v>134.66706629347163</v>
      </c>
      <c r="CL160" s="487">
        <f>CK160*(1+CL161)</f>
        <v>131.30038963613484</v>
      </c>
      <c r="CM160" s="487">
        <f>CL160*(1+CM161)</f>
        <v>133.26989548067684</v>
      </c>
      <c r="CN160" s="952">
        <f>SUM(CJ160:CM160)</f>
        <v>538.06937851695511</v>
      </c>
      <c r="CO160" s="487">
        <f>CM160*(1+CO161)</f>
        <v>122.6083038422227</v>
      </c>
      <c r="CP160" s="487">
        <f>CO160*(1+CP161)</f>
        <v>117.70397168853378</v>
      </c>
      <c r="CQ160" s="487">
        <f>CP160*(1+CQ161)</f>
        <v>113.58433267943509</v>
      </c>
      <c r="CR160" s="487">
        <f>CQ160*(1+CR161)</f>
        <v>114.15225434283225</v>
      </c>
      <c r="CS160" s="952">
        <f>SUM(CO160:CR160)</f>
        <v>468.04886255302381</v>
      </c>
      <c r="CT160" s="487">
        <f>CR160*(1+CT161)</f>
        <v>103.87855145197736</v>
      </c>
      <c r="CU160" s="487">
        <f>CT160*(1+CU161)</f>
        <v>98.684623879378492</v>
      </c>
      <c r="CV160" s="487">
        <f>CU160*(1+CV161)</f>
        <v>94.243815804806459</v>
      </c>
      <c r="CW160" s="487">
        <f>CV160*(1+CW161)</f>
        <v>93.772596725782421</v>
      </c>
      <c r="CX160" s="952">
        <f>SUM(CT160:CW160)</f>
        <v>390.57958786194473</v>
      </c>
      <c r="CY160" s="487"/>
      <c r="DA160" s="126"/>
      <c r="DB160" s="481"/>
      <c r="DC160" s="481"/>
    </row>
    <row r="161" spans="1:107" ht="11.25" hidden="1" customHeight="1" outlineLevel="1">
      <c r="A161" s="489" t="s">
        <v>78</v>
      </c>
      <c r="B161" s="469"/>
      <c r="C161" s="470"/>
      <c r="D161" s="469"/>
      <c r="E161" s="469"/>
      <c r="F161" s="471"/>
      <c r="G161" s="472"/>
      <c r="H161" s="470"/>
      <c r="I161" s="469"/>
      <c r="J161" s="469"/>
      <c r="K161" s="471"/>
      <c r="L161" s="470"/>
      <c r="M161" s="470"/>
      <c r="N161" s="469"/>
      <c r="O161" s="469"/>
      <c r="P161" s="471"/>
      <c r="Q161" s="472"/>
      <c r="R161" s="469"/>
      <c r="S161" s="469"/>
      <c r="T161" s="469"/>
      <c r="U161" s="469"/>
      <c r="V161" s="473"/>
      <c r="W161" s="469"/>
      <c r="X161" s="469">
        <f>X160/W160-1</f>
        <v>9.1765395403357486E-2</v>
      </c>
      <c r="Y161" s="469">
        <f>Y160/X160-1</f>
        <v>0.15418535986809312</v>
      </c>
      <c r="Z161" s="469">
        <f>Z160/Y160-1</f>
        <v>9.4219269102989722E-2</v>
      </c>
      <c r="AA161" s="472"/>
      <c r="AB161" s="469">
        <f>AB160/Z160-1</f>
        <v>0.45433568132135083</v>
      </c>
      <c r="AC161" s="469">
        <f>AC160/AB160-1</f>
        <v>-6.4718162839248472E-2</v>
      </c>
      <c r="AD161" s="469">
        <f>AD160/AC160-1</f>
        <v>9.1517857142857206E-2</v>
      </c>
      <c r="AE161" s="469">
        <f>AE160/AD160-1</f>
        <v>0.13905930470347649</v>
      </c>
      <c r="AF161" s="474"/>
      <c r="AG161" s="469">
        <f>AG160/AE160-1</f>
        <v>5.3859964093356805E-3</v>
      </c>
      <c r="AH161" s="469">
        <f>AH160/AG160-1</f>
        <v>-5.3571428571428381E-3</v>
      </c>
      <c r="AI161" s="469">
        <f>AI160/AH160-1</f>
        <v>0.10592459605026927</v>
      </c>
      <c r="AJ161" s="469">
        <f>AJ160/AI160-1</f>
        <v>7.629870129870131E-2</v>
      </c>
      <c r="AK161" s="474"/>
      <c r="AL161" s="469">
        <f>AL160/AJ160-1</f>
        <v>1.9607843137254832E-2</v>
      </c>
      <c r="AM161" s="469">
        <f>AM160/AL160-1</f>
        <v>-2.9585798816565978E-3</v>
      </c>
      <c r="AN161" s="469">
        <f>AN160/AM160-1</f>
        <v>0.18100890207715126</v>
      </c>
      <c r="AO161" s="469">
        <f>AO160/AN160-1</f>
        <v>0.15201005025125647</v>
      </c>
      <c r="AP161" s="474"/>
      <c r="AQ161" s="469">
        <f>AQ160/AO160-1</f>
        <v>-0.15921483097055622</v>
      </c>
      <c r="AR161" s="469">
        <f>AR160/AQ160-1</f>
        <v>-6.7444876783398056E-2</v>
      </c>
      <c r="AS161" s="469">
        <f>AS160/AR160-1</f>
        <v>0</v>
      </c>
      <c r="AT161" s="469">
        <f>AT160/AS160-1</f>
        <v>0.11265646731571621</v>
      </c>
      <c r="AU161" s="472"/>
      <c r="AV161" s="469">
        <f>AV160/AT160-1</f>
        <v>-1.2499999999999734E-3</v>
      </c>
      <c r="AW161" s="469">
        <f>AW160/AV160-1</f>
        <v>-4.0050062578222856E-2</v>
      </c>
      <c r="AX161" s="469">
        <f>AX160/AW160-1</f>
        <v>0.22816166883963485</v>
      </c>
      <c r="AY161" s="469">
        <f>AY160/AX160-1</f>
        <v>0.10615711252653925</v>
      </c>
      <c r="AZ161" s="472"/>
      <c r="BA161" s="475">
        <v>4.4999999999999998E-2</v>
      </c>
      <c r="BB161" s="475">
        <v>0.04</v>
      </c>
      <c r="BC161" s="469">
        <v>0.03</v>
      </c>
      <c r="BD161" s="469">
        <v>8.5000000000000006E-2</v>
      </c>
      <c r="BE161" s="472"/>
      <c r="BF161" s="469">
        <v>-0.01</v>
      </c>
      <c r="BG161" s="475">
        <v>0.03</v>
      </c>
      <c r="BH161" s="475">
        <v>3.5000000000000003E-2</v>
      </c>
      <c r="BI161" s="469">
        <v>7.4999999999999997E-2</v>
      </c>
      <c r="BJ161" s="472"/>
      <c r="BK161" s="475">
        <f>BF161-1%</f>
        <v>-0.02</v>
      </c>
      <c r="BL161" s="475">
        <f>BG161-1%</f>
        <v>1.9999999999999997E-2</v>
      </c>
      <c r="BM161" s="475">
        <f>BH161-1%</f>
        <v>2.5000000000000001E-2</v>
      </c>
      <c r="BN161" s="475">
        <f>BI161-1%</f>
        <v>6.5000000000000002E-2</v>
      </c>
      <c r="BO161" s="950"/>
      <c r="BP161" s="475">
        <f>BK161-1%</f>
        <v>-0.03</v>
      </c>
      <c r="BQ161" s="475">
        <f>BL161-1%</f>
        <v>9.9999999999999967E-3</v>
      </c>
      <c r="BR161" s="475">
        <f>BM161-1%</f>
        <v>1.5000000000000001E-2</v>
      </c>
      <c r="BS161" s="475">
        <f>BN161-1%</f>
        <v>5.5E-2</v>
      </c>
      <c r="BT161" s="950"/>
      <c r="BU161" s="475">
        <f>BP161-1%</f>
        <v>-0.04</v>
      </c>
      <c r="BV161" s="475">
        <f>BQ161-1%</f>
        <v>0</v>
      </c>
      <c r="BW161" s="475">
        <f>BR161-1%</f>
        <v>5.000000000000001E-3</v>
      </c>
      <c r="BX161" s="475">
        <f>BS161-1%</f>
        <v>4.4999999999999998E-2</v>
      </c>
      <c r="BY161" s="950"/>
      <c r="BZ161" s="475">
        <f>BU161-1%</f>
        <v>-0.05</v>
      </c>
      <c r="CA161" s="475">
        <f>BV161-1%</f>
        <v>-0.01</v>
      </c>
      <c r="CB161" s="475">
        <f>BW161-1%</f>
        <v>-4.9999999999999992E-3</v>
      </c>
      <c r="CC161" s="475">
        <f>BX161-1%</f>
        <v>3.4999999999999996E-2</v>
      </c>
      <c r="CD161" s="950"/>
      <c r="CE161" s="475">
        <f>BZ161-1%</f>
        <v>-6.0000000000000005E-2</v>
      </c>
      <c r="CF161" s="475">
        <f>CA161-1%</f>
        <v>-0.02</v>
      </c>
      <c r="CG161" s="475">
        <f>CB161-1%</f>
        <v>-1.4999999999999999E-2</v>
      </c>
      <c r="CH161" s="475">
        <f>CC161-1%</f>
        <v>2.4999999999999994E-2</v>
      </c>
      <c r="CI161" s="950"/>
      <c r="CJ161" s="475">
        <f>CE161-1%</f>
        <v>-7.0000000000000007E-2</v>
      </c>
      <c r="CK161" s="475">
        <f>CF161-1%</f>
        <v>-0.03</v>
      </c>
      <c r="CL161" s="475">
        <f>CG161-1%</f>
        <v>-2.5000000000000001E-2</v>
      </c>
      <c r="CM161" s="475">
        <f>CH161-1%</f>
        <v>1.4999999999999994E-2</v>
      </c>
      <c r="CN161" s="950"/>
      <c r="CO161" s="475">
        <f>CJ161-1%</f>
        <v>-0.08</v>
      </c>
      <c r="CP161" s="475">
        <f>CK161-1%</f>
        <v>-0.04</v>
      </c>
      <c r="CQ161" s="475">
        <f>CL161-1%</f>
        <v>-3.5000000000000003E-2</v>
      </c>
      <c r="CR161" s="475">
        <f>CM161-1%</f>
        <v>4.999999999999994E-3</v>
      </c>
      <c r="CS161" s="950"/>
      <c r="CT161" s="475">
        <f>CO161-1%</f>
        <v>-0.09</v>
      </c>
      <c r="CU161" s="475">
        <f>CP161-1%</f>
        <v>-0.05</v>
      </c>
      <c r="CV161" s="475">
        <f>CQ161-1%</f>
        <v>-4.5000000000000005E-2</v>
      </c>
      <c r="CW161" s="475">
        <f>CR161-1%</f>
        <v>-5.0000000000000062E-3</v>
      </c>
      <c r="CX161" s="950"/>
      <c r="CY161" s="475"/>
      <c r="DA161" s="126"/>
      <c r="DB161" s="469"/>
      <c r="DC161" s="469"/>
    </row>
    <row r="162" spans="1:107" ht="11.25" hidden="1" customHeight="1" outlineLevel="1">
      <c r="A162" s="489" t="s">
        <v>77</v>
      </c>
      <c r="B162" s="469"/>
      <c r="C162" s="470"/>
      <c r="D162" s="469"/>
      <c r="E162" s="469"/>
      <c r="F162" s="471"/>
      <c r="G162" s="472"/>
      <c r="H162" s="470"/>
      <c r="I162" s="469"/>
      <c r="J162" s="469"/>
      <c r="K162" s="471"/>
      <c r="L162" s="470"/>
      <c r="M162" s="470"/>
      <c r="N162" s="469"/>
      <c r="O162" s="469"/>
      <c r="P162" s="471"/>
      <c r="Q162" s="472"/>
      <c r="R162" s="469"/>
      <c r="S162" s="469"/>
      <c r="T162" s="469"/>
      <c r="U162" s="469"/>
      <c r="V162" s="473"/>
      <c r="W162" s="469"/>
      <c r="X162" s="469"/>
      <c r="Y162" s="469"/>
      <c r="Z162" s="469"/>
      <c r="AA162" s="472">
        <f>+AA160/V160-1</f>
        <v>0.10251231767403279</v>
      </c>
      <c r="AB162" s="469">
        <f>AB160/W160-1</f>
        <v>1.0052748356846819</v>
      </c>
      <c r="AC162" s="469">
        <f>AC160/X160-1</f>
        <v>0.71785727980367331</v>
      </c>
      <c r="AD162" s="469">
        <f>AD160/Y160-1</f>
        <v>0.62458471760797329</v>
      </c>
      <c r="AE162" s="469"/>
      <c r="AF162" s="472">
        <f>+AF160/AA160-1</f>
        <v>0.74598679669386403</v>
      </c>
      <c r="AG162" s="469">
        <f>AG160/AB160-1</f>
        <v>0.16910229645093944</v>
      </c>
      <c r="AH162" s="469">
        <f>AH160/AC160-1</f>
        <v>0.24330357142857162</v>
      </c>
      <c r="AI162" s="469">
        <f>AI160/AD160-1</f>
        <v>0.25971370143149297</v>
      </c>
      <c r="AJ162" s="469">
        <f>AJ160/AE160-1</f>
        <v>0.1903052064631956</v>
      </c>
      <c r="AK162" s="472">
        <f>+AK160/AF160-1</f>
        <v>0.21439432336543329</v>
      </c>
      <c r="AL162" s="469">
        <f>AL160/AG160-1</f>
        <v>0.20714285714285707</v>
      </c>
      <c r="AM162" s="469">
        <f>AM160/AH160-1</f>
        <v>0.21005385996409331</v>
      </c>
      <c r="AN162" s="469">
        <f>AN160/AI160-1</f>
        <v>0.29220779220779214</v>
      </c>
      <c r="AO162" s="469">
        <f>AO160/AJ160-1</f>
        <v>0.38310708898944212</v>
      </c>
      <c r="AP162" s="472">
        <f>+AP160/AK160-1</f>
        <v>0.27838063439065097</v>
      </c>
      <c r="AQ162" s="469">
        <f>AQ160/AL160-1</f>
        <v>0.14053254437869822</v>
      </c>
      <c r="AR162" s="469">
        <f>AR160/AM160-1</f>
        <v>6.6765578635014755E-2</v>
      </c>
      <c r="AS162" s="469">
        <f>AS160/AN160-1</f>
        <v>-9.6733668341708379E-2</v>
      </c>
      <c r="AT162" s="469">
        <f>AT160/AO160-1</f>
        <v>-0.1275899672846238</v>
      </c>
      <c r="AU162" s="472">
        <f>+AU160/AP160-1</f>
        <v>-1.76297747306563E-2</v>
      </c>
      <c r="AV162" s="469">
        <f>AV160/AQ160-1</f>
        <v>3.6316472114137577E-2</v>
      </c>
      <c r="AW162" s="469">
        <f>AW160/AR160-1</f>
        <v>6.6759388038942991E-2</v>
      </c>
      <c r="AX162" s="469">
        <f>AX160/AS160-1</f>
        <v>0.31015299026425591</v>
      </c>
      <c r="AY162" s="469">
        <f>AY160/AT160-1</f>
        <v>0.30249999999999999</v>
      </c>
      <c r="AZ162" s="472">
        <f>+AZ160/AU160-1</f>
        <v>0.17979395147889665</v>
      </c>
      <c r="BA162" s="475">
        <f>BA160/AV160-1</f>
        <v>0.36281602002503122</v>
      </c>
      <c r="BB162" s="475">
        <f>BB160/AW160-1</f>
        <v>0.47646101694915233</v>
      </c>
      <c r="BC162" s="469">
        <f>BC160/AX160-1</f>
        <v>0.23823669639065814</v>
      </c>
      <c r="BD162" s="469">
        <f>BD160/AY160-1</f>
        <v>0.21455333999999993</v>
      </c>
      <c r="BE162" s="472">
        <f>+BE160/AZ160-1</f>
        <v>0.31079412627605629</v>
      </c>
      <c r="BF162" s="469">
        <f>BF160/BA160-1</f>
        <v>0.15062948000000009</v>
      </c>
      <c r="BG162" s="475">
        <f>BG160/BB160-1</f>
        <v>0.13956573500000014</v>
      </c>
      <c r="BH162" s="475">
        <f>BH160/BC160-1</f>
        <v>0.14509760749999989</v>
      </c>
      <c r="BI162" s="469">
        <f>BI160/BD160-1</f>
        <v>0.13454371249999975</v>
      </c>
      <c r="BJ162" s="472">
        <f>+BJ160/BE160-1</f>
        <v>0.14217548260622759</v>
      </c>
      <c r="BK162" s="475">
        <f>BK160/BF160-1</f>
        <v>0.12308367499999973</v>
      </c>
      <c r="BL162" s="475">
        <f>BL160/BG160-1</f>
        <v>0.11217994999999958</v>
      </c>
      <c r="BM162" s="475">
        <f>BM160/BH160-1</f>
        <v>0.10143424999999961</v>
      </c>
      <c r="BN162" s="475">
        <f>BN160/BI160-1</f>
        <v>9.1188349999999696E-2</v>
      </c>
      <c r="BO162" s="950">
        <f>+BO160/BJ160-1</f>
        <v>0.10637894363521716</v>
      </c>
      <c r="BP162" s="475">
        <f>BP160/BK160-1</f>
        <v>8.0053774999999883E-2</v>
      </c>
      <c r="BQ162" s="475">
        <f>BQ160/BL160-1</f>
        <v>6.9465012500000034E-2</v>
      </c>
      <c r="BR162" s="475">
        <f>BR160/BM160-1</f>
        <v>5.9031207499999905E-2</v>
      </c>
      <c r="BS162" s="475">
        <f>BS160/BN160-1</f>
        <v>4.90872524999999E-2</v>
      </c>
      <c r="BT162" s="950">
        <f>+BT160/BO160-1</f>
        <v>6.3958962167423028E-2</v>
      </c>
      <c r="BU162" s="475">
        <f>BU160/BP160-1</f>
        <v>3.8271919999999904E-2</v>
      </c>
      <c r="BV162" s="475">
        <f>BV160/BQ160-1</f>
        <v>2.7991999999999795E-2</v>
      </c>
      <c r="BW162" s="475">
        <f>BW160/BR160-1</f>
        <v>1.786399999999988E-2</v>
      </c>
      <c r="BX162" s="475">
        <f>BX160/BS160-1</f>
        <v>8.215999999999779E-3</v>
      </c>
      <c r="BY162" s="950">
        <f>+BY160/BT160-1</f>
        <v>2.2771486434376209E-2</v>
      </c>
      <c r="BZ162" s="475">
        <f>BZ160/BU160-1</f>
        <v>-2.2862500000001562E-3</v>
      </c>
      <c r="CA162" s="475">
        <f>CA160/BV160-1</f>
        <v>-1.2263387500000111E-2</v>
      </c>
      <c r="CB162" s="475">
        <f>CB160/BW160-1</f>
        <v>-2.2091612500000135E-2</v>
      </c>
      <c r="CC162" s="475">
        <f>CC160/BX160-1</f>
        <v>-3.1449587500000153E-2</v>
      </c>
      <c r="CD162" s="950">
        <f>+CD160/BY160-1</f>
        <v>-1.7207639796728347E-2</v>
      </c>
      <c r="CE162" s="475">
        <f>CE160/BZ160-1</f>
        <v>-4.1644855000000147E-2</v>
      </c>
      <c r="CF162" s="475">
        <f>CF160/CA160-1</f>
        <v>-5.1325210000000232E-2</v>
      </c>
      <c r="CG162" s="475">
        <f>CG160/CB160-1</f>
        <v>-6.0859630000000053E-2</v>
      </c>
      <c r="CH162" s="475">
        <f>CH160/CC160-1</f>
        <v>-6.9933450000000175E-2</v>
      </c>
      <c r="CI162" s="950">
        <f>+CI160/CD160-1</f>
        <v>-5.6002332268691224E-2</v>
      </c>
      <c r="CJ162" s="475">
        <f>CJ160/CE160-1</f>
        <v>-7.9827775000000156E-2</v>
      </c>
      <c r="CK162" s="475">
        <f>CK160/CF160-1</f>
        <v>-8.9217287500000242E-2</v>
      </c>
      <c r="CL162" s="475">
        <f>CL160/CG160-1</f>
        <v>-9.8463812500000358E-2</v>
      </c>
      <c r="CM162" s="475">
        <f>CM160/CH160-1</f>
        <v>-0.10725928750000047</v>
      </c>
      <c r="CN162" s="950">
        <f>+CN160/CI160-1</f>
        <v>-9.3636266235530452E-2</v>
      </c>
      <c r="CO162" s="475">
        <f>CO160/CJ160-1</f>
        <v>-0.11685865000000029</v>
      </c>
      <c r="CP162" s="475">
        <f>CP160/CK160-1</f>
        <v>-0.12596320000000016</v>
      </c>
      <c r="CQ162" s="475">
        <f>CQ160/CL160-1</f>
        <v>-0.13492768000000022</v>
      </c>
      <c r="CR162" s="475">
        <f>CR160/CM160-1</f>
        <v>-0.14345056000000023</v>
      </c>
      <c r="CS162" s="950">
        <f>+CS160/CN160-1</f>
        <v>-0.13013287646460048</v>
      </c>
      <c r="CT162" s="475">
        <f>CT160/CO160-1</f>
        <v>-0.1527608800000001</v>
      </c>
      <c r="CU162" s="475">
        <f>CU160/CP160-1</f>
        <v>-0.16158628750000015</v>
      </c>
      <c r="CV162" s="475">
        <f>CV160/CQ160-1</f>
        <v>-0.17027451250000003</v>
      </c>
      <c r="CW162" s="475">
        <f>CW160/CR160-1</f>
        <v>-0.1785304875</v>
      </c>
      <c r="CX162" s="950">
        <f>+CX160/CS160-1</f>
        <v>-0.16551535723965749</v>
      </c>
      <c r="CY162" s="475"/>
      <c r="DA162" s="126"/>
      <c r="DB162" s="469"/>
      <c r="DC162" s="469"/>
    </row>
    <row r="163" spans="1:107" hidden="1" outlineLevel="1">
      <c r="A163" s="457" t="s">
        <v>215</v>
      </c>
      <c r="B163" s="392"/>
      <c r="C163" s="490"/>
      <c r="D163" s="491"/>
      <c r="E163" s="491"/>
      <c r="F163" s="492"/>
      <c r="G163" s="493"/>
      <c r="H163" s="490"/>
      <c r="I163" s="491"/>
      <c r="J163" s="491"/>
      <c r="K163" s="492"/>
      <c r="L163" s="490"/>
      <c r="M163" s="490"/>
      <c r="N163" s="491"/>
      <c r="O163" s="491"/>
      <c r="P163" s="492"/>
      <c r="Q163" s="493"/>
      <c r="R163" s="491"/>
      <c r="S163" s="491"/>
      <c r="T163" s="491"/>
      <c r="U163" s="491"/>
      <c r="V163" s="494"/>
      <c r="W163" s="458">
        <f t="shared" ref="W163:AK163" si="200">SUM(W157,W160)</f>
        <v>184.84399999999999</v>
      </c>
      <c r="X163" s="458">
        <f t="shared" si="200"/>
        <v>176.197</v>
      </c>
      <c r="Y163" s="458">
        <f t="shared" si="200"/>
        <v>165.79999999999998</v>
      </c>
      <c r="Z163" s="458">
        <f t="shared" si="200"/>
        <v>179.68099999999998</v>
      </c>
      <c r="AA163" s="465">
        <f t="shared" si="200"/>
        <v>706.52199999999993</v>
      </c>
      <c r="AB163" s="458">
        <f t="shared" si="200"/>
        <v>204.1</v>
      </c>
      <c r="AC163" s="458">
        <f t="shared" si="200"/>
        <v>196.2</v>
      </c>
      <c r="AD163" s="458">
        <f t="shared" si="200"/>
        <v>191.20000000000002</v>
      </c>
      <c r="AE163" s="458">
        <f t="shared" si="200"/>
        <v>224.7</v>
      </c>
      <c r="AF163" s="465">
        <f t="shared" si="200"/>
        <v>816.2</v>
      </c>
      <c r="AG163" s="458">
        <f t="shared" si="200"/>
        <v>217.3</v>
      </c>
      <c r="AH163" s="458">
        <f t="shared" si="200"/>
        <v>228.8</v>
      </c>
      <c r="AI163" s="458">
        <f t="shared" si="200"/>
        <v>227.4</v>
      </c>
      <c r="AJ163" s="458">
        <f t="shared" si="200"/>
        <v>246.39999999999998</v>
      </c>
      <c r="AK163" s="465">
        <f t="shared" si="200"/>
        <v>919.9</v>
      </c>
      <c r="AL163" s="458">
        <v>249.7</v>
      </c>
      <c r="AM163" s="458">
        <f t="shared" ref="AM163:AX163" si="201">SUM(AM157,AM160)</f>
        <v>252.8</v>
      </c>
      <c r="AN163" s="458">
        <f t="shared" si="201"/>
        <v>283.5</v>
      </c>
      <c r="AO163" s="458">
        <f t="shared" si="201"/>
        <v>278</v>
      </c>
      <c r="AP163" s="465">
        <f>SUM(AL163:AO163)</f>
        <v>1064</v>
      </c>
      <c r="AQ163" s="458">
        <f t="shared" si="201"/>
        <v>227</v>
      </c>
      <c r="AR163" s="458">
        <f t="shared" si="201"/>
        <v>209.70000000000002</v>
      </c>
      <c r="AS163" s="458">
        <f t="shared" si="201"/>
        <v>210</v>
      </c>
      <c r="AT163" s="458">
        <f>SUM(AT157,AT160)</f>
        <v>211.8</v>
      </c>
      <c r="AU163" s="465">
        <f>SUM(AQ163:AT163)</f>
        <v>858.5</v>
      </c>
      <c r="AV163" s="458">
        <f>SUM(AV157,AV160)</f>
        <v>245.8</v>
      </c>
      <c r="AW163" s="458">
        <f t="shared" si="201"/>
        <v>232.7</v>
      </c>
      <c r="AX163" s="458">
        <f t="shared" si="201"/>
        <v>256.8</v>
      </c>
      <c r="AY163" s="458">
        <f>SUM(AY157,AY160)</f>
        <v>274.10000000000002</v>
      </c>
      <c r="AZ163" s="465">
        <f>SUM(AV163:AY163)</f>
        <v>1009.4</v>
      </c>
      <c r="BA163" s="466">
        <f>SUM(BA157,BA160)</f>
        <v>279.63849999999996</v>
      </c>
      <c r="BB163" s="466">
        <f>SUM(BB157,BB160)</f>
        <v>291.67778749999997</v>
      </c>
      <c r="BC163" s="458">
        <f>SUM(BC157,BC160)</f>
        <v>300.96342080749992</v>
      </c>
      <c r="BD163" s="458">
        <f>SUM(BD157,BD160)</f>
        <v>322.85888109598739</v>
      </c>
      <c r="BE163" s="465">
        <f>SUM(BA163:BD163)</f>
        <v>1195.1385894034872</v>
      </c>
      <c r="BF163" s="458">
        <f>SUM(BF157,BF160)</f>
        <v>311.778195362308</v>
      </c>
      <c r="BG163" s="466">
        <f>SUM(BG157,BG160)</f>
        <v>316.46935867531249</v>
      </c>
      <c r="BH163" s="466">
        <f>SUM(BH157,BH160)</f>
        <v>320.04899669198198</v>
      </c>
      <c r="BI163" s="458">
        <f>SUM(BI157,BI160)</f>
        <v>331.93129986129804</v>
      </c>
      <c r="BJ163" s="465">
        <f>SUM(BF163:BI163)</f>
        <v>1280.2278505909005</v>
      </c>
      <c r="BK163" s="466">
        <f>SUM(BK157,BK160)</f>
        <v>323.4091992027785</v>
      </c>
      <c r="BL163" s="466">
        <f>SUM(BL157,BL160)</f>
        <v>328.96389797610664</v>
      </c>
      <c r="BM163" s="466">
        <f>SUM(BM157,BM160)</f>
        <v>334.40643295884433</v>
      </c>
      <c r="BN163" s="466">
        <f>SUM(BN157,BN160)</f>
        <v>348.65117619095167</v>
      </c>
      <c r="BO163" s="951">
        <f>SUM(BK163:BN163)</f>
        <v>1335.430706328681</v>
      </c>
      <c r="BP163" s="466">
        <f>SUM(BP157,BP160)</f>
        <v>338.19164090522315</v>
      </c>
      <c r="BQ163" s="466">
        <f>SUM(BQ157,BQ160)</f>
        <v>342.5046320367108</v>
      </c>
      <c r="BR163" s="466">
        <f>SUM(BR157,BR160)</f>
        <v>346.69716067398946</v>
      </c>
      <c r="BS163" s="466">
        <f>SUM(BS157,BS160)</f>
        <v>360.03855700083051</v>
      </c>
      <c r="BT163" s="951">
        <f>SUM(BP163:BS163)</f>
        <v>1387.4319906167539</v>
      </c>
      <c r="BU163" s="466">
        <f>SUM(BU157,BU160)</f>
        <v>347.59372178679195</v>
      </c>
      <c r="BV163" s="466">
        <f>SUM(BV157,BV160)</f>
        <v>350.44073056781417</v>
      </c>
      <c r="BW163" s="466">
        <f>SUM(BW157,BW160)</f>
        <v>353.15617219156582</v>
      </c>
      <c r="BX163" s="466">
        <f>SUM(BX157,BX160)</f>
        <v>365.15671853769959</v>
      </c>
      <c r="BY163" s="951">
        <f>SUM(BU163:BX163)</f>
        <v>1416.3473430838715</v>
      </c>
      <c r="BZ163" s="466">
        <f>SUM(BZ157,BZ160)</f>
        <v>350.88765104836341</v>
      </c>
      <c r="CA163" s="466">
        <f>SUM(CA157,CA160)</f>
        <v>352.21515626840767</v>
      </c>
      <c r="CB163" s="466">
        <f>SUM(CB157,CB160)</f>
        <v>353.39943696095713</v>
      </c>
      <c r="CC163" s="466">
        <f>SUM(CC157,CC160)</f>
        <v>363.78521056217033</v>
      </c>
      <c r="CD163" s="951">
        <f>SUM(BZ163:CC163)</f>
        <v>1420.2874548398984</v>
      </c>
      <c r="CE163" s="466">
        <f>SUM(CE157,CE160)</f>
        <v>348.05645850763244</v>
      </c>
      <c r="CF163" s="466">
        <f>SUM(CF157,CF160)</f>
        <v>347.99664072626581</v>
      </c>
      <c r="CG163" s="466">
        <f>SUM(CG157,CG160)</f>
        <v>347.7801418722417</v>
      </c>
      <c r="CH163" s="466">
        <f>SUM(CH157,CH160)</f>
        <v>356.4746454190477</v>
      </c>
      <c r="CI163" s="951">
        <f>SUM(CE163:CH163)</f>
        <v>1400.3078865251875</v>
      </c>
      <c r="CJ163" s="466">
        <f>SUM(CJ157,CJ160)</f>
        <v>339.80913607339357</v>
      </c>
      <c r="CK163" s="466">
        <f>SUM(CK157,CK160)</f>
        <v>338.65883189469423</v>
      </c>
      <c r="CL163" s="466">
        <f>SUM(CL157,CL160)</f>
        <v>337.33207289336963</v>
      </c>
      <c r="CM163" s="466">
        <f>SUM(CM157,CM160)</f>
        <v>344.45237081934249</v>
      </c>
      <c r="CN163" s="951">
        <f>SUM(CJ163:CM163)</f>
        <v>1360.2524116807999</v>
      </c>
      <c r="CO163" s="466">
        <f>SUM(CO157,CO160)</f>
        <v>327.45530492072839</v>
      </c>
      <c r="CP163" s="466">
        <f>SUM(CP157,CP160)</f>
        <v>325.62367778321703</v>
      </c>
      <c r="CQ163" s="466">
        <f>SUM(CQ157,CQ160)</f>
        <v>323.58323583506518</v>
      </c>
      <c r="CR163" s="466">
        <f>SUM(CR157,CR160)</f>
        <v>329.40113007735306</v>
      </c>
      <c r="CS163" s="951">
        <f>SUM(CO163:CR163)</f>
        <v>1306.0633486163638</v>
      </c>
      <c r="CT163" s="466">
        <f>SUM(CT157,CT160)</f>
        <v>312.66996091446254</v>
      </c>
      <c r="CU163" s="466">
        <f>SUM(CU157,CU160)</f>
        <v>310.60790448380095</v>
      </c>
      <c r="CV163" s="466">
        <f>SUM(CV157,CV160)</f>
        <v>308.28632921527316</v>
      </c>
      <c r="CW163" s="466">
        <f>SUM(CW157,CW160)</f>
        <v>313.16617297151072</v>
      </c>
      <c r="CX163" s="951">
        <f>SUM(CT163:CW163)</f>
        <v>1244.7303675850471</v>
      </c>
      <c r="CY163" s="466"/>
      <c r="DA163" s="126"/>
      <c r="DB163" s="491"/>
      <c r="DC163" s="491"/>
    </row>
    <row r="164" spans="1:107" hidden="1" outlineLevel="1">
      <c r="A164" s="468" t="s">
        <v>78</v>
      </c>
      <c r="B164" s="114"/>
      <c r="C164" s="116"/>
      <c r="D164" s="117"/>
      <c r="E164" s="117"/>
      <c r="F164" s="118"/>
      <c r="G164" s="119"/>
      <c r="H164" s="116"/>
      <c r="I164" s="117"/>
      <c r="J164" s="117"/>
      <c r="K164" s="118"/>
      <c r="L164" s="116"/>
      <c r="M164" s="116"/>
      <c r="N164" s="117"/>
      <c r="O164" s="117"/>
      <c r="P164" s="118"/>
      <c r="Q164" s="119"/>
      <c r="R164" s="117"/>
      <c r="S164" s="117"/>
      <c r="T164" s="117"/>
      <c r="U164" s="117"/>
      <c r="V164" s="494"/>
      <c r="W164" s="117"/>
      <c r="X164" s="117"/>
      <c r="Y164" s="117"/>
      <c r="Z164" s="117"/>
      <c r="AA164" s="119"/>
      <c r="AB164" s="469">
        <f>AB163/Z163-1</f>
        <v>0.13590195958392948</v>
      </c>
      <c r="AC164" s="469">
        <f>AC163/AB163-1</f>
        <v>-3.8706516413522851E-2</v>
      </c>
      <c r="AD164" s="469">
        <f>AD163/AC163-1</f>
        <v>-2.5484199796126261E-2</v>
      </c>
      <c r="AE164" s="469">
        <f>AE163/AD163-1</f>
        <v>0.17520920502092041</v>
      </c>
      <c r="AF164" s="119"/>
      <c r="AG164" s="469">
        <f>AG163/AE163-1</f>
        <v>-3.2932799287939352E-2</v>
      </c>
      <c r="AH164" s="469">
        <f>AH163/AG163-1</f>
        <v>5.2922227335480798E-2</v>
      </c>
      <c r="AI164" s="469">
        <f>AI163/AH163-1</f>
        <v>-6.1188811188811476E-3</v>
      </c>
      <c r="AJ164" s="469">
        <f>AJ163/AI163-1</f>
        <v>8.3553210202286676E-2</v>
      </c>
      <c r="AK164" s="119"/>
      <c r="AL164" s="469">
        <f>AL163/AJ163-1</f>
        <v>1.3392857142857206E-2</v>
      </c>
      <c r="AM164" s="469">
        <f>AM163/AL163-1</f>
        <v>1.2414897877452979E-2</v>
      </c>
      <c r="AN164" s="469">
        <f>AN163/AM163-1</f>
        <v>0.12143987341772156</v>
      </c>
      <c r="AO164" s="469">
        <f>AO163/AN163-1</f>
        <v>-1.9400352733686121E-2</v>
      </c>
      <c r="AP164" s="119"/>
      <c r="AQ164" s="469">
        <f>AQ163/AO163-1</f>
        <v>-0.18345323741007191</v>
      </c>
      <c r="AR164" s="469">
        <f>AR163/AQ163-1</f>
        <v>-7.621145374449334E-2</v>
      </c>
      <c r="AS164" s="469">
        <f>AS163/AR163-1</f>
        <v>1.4306151645206988E-3</v>
      </c>
      <c r="AT164" s="469">
        <f>AT163/AS163-1</f>
        <v>8.5714285714286742E-3</v>
      </c>
      <c r="AU164" s="120"/>
      <c r="AV164" s="469">
        <f>AV163/AT163-1</f>
        <v>0.16052880075542975</v>
      </c>
      <c r="AW164" s="469">
        <f>AW163/AV163-1</f>
        <v>-5.3295362082994346E-2</v>
      </c>
      <c r="AX164" s="469">
        <f>AX163/AW163-1</f>
        <v>0.10356682423721542</v>
      </c>
      <c r="AY164" s="469">
        <f>AY163/AX163-1</f>
        <v>6.7367601246105968E-2</v>
      </c>
      <c r="AZ164" s="120"/>
      <c r="BA164" s="475">
        <f>BA163/AY163-1</f>
        <v>2.0206129149945129E-2</v>
      </c>
      <c r="BB164" s="475">
        <f>BB163/BA163-1</f>
        <v>4.3053039906879809E-2</v>
      </c>
      <c r="BC164" s="469">
        <f>BC163/BB163-1</f>
        <v>3.1835243221940424E-2</v>
      </c>
      <c r="BD164" s="469">
        <f>BD163/BC163-1</f>
        <v>7.2751234119219133E-2</v>
      </c>
      <c r="BE164" s="120"/>
      <c r="BF164" s="469">
        <f>BF163/BD163-1</f>
        <v>-3.4320523245526147E-2</v>
      </c>
      <c r="BG164" s="475">
        <f>BG163/BF163-1</f>
        <v>1.5046476574646306E-2</v>
      </c>
      <c r="BH164" s="475">
        <f>BH163/BG163-1</f>
        <v>1.1311167790945875E-2</v>
      </c>
      <c r="BI164" s="469">
        <f>BI163/BH163-1</f>
        <v>3.7126512790639055E-2</v>
      </c>
      <c r="BJ164" s="120"/>
      <c r="BK164" s="475">
        <f>BF164</f>
        <v>-3.4320523245526147E-2</v>
      </c>
      <c r="BL164" s="475">
        <f>BG164</f>
        <v>1.5046476574646306E-2</v>
      </c>
      <c r="BM164" s="475">
        <f>BH164</f>
        <v>1.1311167790945875E-2</v>
      </c>
      <c r="BN164" s="475">
        <f>BI164</f>
        <v>3.7126512790639055E-2</v>
      </c>
      <c r="BO164" s="1226"/>
      <c r="BP164" s="475">
        <f>BK164</f>
        <v>-3.4320523245526147E-2</v>
      </c>
      <c r="BQ164" s="475">
        <f>BL164</f>
        <v>1.5046476574646306E-2</v>
      </c>
      <c r="BR164" s="475">
        <f>BM164</f>
        <v>1.1311167790945875E-2</v>
      </c>
      <c r="BS164" s="475">
        <f>BN164</f>
        <v>3.7126512790639055E-2</v>
      </c>
      <c r="BT164" s="1226"/>
      <c r="BU164" s="475">
        <f>BP164</f>
        <v>-3.4320523245526147E-2</v>
      </c>
      <c r="BV164" s="475">
        <f>BQ164</f>
        <v>1.5046476574646306E-2</v>
      </c>
      <c r="BW164" s="475">
        <f>BR164</f>
        <v>1.1311167790945875E-2</v>
      </c>
      <c r="BX164" s="475">
        <f>BS164</f>
        <v>3.7126512790639055E-2</v>
      </c>
      <c r="BY164" s="1226"/>
      <c r="BZ164" s="475">
        <f>BU164</f>
        <v>-3.4320523245526147E-2</v>
      </c>
      <c r="CA164" s="475">
        <f>BV164</f>
        <v>1.5046476574646306E-2</v>
      </c>
      <c r="CB164" s="475">
        <f>BW164</f>
        <v>1.1311167790945875E-2</v>
      </c>
      <c r="CC164" s="475">
        <f>BX164</f>
        <v>3.7126512790639055E-2</v>
      </c>
      <c r="CD164" s="1226"/>
      <c r="CE164" s="475">
        <f>BZ164</f>
        <v>-3.4320523245526147E-2</v>
      </c>
      <c r="CF164" s="475">
        <f>CA164</f>
        <v>1.5046476574646306E-2</v>
      </c>
      <c r="CG164" s="475">
        <f>CB164</f>
        <v>1.1311167790945875E-2</v>
      </c>
      <c r="CH164" s="475">
        <f>CC164</f>
        <v>3.7126512790639055E-2</v>
      </c>
      <c r="CI164" s="1226"/>
      <c r="CJ164" s="475">
        <f>CE164</f>
        <v>-3.4320523245526147E-2</v>
      </c>
      <c r="CK164" s="475">
        <f>CF164</f>
        <v>1.5046476574646306E-2</v>
      </c>
      <c r="CL164" s="475">
        <f>CG164</f>
        <v>1.1311167790945875E-2</v>
      </c>
      <c r="CM164" s="475">
        <f>CH164</f>
        <v>3.7126512790639055E-2</v>
      </c>
      <c r="CN164" s="1226"/>
      <c r="CO164" s="475">
        <f>CJ164</f>
        <v>-3.4320523245526147E-2</v>
      </c>
      <c r="CP164" s="475">
        <f>CK164</f>
        <v>1.5046476574646306E-2</v>
      </c>
      <c r="CQ164" s="475">
        <f>CL164</f>
        <v>1.1311167790945875E-2</v>
      </c>
      <c r="CR164" s="475">
        <f>CM164</f>
        <v>3.7126512790639055E-2</v>
      </c>
      <c r="CS164" s="1226"/>
      <c r="CT164" s="475">
        <f>CO164</f>
        <v>-3.4320523245526147E-2</v>
      </c>
      <c r="CU164" s="475">
        <f>CP164</f>
        <v>1.5046476574646306E-2</v>
      </c>
      <c r="CV164" s="475">
        <f>CQ164</f>
        <v>1.1311167790945875E-2</v>
      </c>
      <c r="CW164" s="475">
        <f>CR164</f>
        <v>3.7126512790639055E-2</v>
      </c>
      <c r="CX164" s="1226"/>
      <c r="CY164" s="1727"/>
      <c r="DA164" s="126"/>
      <c r="DB164" s="117"/>
      <c r="DC164" s="117"/>
    </row>
    <row r="165" spans="1:107" hidden="1" outlineLevel="1">
      <c r="A165" s="468" t="s">
        <v>77</v>
      </c>
      <c r="B165" s="114"/>
      <c r="C165" s="116"/>
      <c r="D165" s="117"/>
      <c r="E165" s="117"/>
      <c r="F165" s="118"/>
      <c r="G165" s="119"/>
      <c r="H165" s="116"/>
      <c r="I165" s="117"/>
      <c r="J165" s="117"/>
      <c r="K165" s="118"/>
      <c r="L165" s="116"/>
      <c r="M165" s="116"/>
      <c r="N165" s="117"/>
      <c r="O165" s="117"/>
      <c r="P165" s="118"/>
      <c r="Q165" s="119"/>
      <c r="R165" s="117"/>
      <c r="S165" s="117"/>
      <c r="T165" s="117"/>
      <c r="U165" s="117"/>
      <c r="V165" s="494"/>
      <c r="W165" s="117"/>
      <c r="X165" s="117"/>
      <c r="Y165" s="117"/>
      <c r="Z165" s="117"/>
      <c r="AA165" s="119"/>
      <c r="AB165" s="469">
        <f t="shared" ref="AB165:AZ165" si="202">AB163/W163-1</f>
        <v>0.10417433078704197</v>
      </c>
      <c r="AC165" s="469">
        <f t="shared" si="202"/>
        <v>0.11352633699779213</v>
      </c>
      <c r="AD165" s="469">
        <f t="shared" si="202"/>
        <v>0.15319662243667098</v>
      </c>
      <c r="AE165" s="469">
        <f t="shared" si="202"/>
        <v>0.25054958509803482</v>
      </c>
      <c r="AF165" s="472">
        <f t="shared" si="202"/>
        <v>0.15523649652806304</v>
      </c>
      <c r="AG165" s="469">
        <f t="shared" si="202"/>
        <v>6.4674179323860992E-2</v>
      </c>
      <c r="AH165" s="469">
        <f t="shared" si="202"/>
        <v>0.1661569826707443</v>
      </c>
      <c r="AI165" s="469">
        <f t="shared" si="202"/>
        <v>0.18933054393305437</v>
      </c>
      <c r="AJ165" s="469">
        <f t="shared" si="202"/>
        <v>9.6573208722741333E-2</v>
      </c>
      <c r="AK165" s="472">
        <f t="shared" si="202"/>
        <v>0.12705219308992888</v>
      </c>
      <c r="AL165" s="469">
        <f t="shared" si="202"/>
        <v>0.14910262310170252</v>
      </c>
      <c r="AM165" s="469">
        <f t="shared" si="202"/>
        <v>0.10489510489510478</v>
      </c>
      <c r="AN165" s="469">
        <f t="shared" si="202"/>
        <v>0.24670184696569919</v>
      </c>
      <c r="AO165" s="469">
        <f t="shared" si="202"/>
        <v>0.12824675324675328</v>
      </c>
      <c r="AP165" s="472">
        <f t="shared" si="202"/>
        <v>0.15664746168061749</v>
      </c>
      <c r="AQ165" s="469">
        <f t="shared" si="202"/>
        <v>-9.0909090909090828E-2</v>
      </c>
      <c r="AR165" s="469">
        <f t="shared" si="202"/>
        <v>-0.17049050632911389</v>
      </c>
      <c r="AS165" s="469">
        <f t="shared" si="202"/>
        <v>-0.2592592592592593</v>
      </c>
      <c r="AT165" s="469">
        <f t="shared" si="202"/>
        <v>-0.23812949640287762</v>
      </c>
      <c r="AU165" s="472">
        <f t="shared" si="202"/>
        <v>-0.19313909774436089</v>
      </c>
      <c r="AV165" s="469">
        <f t="shared" si="202"/>
        <v>8.2819383259912005E-2</v>
      </c>
      <c r="AW165" s="469">
        <f t="shared" si="202"/>
        <v>0.10968049594659024</v>
      </c>
      <c r="AX165" s="469">
        <f t="shared" si="202"/>
        <v>0.22285714285714286</v>
      </c>
      <c r="AY165" s="469">
        <f t="shared" si="202"/>
        <v>0.29414542020774315</v>
      </c>
      <c r="AZ165" s="472">
        <f t="shared" si="202"/>
        <v>0.17577169481654042</v>
      </c>
      <c r="BA165" s="475">
        <f t="shared" ref="BA165:BJ165" si="203">BA163/AV163-1</f>
        <v>0.13766680227827477</v>
      </c>
      <c r="BB165" s="475">
        <f t="shared" si="203"/>
        <v>0.2534498818220885</v>
      </c>
      <c r="BC165" s="469">
        <f t="shared" si="203"/>
        <v>0.17197593772390918</v>
      </c>
      <c r="BD165" s="469">
        <f t="shared" si="203"/>
        <v>0.17788719845307321</v>
      </c>
      <c r="BE165" s="472">
        <f t="shared" si="203"/>
        <v>0.18400890569000117</v>
      </c>
      <c r="BF165" s="469">
        <f t="shared" si="203"/>
        <v>0.1149330130232713</v>
      </c>
      <c r="BG165" s="475">
        <f t="shared" si="203"/>
        <v>8.4996431808550099E-2</v>
      </c>
      <c r="BH165" s="475">
        <f t="shared" si="203"/>
        <v>6.341493538741183E-2</v>
      </c>
      <c r="BI165" s="469">
        <f t="shared" si="203"/>
        <v>2.8100260815230316E-2</v>
      </c>
      <c r="BJ165" s="472">
        <f t="shared" si="203"/>
        <v>7.1196145737276062E-2</v>
      </c>
      <c r="BK165" s="475">
        <f t="shared" ref="BK165:BT165" si="204">BK163/BF163-1</f>
        <v>3.7305379316069365E-2</v>
      </c>
      <c r="BL165" s="475">
        <f t="shared" si="204"/>
        <v>3.9481039659239547E-2</v>
      </c>
      <c r="BM165" s="475">
        <f t="shared" si="204"/>
        <v>4.4860119591876302E-2</v>
      </c>
      <c r="BN165" s="475">
        <f t="shared" si="204"/>
        <v>5.0371496561608442E-2</v>
      </c>
      <c r="BO165" s="950">
        <f t="shared" si="204"/>
        <v>4.3119555407501231E-2</v>
      </c>
      <c r="BP165" s="475">
        <f t="shared" si="204"/>
        <v>4.5708167049311577E-2</v>
      </c>
      <c r="BQ165" s="475">
        <f t="shared" si="204"/>
        <v>4.1161763171920107E-2</v>
      </c>
      <c r="BR165" s="475">
        <f t="shared" si="204"/>
        <v>3.6753861480463001E-2</v>
      </c>
      <c r="BS165" s="475">
        <f t="shared" si="204"/>
        <v>3.2661243063301981E-2</v>
      </c>
      <c r="BT165" s="950">
        <f t="shared" si="204"/>
        <v>3.8939709894070695E-2</v>
      </c>
      <c r="BU165" s="475">
        <f t="shared" ref="BU165:CD165" si="205">BU163/BP163-1</f>
        <v>2.7801044568702693E-2</v>
      </c>
      <c r="BV165" s="475">
        <f t="shared" si="205"/>
        <v>2.3170777235657303E-2</v>
      </c>
      <c r="BW165" s="475">
        <f t="shared" si="205"/>
        <v>1.8630125222311777E-2</v>
      </c>
      <c r="BX165" s="475">
        <f t="shared" si="205"/>
        <v>1.4215592850677083E-2</v>
      </c>
      <c r="BY165" s="950">
        <f t="shared" si="205"/>
        <v>2.0840915203536481E-2</v>
      </c>
      <c r="BZ165" s="475">
        <f t="shared" si="205"/>
        <v>9.4763773195878365E-3</v>
      </c>
      <c r="CA165" s="475">
        <f t="shared" si="205"/>
        <v>5.0634117150663016E-3</v>
      </c>
      <c r="CB165" s="475">
        <f t="shared" si="205"/>
        <v>6.8883057566759831E-4</v>
      </c>
      <c r="CC165" s="475">
        <f t="shared" si="205"/>
        <v>-3.7559434234746281E-3</v>
      </c>
      <c r="CD165" s="950">
        <f t="shared" si="205"/>
        <v>2.7818824070711123E-3</v>
      </c>
      <c r="CE165" s="475">
        <f t="shared" ref="CE165:CN165" si="206">CE163/BZ163-1</f>
        <v>-8.0686582507879523E-3</v>
      </c>
      <c r="CF165" s="475">
        <f t="shared" si="206"/>
        <v>-1.1977098279459364E-2</v>
      </c>
      <c r="CG165" s="475">
        <f t="shared" si="206"/>
        <v>-1.5900690552985375E-2</v>
      </c>
      <c r="CH165" s="475">
        <f t="shared" si="206"/>
        <v>-2.0095828337345911E-2</v>
      </c>
      <c r="CI165" s="950">
        <f t="shared" si="206"/>
        <v>-1.4067270851845337E-2</v>
      </c>
      <c r="CJ165" s="475">
        <f t="shared" si="206"/>
        <v>-2.3695358131267108E-2</v>
      </c>
      <c r="CK165" s="475">
        <f t="shared" si="206"/>
        <v>-2.6833043020425884E-2</v>
      </c>
      <c r="CL165" s="475">
        <f t="shared" si="206"/>
        <v>-3.0042166647658131E-2</v>
      </c>
      <c r="CM165" s="475">
        <f t="shared" si="206"/>
        <v>-3.3725468989730389E-2</v>
      </c>
      <c r="CN165" s="950">
        <f t="shared" si="206"/>
        <v>-2.8604762730990441E-2</v>
      </c>
      <c r="CO165" s="475">
        <f t="shared" ref="CO165:CX165" si="207">CO163/CJ163-1</f>
        <v>-3.6355206029531018E-2</v>
      </c>
      <c r="CP165" s="475">
        <f t="shared" si="207"/>
        <v>-3.8490518728094059E-2</v>
      </c>
      <c r="CQ165" s="475">
        <f t="shared" si="207"/>
        <v>-4.0757574399545526E-2</v>
      </c>
      <c r="CR165" s="475">
        <f t="shared" si="207"/>
        <v>-4.3696145003117026E-2</v>
      </c>
      <c r="CS165" s="950">
        <f t="shared" si="207"/>
        <v>-3.9837505597565714E-2</v>
      </c>
      <c r="CT165" s="475">
        <f t="shared" si="207"/>
        <v>-4.5152250655536519E-2</v>
      </c>
      <c r="CU165" s="475">
        <f t="shared" si="207"/>
        <v>-4.6113886439833163E-2</v>
      </c>
      <c r="CV165" s="475">
        <f t="shared" si="207"/>
        <v>-4.7273483066313959E-2</v>
      </c>
      <c r="CW165" s="475">
        <f t="shared" si="207"/>
        <v>-4.928628235740995E-2</v>
      </c>
      <c r="CX165" s="950">
        <f t="shared" si="207"/>
        <v>-4.6960188490315136E-2</v>
      </c>
      <c r="CY165" s="475"/>
      <c r="DA165" s="126"/>
      <c r="DB165" s="117"/>
      <c r="DC165" s="117"/>
    </row>
    <row r="166" spans="1:107" hidden="1" outlineLevel="1">
      <c r="A166" s="468"/>
      <c r="B166" s="114"/>
      <c r="C166" s="116"/>
      <c r="D166" s="117"/>
      <c r="E166" s="117"/>
      <c r="F166" s="118"/>
      <c r="G166" s="119"/>
      <c r="H166" s="116"/>
      <c r="I166" s="117"/>
      <c r="J166" s="117"/>
      <c r="K166" s="118"/>
      <c r="L166" s="116"/>
      <c r="M166" s="116"/>
      <c r="N166" s="117"/>
      <c r="O166" s="117"/>
      <c r="P166" s="118"/>
      <c r="Q166" s="119"/>
      <c r="R166" s="117"/>
      <c r="S166" s="117"/>
      <c r="T166" s="117"/>
      <c r="U166" s="117"/>
      <c r="V166" s="494"/>
      <c r="W166" s="117"/>
      <c r="X166" s="117"/>
      <c r="Y166" s="117"/>
      <c r="Z166" s="117"/>
      <c r="AA166" s="119"/>
      <c r="AB166" s="469"/>
      <c r="AC166" s="469"/>
      <c r="AD166" s="469"/>
      <c r="AE166" s="469"/>
      <c r="AF166" s="472"/>
      <c r="AG166" s="469"/>
      <c r="AH166" s="469"/>
      <c r="AI166" s="469"/>
      <c r="AJ166" s="469"/>
      <c r="AK166" s="472"/>
      <c r="AL166" s="469"/>
      <c r="AM166" s="469"/>
      <c r="AN166" s="469"/>
      <c r="AO166" s="469"/>
      <c r="AP166" s="472"/>
      <c r="AQ166" s="469"/>
      <c r="AR166" s="475"/>
      <c r="AS166" s="469"/>
      <c r="AT166" s="469"/>
      <c r="AU166" s="472"/>
      <c r="AV166" s="469"/>
      <c r="AW166" s="469"/>
      <c r="AX166" s="469"/>
      <c r="AY166" s="469"/>
      <c r="AZ166" s="472"/>
      <c r="BA166" s="475"/>
      <c r="BB166" s="475"/>
      <c r="BC166" s="469"/>
      <c r="BD166" s="469"/>
      <c r="BE166" s="472"/>
      <c r="BF166" s="469"/>
      <c r="BG166" s="475"/>
      <c r="BH166" s="475"/>
      <c r="BI166" s="469"/>
      <c r="BJ166" s="472"/>
      <c r="BK166" s="475"/>
      <c r="BL166" s="475"/>
      <c r="BM166" s="475"/>
      <c r="BN166" s="475"/>
      <c r="BO166" s="950"/>
      <c r="BP166" s="475"/>
      <c r="BQ166" s="475"/>
      <c r="BR166" s="475"/>
      <c r="BS166" s="475"/>
      <c r="BT166" s="950"/>
      <c r="BU166" s="475"/>
      <c r="BV166" s="475"/>
      <c r="BW166" s="475"/>
      <c r="BX166" s="475"/>
      <c r="BY166" s="950"/>
      <c r="BZ166" s="475"/>
      <c r="CA166" s="475"/>
      <c r="CB166" s="475"/>
      <c r="CC166" s="475"/>
      <c r="CD166" s="950"/>
      <c r="CE166" s="475"/>
      <c r="CF166" s="475"/>
      <c r="CG166" s="475"/>
      <c r="CH166" s="475"/>
      <c r="CI166" s="950"/>
      <c r="CJ166" s="475"/>
      <c r="CK166" s="475"/>
      <c r="CL166" s="475"/>
      <c r="CM166" s="475"/>
      <c r="CN166" s="950"/>
      <c r="CO166" s="475"/>
      <c r="CP166" s="475"/>
      <c r="CQ166" s="475"/>
      <c r="CR166" s="475"/>
      <c r="CS166" s="950"/>
      <c r="CT166" s="475"/>
      <c r="CU166" s="475"/>
      <c r="CV166" s="475"/>
      <c r="CW166" s="475"/>
      <c r="CX166" s="950"/>
      <c r="CY166" s="475"/>
      <c r="DA166" s="126"/>
      <c r="DB166" s="117"/>
      <c r="DC166" s="117"/>
    </row>
    <row r="167" spans="1:107" ht="11.25" hidden="1" customHeight="1" outlineLevel="1">
      <c r="A167" s="457" t="s">
        <v>274</v>
      </c>
      <c r="B167" s="458"/>
      <c r="C167" s="459"/>
      <c r="D167" s="460"/>
      <c r="E167" s="460"/>
      <c r="F167" s="461"/>
      <c r="G167" s="462"/>
      <c r="H167" s="459"/>
      <c r="I167" s="460"/>
      <c r="J167" s="460"/>
      <c r="K167" s="461"/>
      <c r="L167" s="459"/>
      <c r="M167" s="459"/>
      <c r="N167" s="460"/>
      <c r="O167" s="460"/>
      <c r="P167" s="461"/>
      <c r="Q167" s="462"/>
      <c r="R167" s="460"/>
      <c r="S167" s="460"/>
      <c r="T167" s="460"/>
      <c r="U167" s="460"/>
      <c r="V167" s="463">
        <v>0</v>
      </c>
      <c r="W167" s="464">
        <v>0</v>
      </c>
      <c r="X167" s="464">
        <v>0</v>
      </c>
      <c r="Y167" s="464">
        <v>0</v>
      </c>
      <c r="Z167" s="458">
        <v>0</v>
      </c>
      <c r="AA167" s="463">
        <f>SUM(W167:Z167)</f>
        <v>0</v>
      </c>
      <c r="AB167" s="464">
        <v>8.5749999999999993</v>
      </c>
      <c r="AC167" s="464">
        <v>7.6</v>
      </c>
      <c r="AD167" s="464">
        <v>9.1999999999999993</v>
      </c>
      <c r="AE167" s="464">
        <v>12.1</v>
      </c>
      <c r="AF167" s="465">
        <f>SUM(AB167:AE167)</f>
        <v>37.474999999999994</v>
      </c>
      <c r="AG167" s="458">
        <v>13.7</v>
      </c>
      <c r="AH167" s="458">
        <v>12.282999999999999</v>
      </c>
      <c r="AI167" s="458">
        <v>13</v>
      </c>
      <c r="AJ167" s="458">
        <v>13.5</v>
      </c>
      <c r="AK167" s="465">
        <f>SUM(AG167:AJ167)</f>
        <v>52.482999999999997</v>
      </c>
      <c r="AL167" s="458">
        <v>15.2</v>
      </c>
      <c r="AM167" s="458">
        <v>22.2</v>
      </c>
      <c r="AN167" s="458">
        <v>27.5</v>
      </c>
      <c r="AO167" s="458">
        <v>48.2</v>
      </c>
      <c r="AP167" s="465">
        <f>SUM(AL167:AO167)</f>
        <v>113.10000000000001</v>
      </c>
      <c r="AQ167" s="458">
        <v>26.1</v>
      </c>
      <c r="AR167" s="458">
        <v>8.4</v>
      </c>
      <c r="AS167" s="458">
        <v>8.4</v>
      </c>
      <c r="AT167" s="458">
        <v>8.3000000000000007</v>
      </c>
      <c r="AU167" s="465">
        <f>SUM(AQ167:AT167)</f>
        <v>51.2</v>
      </c>
      <c r="AV167" s="458">
        <v>0</v>
      </c>
      <c r="AW167" s="458">
        <v>0</v>
      </c>
      <c r="AX167" s="458">
        <v>0</v>
      </c>
      <c r="AY167" s="458">
        <v>0</v>
      </c>
      <c r="AZ167" s="465">
        <f>SUM(AV167:AY167)</f>
        <v>0</v>
      </c>
      <c r="BA167" s="466">
        <f>AY167*(1+BA168)</f>
        <v>0</v>
      </c>
      <c r="BB167" s="466">
        <f>BA167*(1+BB168)</f>
        <v>0</v>
      </c>
      <c r="BC167" s="458">
        <f>BB167*(1+BC168)</f>
        <v>0</v>
      </c>
      <c r="BD167" s="458">
        <f>BC167*(1+BD168)</f>
        <v>0</v>
      </c>
      <c r="BE167" s="465">
        <f>SUM(BA167:BD167)</f>
        <v>0</v>
      </c>
      <c r="BF167" s="458">
        <f>BD167*(1+BF168)</f>
        <v>0</v>
      </c>
      <c r="BG167" s="466">
        <f>BF167*(1+BG168)</f>
        <v>0</v>
      </c>
      <c r="BH167" s="466">
        <f>BG167*(1+BH168)</f>
        <v>0</v>
      </c>
      <c r="BI167" s="458">
        <f>BH167*(1+BI168)</f>
        <v>0</v>
      </c>
      <c r="BJ167" s="465">
        <f>SUM(BF167:BI167)</f>
        <v>0</v>
      </c>
      <c r="BK167" s="466">
        <f>BI167*(1+BK168)</f>
        <v>0</v>
      </c>
      <c r="BL167" s="466">
        <f>BK167*(1+BL168)</f>
        <v>0</v>
      </c>
      <c r="BM167" s="466">
        <f>BL167*(1+BM168)</f>
        <v>0</v>
      </c>
      <c r="BN167" s="466">
        <f>BM167*(1+BN168)</f>
        <v>0</v>
      </c>
      <c r="BO167" s="951">
        <f>SUM(BK167:BN167)</f>
        <v>0</v>
      </c>
      <c r="BP167" s="466">
        <f>BN167*(1+BP168)</f>
        <v>0</v>
      </c>
      <c r="BQ167" s="466">
        <f>BP167*(1+BQ168)</f>
        <v>0</v>
      </c>
      <c r="BR167" s="466">
        <f>BQ167*(1+BR168)</f>
        <v>0</v>
      </c>
      <c r="BS167" s="466">
        <f>BR167*(1+BS168)</f>
        <v>0</v>
      </c>
      <c r="BT167" s="951">
        <f>SUM(BP167:BS167)</f>
        <v>0</v>
      </c>
      <c r="BU167" s="466">
        <f>BS167*(1+BU168)</f>
        <v>0</v>
      </c>
      <c r="BV167" s="466">
        <f>BU167*(1+BV168)</f>
        <v>0</v>
      </c>
      <c r="BW167" s="466">
        <f>BV167*(1+BW168)</f>
        <v>0</v>
      </c>
      <c r="BX167" s="466">
        <f>BW167*(1+BX168)</f>
        <v>0</v>
      </c>
      <c r="BY167" s="951">
        <f>SUM(BU167:BX167)</f>
        <v>0</v>
      </c>
      <c r="BZ167" s="466">
        <f>BX167*(1+BZ168)</f>
        <v>0</v>
      </c>
      <c r="CA167" s="466">
        <f>BZ167*(1+CA168)</f>
        <v>0</v>
      </c>
      <c r="CB167" s="466">
        <f>CA167*(1+CB168)</f>
        <v>0</v>
      </c>
      <c r="CC167" s="466">
        <f>CB167*(1+CC168)</f>
        <v>0</v>
      </c>
      <c r="CD167" s="951">
        <f>SUM(BZ167:CC167)</f>
        <v>0</v>
      </c>
      <c r="CE167" s="466">
        <f>CC167*(1+CE168)</f>
        <v>0</v>
      </c>
      <c r="CF167" s="466">
        <f>CE167*(1+CF168)</f>
        <v>0</v>
      </c>
      <c r="CG167" s="466">
        <f>CF167*(1+CG168)</f>
        <v>0</v>
      </c>
      <c r="CH167" s="466">
        <f>CG167*(1+CH168)</f>
        <v>0</v>
      </c>
      <c r="CI167" s="951">
        <f>SUM(CE167:CH167)</f>
        <v>0</v>
      </c>
      <c r="CJ167" s="466">
        <f>CH167*(1+CJ168)</f>
        <v>0</v>
      </c>
      <c r="CK167" s="466">
        <f>CJ167*(1+CK168)</f>
        <v>0</v>
      </c>
      <c r="CL167" s="466">
        <f>CK167*(1+CL168)</f>
        <v>0</v>
      </c>
      <c r="CM167" s="466">
        <f>CL167*(1+CM168)</f>
        <v>0</v>
      </c>
      <c r="CN167" s="951">
        <f>SUM(CJ167:CM167)</f>
        <v>0</v>
      </c>
      <c r="CO167" s="466">
        <f>CM167*(1+CO168)</f>
        <v>0</v>
      </c>
      <c r="CP167" s="466">
        <f>CO167*(1+CP168)</f>
        <v>0</v>
      </c>
      <c r="CQ167" s="466">
        <f>CP167*(1+CQ168)</f>
        <v>0</v>
      </c>
      <c r="CR167" s="466">
        <f>CQ167*(1+CR168)</f>
        <v>0</v>
      </c>
      <c r="CS167" s="951">
        <f>SUM(CO167:CR167)</f>
        <v>0</v>
      </c>
      <c r="CT167" s="466">
        <f>CR167*(1+CT168)</f>
        <v>0</v>
      </c>
      <c r="CU167" s="466">
        <f>CT167*(1+CU168)</f>
        <v>0</v>
      </c>
      <c r="CV167" s="466">
        <f>CU167*(1+CV168)</f>
        <v>0</v>
      </c>
      <c r="CW167" s="466">
        <f>CV167*(1+CW168)</f>
        <v>0</v>
      </c>
      <c r="CX167" s="951">
        <f>SUM(CT167:CW167)</f>
        <v>0</v>
      </c>
      <c r="CY167" s="466"/>
      <c r="DA167" s="126"/>
      <c r="DB167" s="460"/>
      <c r="DC167" s="460"/>
    </row>
    <row r="168" spans="1:107" ht="11.25" hidden="1" customHeight="1" outlineLevel="2">
      <c r="A168" s="468" t="s">
        <v>78</v>
      </c>
      <c r="B168" s="469"/>
      <c r="C168" s="470"/>
      <c r="D168" s="469"/>
      <c r="E168" s="469"/>
      <c r="F168" s="471"/>
      <c r="G168" s="472"/>
      <c r="H168" s="470"/>
      <c r="I168" s="469"/>
      <c r="J168" s="469"/>
      <c r="K168" s="471"/>
      <c r="L168" s="470"/>
      <c r="M168" s="470"/>
      <c r="N168" s="469"/>
      <c r="O168" s="469"/>
      <c r="P168" s="471"/>
      <c r="Q168" s="472"/>
      <c r="R168" s="469"/>
      <c r="S168" s="469"/>
      <c r="T168" s="469"/>
      <c r="U168" s="469"/>
      <c r="V168" s="473"/>
      <c r="W168" s="469"/>
      <c r="X168" s="469"/>
      <c r="Y168" s="469"/>
      <c r="Z168" s="469"/>
      <c r="AA168" s="472"/>
      <c r="AB168" s="469"/>
      <c r="AC168" s="469">
        <f>AC167/AB167-1</f>
        <v>-0.11370262390670549</v>
      </c>
      <c r="AD168" s="469">
        <f>AD167/AC167-1</f>
        <v>0.21052631578947367</v>
      </c>
      <c r="AE168" s="469">
        <f>AE167/AD167-1</f>
        <v>0.31521739130434789</v>
      </c>
      <c r="AF168" s="474"/>
      <c r="AG168" s="469">
        <f>AG167/AE167-1</f>
        <v>0.13223140495867769</v>
      </c>
      <c r="AH168" s="469">
        <f>AH167/AG167-1</f>
        <v>-0.10343065693430653</v>
      </c>
      <c r="AI168" s="469">
        <f>AI167/AH167-1</f>
        <v>5.8373361556623093E-2</v>
      </c>
      <c r="AJ168" s="469">
        <f>AJ167/AI167-1</f>
        <v>3.8461538461538547E-2</v>
      </c>
      <c r="AK168" s="474"/>
      <c r="AL168" s="469">
        <f>AL167/AJ167-1</f>
        <v>0.12592592592592577</v>
      </c>
      <c r="AM168" s="469">
        <f>AM167/AL167-1</f>
        <v>0.46052631578947367</v>
      </c>
      <c r="AN168" s="469">
        <f>AN167/AM167-1</f>
        <v>0.23873873873873874</v>
      </c>
      <c r="AO168" s="469">
        <f>AO167/AN167-1</f>
        <v>0.75272727272727291</v>
      </c>
      <c r="AP168" s="474"/>
      <c r="AQ168" s="469">
        <f>AQ167/AO167-1</f>
        <v>-0.45850622406639008</v>
      </c>
      <c r="AR168" s="469">
        <f>AR167/AQ167-1</f>
        <v>-0.67816091954022983</v>
      </c>
      <c r="AS168" s="469">
        <f>AS167/AR167-1</f>
        <v>0</v>
      </c>
      <c r="AT168" s="469">
        <f>AT167/AS167-1</f>
        <v>-1.1904761904761862E-2</v>
      </c>
      <c r="AU168" s="472"/>
      <c r="AV168" s="469">
        <v>-0.02</v>
      </c>
      <c r="AW168" s="469">
        <v>0</v>
      </c>
      <c r="AX168" s="469">
        <v>0</v>
      </c>
      <c r="AY168" s="469">
        <v>0</v>
      </c>
      <c r="AZ168" s="472"/>
      <c r="BA168" s="475">
        <v>0</v>
      </c>
      <c r="BB168" s="475">
        <v>0</v>
      </c>
      <c r="BC168" s="469">
        <v>0</v>
      </c>
      <c r="BD168" s="469">
        <v>0</v>
      </c>
      <c r="BE168" s="472"/>
      <c r="BF168" s="469">
        <v>0.03</v>
      </c>
      <c r="BG168" s="475">
        <v>0.03</v>
      </c>
      <c r="BH168" s="475">
        <v>0.03</v>
      </c>
      <c r="BI168" s="469">
        <v>0.03</v>
      </c>
      <c r="BJ168" s="472"/>
      <c r="BK168" s="475">
        <v>0.03</v>
      </c>
      <c r="BL168" s="475">
        <v>0.03</v>
      </c>
      <c r="BM168" s="475">
        <v>0.03</v>
      </c>
      <c r="BN168" s="475">
        <v>0.03</v>
      </c>
      <c r="BO168" s="950"/>
      <c r="BP168" s="475">
        <v>0.03</v>
      </c>
      <c r="BQ168" s="475">
        <v>0.03</v>
      </c>
      <c r="BR168" s="475">
        <v>0.03</v>
      </c>
      <c r="BS168" s="475">
        <v>0.03</v>
      </c>
      <c r="BT168" s="950"/>
      <c r="BU168" s="475">
        <v>0.03</v>
      </c>
      <c r="BV168" s="475">
        <v>0.03</v>
      </c>
      <c r="BW168" s="475">
        <v>0.03</v>
      </c>
      <c r="BX168" s="475">
        <v>0.03</v>
      </c>
      <c r="BY168" s="950"/>
      <c r="BZ168" s="475">
        <v>0.03</v>
      </c>
      <c r="CA168" s="475">
        <v>0.03</v>
      </c>
      <c r="CB168" s="475">
        <v>0.03</v>
      </c>
      <c r="CC168" s="475">
        <v>0.03</v>
      </c>
      <c r="CD168" s="950"/>
      <c r="CE168" s="475">
        <v>0.03</v>
      </c>
      <c r="CF168" s="475">
        <v>0.03</v>
      </c>
      <c r="CG168" s="475">
        <v>0.03</v>
      </c>
      <c r="CH168" s="475">
        <v>0.03</v>
      </c>
      <c r="CI168" s="950"/>
      <c r="CJ168" s="475">
        <v>0.03</v>
      </c>
      <c r="CK168" s="475">
        <v>0.03</v>
      </c>
      <c r="CL168" s="475">
        <v>0.03</v>
      </c>
      <c r="CM168" s="475">
        <v>0.03</v>
      </c>
      <c r="CN168" s="950"/>
      <c r="CO168" s="475">
        <v>0.03</v>
      </c>
      <c r="CP168" s="475">
        <v>0.03</v>
      </c>
      <c r="CQ168" s="475">
        <v>0.03</v>
      </c>
      <c r="CR168" s="475">
        <v>0.03</v>
      </c>
      <c r="CS168" s="950"/>
      <c r="CT168" s="475">
        <v>0.03</v>
      </c>
      <c r="CU168" s="475">
        <v>0.03</v>
      </c>
      <c r="CV168" s="475">
        <v>0.03</v>
      </c>
      <c r="CW168" s="475">
        <v>0.03</v>
      </c>
      <c r="CX168" s="950"/>
      <c r="CY168" s="475"/>
      <c r="DA168" s="126"/>
      <c r="DB168" s="469"/>
      <c r="DC168" s="469"/>
    </row>
    <row r="169" spans="1:107" ht="11.25" hidden="1" customHeight="1" outlineLevel="1">
      <c r="A169" s="468" t="s">
        <v>77</v>
      </c>
      <c r="B169" s="469"/>
      <c r="C169" s="470"/>
      <c r="D169" s="469"/>
      <c r="E169" s="469"/>
      <c r="F169" s="471"/>
      <c r="G169" s="472"/>
      <c r="H169" s="470"/>
      <c r="I169" s="469"/>
      <c r="J169" s="469"/>
      <c r="K169" s="471"/>
      <c r="L169" s="470"/>
      <c r="M169" s="470"/>
      <c r="N169" s="469"/>
      <c r="O169" s="469"/>
      <c r="P169" s="471"/>
      <c r="Q169" s="472"/>
      <c r="R169" s="469"/>
      <c r="S169" s="469"/>
      <c r="T169" s="469"/>
      <c r="U169" s="469"/>
      <c r="V169" s="473"/>
      <c r="W169" s="469"/>
      <c r="X169" s="469"/>
      <c r="Y169" s="469"/>
      <c r="Z169" s="469"/>
      <c r="AA169" s="472"/>
      <c r="AB169" s="469"/>
      <c r="AC169" s="469"/>
      <c r="AD169" s="469"/>
      <c r="AE169" s="469"/>
      <c r="AF169" s="472"/>
      <c r="AG169" s="469">
        <f>AG167/AB167-1</f>
        <v>0.59766763848396498</v>
      </c>
      <c r="AH169" s="469">
        <f>AH167/AC167-1</f>
        <v>0.61618421052631578</v>
      </c>
      <c r="AI169" s="469">
        <f>AI167/AD167-1</f>
        <v>0.41304347826086962</v>
      </c>
      <c r="AJ169" s="469">
        <f>AJ167/AE167-1</f>
        <v>0.11570247933884303</v>
      </c>
      <c r="AK169" s="472">
        <f>+AK167/AF167-1</f>
        <v>0.40048032021347568</v>
      </c>
      <c r="AL169" s="469">
        <f>AL167/AG167-1</f>
        <v>0.10948905109489049</v>
      </c>
      <c r="AM169" s="469">
        <f>AM167/AH167-1</f>
        <v>0.80737604819669473</v>
      </c>
      <c r="AN169" s="469">
        <f>AN167/AI167-1</f>
        <v>1.1153846153846154</v>
      </c>
      <c r="AO169" s="469">
        <f>AO167/AJ167-1</f>
        <v>2.5703703703703704</v>
      </c>
      <c r="AP169" s="472">
        <f>+AP167/AK167-1</f>
        <v>1.1549835184726485</v>
      </c>
      <c r="AQ169" s="469">
        <f>AQ167/AL167-1</f>
        <v>0.71710526315789491</v>
      </c>
      <c r="AR169" s="469">
        <f>AR167/AM167-1</f>
        <v>-0.6216216216216216</v>
      </c>
      <c r="AS169" s="469">
        <f>AS167/AN167-1</f>
        <v>-0.69454545454545458</v>
      </c>
      <c r="AT169" s="469">
        <f>AT167/AO167-1</f>
        <v>-0.82780082987551862</v>
      </c>
      <c r="AU169" s="472">
        <f>+AU167/AP167-1</f>
        <v>-0.5473032714412025</v>
      </c>
      <c r="AV169" s="469"/>
      <c r="AW169" s="469"/>
      <c r="AX169" s="469"/>
      <c r="AY169" s="469"/>
      <c r="AZ169" s="472"/>
      <c r="BA169" s="475"/>
      <c r="BB169" s="475"/>
      <c r="BC169" s="469"/>
      <c r="BD169" s="469"/>
      <c r="BE169" s="472"/>
      <c r="BF169" s="469"/>
      <c r="BG169" s="475"/>
      <c r="BH169" s="475"/>
      <c r="BI169" s="469"/>
      <c r="BJ169" s="472"/>
      <c r="BK169" s="475"/>
      <c r="BL169" s="475"/>
      <c r="BM169" s="475"/>
      <c r="BN169" s="475"/>
      <c r="BO169" s="1259"/>
      <c r="BP169" s="475"/>
      <c r="BQ169" s="475"/>
      <c r="BR169" s="475"/>
      <c r="BS169" s="475"/>
      <c r="BT169" s="1259"/>
      <c r="BU169" s="475"/>
      <c r="BV169" s="475"/>
      <c r="BW169" s="475"/>
      <c r="BX169" s="475"/>
      <c r="BY169" s="1259"/>
      <c r="BZ169" s="475"/>
      <c r="CA169" s="475"/>
      <c r="CB169" s="475"/>
      <c r="CC169" s="475"/>
      <c r="CD169" s="1259"/>
      <c r="CE169" s="475"/>
      <c r="CF169" s="475"/>
      <c r="CG169" s="475"/>
      <c r="CH169" s="475"/>
      <c r="CI169" s="1259"/>
      <c r="CJ169" s="475"/>
      <c r="CK169" s="475"/>
      <c r="CL169" s="475"/>
      <c r="CM169" s="475"/>
      <c r="CN169" s="1259"/>
      <c r="CO169" s="475"/>
      <c r="CP169" s="475"/>
      <c r="CQ169" s="475"/>
      <c r="CR169" s="475"/>
      <c r="CS169" s="1259"/>
      <c r="CT169" s="475"/>
      <c r="CU169" s="475"/>
      <c r="CV169" s="475"/>
      <c r="CW169" s="475"/>
      <c r="CX169" s="1259"/>
      <c r="CY169" s="1728"/>
      <c r="DA169" s="126"/>
      <c r="DB169" s="469"/>
      <c r="DC169" s="469"/>
    </row>
    <row r="170" spans="1:107" ht="11.25" hidden="1" customHeight="1" outlineLevel="1">
      <c r="A170" s="468"/>
      <c r="B170" s="469"/>
      <c r="C170" s="470"/>
      <c r="D170" s="469"/>
      <c r="E170" s="469"/>
      <c r="F170" s="471"/>
      <c r="G170" s="472"/>
      <c r="H170" s="470"/>
      <c r="I170" s="469"/>
      <c r="J170" s="469"/>
      <c r="K170" s="471"/>
      <c r="L170" s="470"/>
      <c r="M170" s="470"/>
      <c r="N170" s="469"/>
      <c r="O170" s="469"/>
      <c r="P170" s="471"/>
      <c r="Q170" s="472"/>
      <c r="R170" s="469"/>
      <c r="S170" s="469"/>
      <c r="T170" s="469"/>
      <c r="U170" s="469"/>
      <c r="V170" s="473"/>
      <c r="W170" s="469"/>
      <c r="X170" s="469"/>
      <c r="Y170" s="469"/>
      <c r="Z170" s="469"/>
      <c r="AA170" s="472"/>
      <c r="AB170" s="469"/>
      <c r="AC170" s="469"/>
      <c r="AD170" s="469"/>
      <c r="AE170" s="469"/>
      <c r="AF170" s="472"/>
      <c r="AG170" s="469"/>
      <c r="AH170" s="469"/>
      <c r="AI170" s="469"/>
      <c r="AJ170" s="469"/>
      <c r="AK170" s="472"/>
      <c r="AL170" s="469"/>
      <c r="AM170" s="469"/>
      <c r="AN170" s="469"/>
      <c r="AO170" s="469"/>
      <c r="AP170" s="472"/>
      <c r="AQ170" s="469"/>
      <c r="AR170" s="466"/>
      <c r="AS170" s="458"/>
      <c r="AT170" s="458"/>
      <c r="AU170" s="465"/>
      <c r="AV170" s="469"/>
      <c r="AW170" s="469"/>
      <c r="AX170" s="469"/>
      <c r="AY170" s="458"/>
      <c r="AZ170" s="465"/>
      <c r="BA170" s="466"/>
      <c r="BB170" s="466"/>
      <c r="BC170" s="458"/>
      <c r="BD170" s="458"/>
      <c r="BE170" s="465"/>
      <c r="BF170" s="458"/>
      <c r="BG170" s="466"/>
      <c r="BH170" s="466"/>
      <c r="BI170" s="458"/>
      <c r="BJ170" s="465"/>
      <c r="BK170" s="466"/>
      <c r="BL170" s="466"/>
      <c r="BM170" s="466"/>
      <c r="BN170" s="466"/>
      <c r="BO170" s="951"/>
      <c r="BP170" s="466"/>
      <c r="BQ170" s="466"/>
      <c r="BR170" s="466"/>
      <c r="BS170" s="466"/>
      <c r="BT170" s="951"/>
      <c r="BU170" s="466"/>
      <c r="BV170" s="466"/>
      <c r="BW170" s="466"/>
      <c r="BX170" s="466"/>
      <c r="BY170" s="951"/>
      <c r="BZ170" s="466"/>
      <c r="CA170" s="466"/>
      <c r="CB170" s="466"/>
      <c r="CC170" s="466"/>
      <c r="CD170" s="951"/>
      <c r="CE170" s="466"/>
      <c r="CF170" s="466"/>
      <c r="CG170" s="466"/>
      <c r="CH170" s="466"/>
      <c r="CI170" s="951"/>
      <c r="CJ170" s="466"/>
      <c r="CK170" s="466"/>
      <c r="CL170" s="466"/>
      <c r="CM170" s="466"/>
      <c r="CN170" s="951"/>
      <c r="CO170" s="466"/>
      <c r="CP170" s="466"/>
      <c r="CQ170" s="466"/>
      <c r="CR170" s="466"/>
      <c r="CS170" s="951"/>
      <c r="CT170" s="466"/>
      <c r="CU170" s="466"/>
      <c r="CV170" s="466"/>
      <c r="CW170" s="466"/>
      <c r="CX170" s="951"/>
      <c r="CY170" s="466"/>
      <c r="DA170" s="126"/>
      <c r="DB170" s="469"/>
      <c r="DC170" s="469"/>
    </row>
    <row r="171" spans="1:107" ht="11.25" hidden="1" customHeight="1" outlineLevel="1">
      <c r="A171" s="478" t="s">
        <v>153</v>
      </c>
      <c r="B171" s="479"/>
      <c r="C171" s="480"/>
      <c r="D171" s="481"/>
      <c r="E171" s="481"/>
      <c r="F171" s="482"/>
      <c r="G171" s="483"/>
      <c r="H171" s="480"/>
      <c r="I171" s="481"/>
      <c r="J171" s="481"/>
      <c r="K171" s="482"/>
      <c r="L171" s="480"/>
      <c r="M171" s="480"/>
      <c r="N171" s="481"/>
      <c r="O171" s="481"/>
      <c r="P171" s="482"/>
      <c r="Q171" s="483"/>
      <c r="R171" s="481"/>
      <c r="S171" s="481"/>
      <c r="T171" s="481"/>
      <c r="U171" s="481"/>
      <c r="V171" s="484" t="s">
        <v>31</v>
      </c>
      <c r="W171" s="485" t="s">
        <v>31</v>
      </c>
      <c r="X171" s="485" t="s">
        <v>31</v>
      </c>
      <c r="Y171" s="485" t="s">
        <v>31</v>
      </c>
      <c r="Z171" s="479" t="s">
        <v>31</v>
      </c>
      <c r="AA171" s="486" t="s">
        <v>31</v>
      </c>
      <c r="AB171" s="485">
        <v>13.7</v>
      </c>
      <c r="AC171" s="485">
        <v>18.100000000000001</v>
      </c>
      <c r="AD171" s="485">
        <v>17.8</v>
      </c>
      <c r="AE171" s="485">
        <v>18.5</v>
      </c>
      <c r="AF171" s="486">
        <f>SUM(AB171:AE171)</f>
        <v>68.099999999999994</v>
      </c>
      <c r="AG171" s="479">
        <v>15.8</v>
      </c>
      <c r="AH171" s="479">
        <v>18.899999999999999</v>
      </c>
      <c r="AI171" s="479">
        <v>18.7</v>
      </c>
      <c r="AJ171" s="479">
        <v>27.5</v>
      </c>
      <c r="AK171" s="486">
        <f>SUM(AG171:AJ171)</f>
        <v>80.900000000000006</v>
      </c>
      <c r="AL171" s="479">
        <v>28.1</v>
      </c>
      <c r="AM171" s="479">
        <v>30.4</v>
      </c>
      <c r="AN171" s="479">
        <v>31.6</v>
      </c>
      <c r="AO171" s="479">
        <v>28.4</v>
      </c>
      <c r="AP171" s="486">
        <f>SUM(AL171:AO171)</f>
        <v>118.5</v>
      </c>
      <c r="AQ171" s="479">
        <f>52.3-AQ167</f>
        <v>26.199999999999996</v>
      </c>
      <c r="AR171" s="479">
        <f>36.8-AR167</f>
        <v>28.4</v>
      </c>
      <c r="AS171" s="479">
        <f>44.9-AS167</f>
        <v>36.5</v>
      </c>
      <c r="AT171" s="479">
        <f>47-AT167</f>
        <v>38.700000000000003</v>
      </c>
      <c r="AU171" s="486">
        <f>SUM(AQ171:AT171)</f>
        <v>129.80000000000001</v>
      </c>
      <c r="AV171" s="479">
        <v>46.6</v>
      </c>
      <c r="AW171" s="479">
        <v>45.4</v>
      </c>
      <c r="AX171" s="479">
        <v>40.700000000000003</v>
      </c>
      <c r="AY171" s="479">
        <f>46.1</f>
        <v>46.1</v>
      </c>
      <c r="AZ171" s="486">
        <f>SUM(AV171:AY171)</f>
        <v>178.79999999999998</v>
      </c>
      <c r="BA171" s="487">
        <f>AY171*(1+BA172)</f>
        <v>44.486499999999999</v>
      </c>
      <c r="BB171" s="487">
        <f>BA171*(1+BB172)</f>
        <v>44.708932499999996</v>
      </c>
      <c r="BC171" s="479">
        <f>BB171*(1+BC172)</f>
        <v>44.395969972499998</v>
      </c>
      <c r="BD171" s="479">
        <f>BC171*(1+BD172)</f>
        <v>45.505869221812496</v>
      </c>
      <c r="BE171" s="486">
        <f>SUM(BA171:BD171)</f>
        <v>179.0972716943125</v>
      </c>
      <c r="BF171" s="479">
        <f>BD171*(1+BF172)</f>
        <v>43.230575760721869</v>
      </c>
      <c r="BG171" s="487">
        <f>BF171*(1+BG172)</f>
        <v>44.743645912347134</v>
      </c>
      <c r="BH171" s="487">
        <f>BG171*(1+BH172)</f>
        <v>44.519927682785401</v>
      </c>
      <c r="BI171" s="479">
        <f>BH171*(1+BI172)</f>
        <v>46.52332442851074</v>
      </c>
      <c r="BJ171" s="486">
        <f>SUM(BF171:BI171)</f>
        <v>179.01747378436514</v>
      </c>
      <c r="BK171" s="487">
        <f>BI171*(1+BK172)</f>
        <v>44.197158207085202</v>
      </c>
      <c r="BL171" s="487">
        <f>BK171*(1+BL172)</f>
        <v>45.744058744333181</v>
      </c>
      <c r="BM171" s="487">
        <f>BL171*(1+BM172)</f>
        <v>45.515338450611516</v>
      </c>
      <c r="BN171" s="487">
        <f>BM171*(1+BN172)</f>
        <v>47.563528680889029</v>
      </c>
      <c r="BO171" s="952">
        <f>SUM(BK171:BN171)</f>
        <v>183.02008408291891</v>
      </c>
      <c r="BP171" s="487">
        <f>BN171*(1+BP172)</f>
        <v>45.185352246844573</v>
      </c>
      <c r="BQ171" s="487">
        <f>BP171*(1+BQ172)</f>
        <v>46.766839575484127</v>
      </c>
      <c r="BR171" s="487">
        <f>BQ171*(1+BR172)</f>
        <v>46.533005377606706</v>
      </c>
      <c r="BS171" s="487">
        <f>BR171*(1+BS172)</f>
        <v>48.626990619599006</v>
      </c>
      <c r="BT171" s="952">
        <f>SUM(BP171:BS171)</f>
        <v>187.11218781953443</v>
      </c>
      <c r="BU171" s="487">
        <f>BS171*(1+BU172)</f>
        <v>46.195641088619055</v>
      </c>
      <c r="BV171" s="487">
        <f>BU171*(1+BV172)</f>
        <v>47.81248852672072</v>
      </c>
      <c r="BW171" s="487">
        <f>BV171*(1+BW172)</f>
        <v>47.573426084087117</v>
      </c>
      <c r="BX171" s="487">
        <f>BW171*(1+BX172)</f>
        <v>49.714230257871037</v>
      </c>
      <c r="BY171" s="952">
        <f>SUM(BU171:BX171)</f>
        <v>191.29578595729794</v>
      </c>
      <c r="BZ171" s="487">
        <f>BX171*(1+BZ172)</f>
        <v>47.228518744977485</v>
      </c>
      <c r="CA171" s="487">
        <f>BZ171*(1+CA172)</f>
        <v>48.881516901051697</v>
      </c>
      <c r="CB171" s="487">
        <f>CA171*(1+CB172)</f>
        <v>48.637109316546436</v>
      </c>
      <c r="CC171" s="487">
        <f>CB171*(1+CC172)</f>
        <v>50.825779235791025</v>
      </c>
      <c r="CD171" s="952">
        <f>SUM(BZ171:CC171)</f>
        <v>195.57292419836665</v>
      </c>
      <c r="CE171" s="487">
        <f>CC171*(1+CE172)</f>
        <v>48.28449027400147</v>
      </c>
      <c r="CF171" s="487">
        <f>CE171*(1+CF172)</f>
        <v>49.974447433591521</v>
      </c>
      <c r="CG171" s="487">
        <f>CF171*(1+CG172)</f>
        <v>49.724575196423565</v>
      </c>
      <c r="CH171" s="487">
        <f>CG171*(1+CH172)</f>
        <v>51.962181080262624</v>
      </c>
      <c r="CI171" s="952">
        <f>SUM(CE171:CH171)</f>
        <v>199.94569398427916</v>
      </c>
      <c r="CJ171" s="487">
        <f>CH171*(1+CJ172)</f>
        <v>49.364072026249488</v>
      </c>
      <c r="CK171" s="487">
        <f>CJ171*(1+CK172)</f>
        <v>51.091814547168219</v>
      </c>
      <c r="CL171" s="487">
        <f>CK171*(1+CL172)</f>
        <v>50.836355474432381</v>
      </c>
      <c r="CM171" s="487">
        <f>CL171*(1+CM172)</f>
        <v>53.123991470781831</v>
      </c>
      <c r="CN171" s="952">
        <f>SUM(CJ171:CM171)</f>
        <v>204.41623351863194</v>
      </c>
      <c r="CO171" s="487">
        <f>CM171*(1+CO172)</f>
        <v>50.467791897242741</v>
      </c>
      <c r="CP171" s="487">
        <f>CO171*(1+CP172)</f>
        <v>52.234164613646236</v>
      </c>
      <c r="CQ171" s="487">
        <f>CP171*(1+CQ172)</f>
        <v>51.972993790578002</v>
      </c>
      <c r="CR171" s="487">
        <f>CQ171*(1+CR172)</f>
        <v>54.31177851115401</v>
      </c>
      <c r="CS171" s="952">
        <f>SUM(CO171:CR171)</f>
        <v>208.98672881262101</v>
      </c>
      <c r="CT171" s="487">
        <f>CR171*(1+CT172)</f>
        <v>51.596189585596306</v>
      </c>
      <c r="CU171" s="487">
        <f>CT171*(1+CU172)</f>
        <v>53.402056221092174</v>
      </c>
      <c r="CV171" s="487">
        <f>CU171*(1+CV172)</f>
        <v>53.135045939986711</v>
      </c>
      <c r="CW171" s="487">
        <f>CV171*(1+CW172)</f>
        <v>55.52612300728611</v>
      </c>
      <c r="CX171" s="952">
        <f>SUM(CT171:CW171)</f>
        <v>213.6594147539613</v>
      </c>
      <c r="CY171" s="487"/>
      <c r="DA171" s="126"/>
      <c r="DB171" s="481"/>
      <c r="DC171" s="481"/>
    </row>
    <row r="172" spans="1:107" ht="11.25" hidden="1" customHeight="1" outlineLevel="2">
      <c r="A172" s="489" t="s">
        <v>78</v>
      </c>
      <c r="B172" s="469"/>
      <c r="C172" s="470"/>
      <c r="D172" s="469"/>
      <c r="E172" s="469"/>
      <c r="F172" s="471"/>
      <c r="G172" s="472"/>
      <c r="H172" s="470"/>
      <c r="I172" s="469"/>
      <c r="J172" s="469"/>
      <c r="K172" s="471"/>
      <c r="L172" s="470"/>
      <c r="M172" s="470"/>
      <c r="N172" s="469"/>
      <c r="O172" s="469"/>
      <c r="P172" s="471"/>
      <c r="Q172" s="472"/>
      <c r="R172" s="469"/>
      <c r="S172" s="469"/>
      <c r="T172" s="469"/>
      <c r="U172" s="469"/>
      <c r="V172" s="473"/>
      <c r="W172" s="469"/>
      <c r="X172" s="469"/>
      <c r="Y172" s="469"/>
      <c r="Z172" s="469"/>
      <c r="AA172" s="472"/>
      <c r="AB172" s="469" t="s">
        <v>31</v>
      </c>
      <c r="AC172" s="469">
        <f>AC171/AB171-1</f>
        <v>0.32116788321167911</v>
      </c>
      <c r="AD172" s="469">
        <f>AD171/AC171-1</f>
        <v>-1.6574585635359185E-2</v>
      </c>
      <c r="AE172" s="469">
        <f>AE171/AD171-1</f>
        <v>3.9325842696629199E-2</v>
      </c>
      <c r="AF172" s="474"/>
      <c r="AG172" s="469">
        <f>AG171/AE171-1</f>
        <v>-0.1459459459459459</v>
      </c>
      <c r="AH172" s="469">
        <f>AH171/AG171-1</f>
        <v>0.19620253164556956</v>
      </c>
      <c r="AI172" s="469">
        <f>AI171/AH171-1</f>
        <v>-1.0582010582010581E-2</v>
      </c>
      <c r="AJ172" s="469">
        <f>AJ171/AI171-1</f>
        <v>0.47058823529411775</v>
      </c>
      <c r="AK172" s="474"/>
      <c r="AL172" s="469">
        <f>AL171/AJ171-1</f>
        <v>2.1818181818181959E-2</v>
      </c>
      <c r="AM172" s="469">
        <f>AM171/AL171-1</f>
        <v>8.1850533807829029E-2</v>
      </c>
      <c r="AN172" s="469">
        <f>AN171/AM171-1</f>
        <v>3.9473684210526327E-2</v>
      </c>
      <c r="AO172" s="469">
        <f>AO171/AN171-1</f>
        <v>-0.10126582278481022</v>
      </c>
      <c r="AP172" s="474"/>
      <c r="AQ172" s="469">
        <f>AQ171/AO171-1</f>
        <v>-7.7464788732394485E-2</v>
      </c>
      <c r="AR172" s="469">
        <f>AR171/AQ171-1</f>
        <v>8.3969465648854991E-2</v>
      </c>
      <c r="AS172" s="469">
        <f>AS171/AR171-1</f>
        <v>0.28521126760563398</v>
      </c>
      <c r="AT172" s="469">
        <v>-0.03</v>
      </c>
      <c r="AU172" s="472"/>
      <c r="AV172" s="469">
        <f>AV171/AT171-1</f>
        <v>0.20413436692506459</v>
      </c>
      <c r="AW172" s="469">
        <f>AW171/AV171-1</f>
        <v>-2.5751072961373467E-2</v>
      </c>
      <c r="AX172" s="469">
        <f>AX171/AW171-1</f>
        <v>-0.10352422907488978</v>
      </c>
      <c r="AY172" s="469">
        <f>AY171/AX171-1</f>
        <v>0.13267813267813255</v>
      </c>
      <c r="AZ172" s="472"/>
      <c r="BA172" s="475">
        <v>-3.5000000000000003E-2</v>
      </c>
      <c r="BB172" s="475">
        <v>5.0000000000000001E-3</v>
      </c>
      <c r="BC172" s="469">
        <v>-7.0000000000000001E-3</v>
      </c>
      <c r="BD172" s="469">
        <v>2.5000000000000001E-2</v>
      </c>
      <c r="BE172" s="472"/>
      <c r="BF172" s="469">
        <v>-0.05</v>
      </c>
      <c r="BG172" s="475">
        <v>3.5000000000000003E-2</v>
      </c>
      <c r="BH172" s="475">
        <v>-5.0000000000000001E-3</v>
      </c>
      <c r="BI172" s="469">
        <v>4.4999999999999998E-2</v>
      </c>
      <c r="BJ172" s="472"/>
      <c r="BK172" s="475">
        <f>BF172</f>
        <v>-0.05</v>
      </c>
      <c r="BL172" s="475">
        <f>BG172</f>
        <v>3.5000000000000003E-2</v>
      </c>
      <c r="BM172" s="475">
        <f>BH172</f>
        <v>-5.0000000000000001E-3</v>
      </c>
      <c r="BN172" s="475">
        <f>BI172</f>
        <v>4.4999999999999998E-2</v>
      </c>
      <c r="BO172" s="950"/>
      <c r="BP172" s="475">
        <f>BK172</f>
        <v>-0.05</v>
      </c>
      <c r="BQ172" s="475">
        <f>BL172</f>
        <v>3.5000000000000003E-2</v>
      </c>
      <c r="BR172" s="475">
        <f>BM172</f>
        <v>-5.0000000000000001E-3</v>
      </c>
      <c r="BS172" s="475">
        <f>BN172</f>
        <v>4.4999999999999998E-2</v>
      </c>
      <c r="BT172" s="950"/>
      <c r="BU172" s="475">
        <f>BP172</f>
        <v>-0.05</v>
      </c>
      <c r="BV172" s="475">
        <f>BQ172</f>
        <v>3.5000000000000003E-2</v>
      </c>
      <c r="BW172" s="475">
        <f>BR172</f>
        <v>-5.0000000000000001E-3</v>
      </c>
      <c r="BX172" s="475">
        <f>BS172</f>
        <v>4.4999999999999998E-2</v>
      </c>
      <c r="BY172" s="950"/>
      <c r="BZ172" s="475">
        <f>BU172</f>
        <v>-0.05</v>
      </c>
      <c r="CA172" s="475">
        <f>BV172</f>
        <v>3.5000000000000003E-2</v>
      </c>
      <c r="CB172" s="475">
        <f>BW172</f>
        <v>-5.0000000000000001E-3</v>
      </c>
      <c r="CC172" s="475">
        <f>BX172</f>
        <v>4.4999999999999998E-2</v>
      </c>
      <c r="CD172" s="950"/>
      <c r="CE172" s="475">
        <f>BZ172</f>
        <v>-0.05</v>
      </c>
      <c r="CF172" s="475">
        <f>CA172</f>
        <v>3.5000000000000003E-2</v>
      </c>
      <c r="CG172" s="475">
        <f>CB172</f>
        <v>-5.0000000000000001E-3</v>
      </c>
      <c r="CH172" s="475">
        <f>CC172</f>
        <v>4.4999999999999998E-2</v>
      </c>
      <c r="CI172" s="950"/>
      <c r="CJ172" s="475">
        <f>CE172</f>
        <v>-0.05</v>
      </c>
      <c r="CK172" s="475">
        <f>CF172</f>
        <v>3.5000000000000003E-2</v>
      </c>
      <c r="CL172" s="475">
        <f>CG172</f>
        <v>-5.0000000000000001E-3</v>
      </c>
      <c r="CM172" s="475">
        <f>CH172</f>
        <v>4.4999999999999998E-2</v>
      </c>
      <c r="CN172" s="950"/>
      <c r="CO172" s="475">
        <f>CJ172</f>
        <v>-0.05</v>
      </c>
      <c r="CP172" s="475">
        <f>CK172</f>
        <v>3.5000000000000003E-2</v>
      </c>
      <c r="CQ172" s="475">
        <f>CL172</f>
        <v>-5.0000000000000001E-3</v>
      </c>
      <c r="CR172" s="475">
        <f>CM172</f>
        <v>4.4999999999999998E-2</v>
      </c>
      <c r="CS172" s="950"/>
      <c r="CT172" s="475">
        <f>CO172</f>
        <v>-0.05</v>
      </c>
      <c r="CU172" s="475">
        <f>CP172</f>
        <v>3.5000000000000003E-2</v>
      </c>
      <c r="CV172" s="475">
        <f>CQ172</f>
        <v>-5.0000000000000001E-3</v>
      </c>
      <c r="CW172" s="475">
        <f>CR172</f>
        <v>4.4999999999999998E-2</v>
      </c>
      <c r="CX172" s="950"/>
      <c r="CY172" s="475"/>
      <c r="DA172" s="126"/>
      <c r="DB172" s="469"/>
      <c r="DC172" s="469"/>
    </row>
    <row r="173" spans="1:107" ht="11.25" hidden="1" customHeight="1" outlineLevel="1">
      <c r="A173" s="489" t="s">
        <v>77</v>
      </c>
      <c r="B173" s="469"/>
      <c r="C173" s="470"/>
      <c r="D173" s="469"/>
      <c r="E173" s="469"/>
      <c r="F173" s="471"/>
      <c r="G173" s="472"/>
      <c r="H173" s="470"/>
      <c r="I173" s="469"/>
      <c r="J173" s="469"/>
      <c r="K173" s="471"/>
      <c r="L173" s="470"/>
      <c r="M173" s="470"/>
      <c r="N173" s="469"/>
      <c r="O173" s="469"/>
      <c r="P173" s="471"/>
      <c r="Q173" s="472"/>
      <c r="R173" s="469"/>
      <c r="S173" s="469"/>
      <c r="T173" s="469"/>
      <c r="U173" s="469"/>
      <c r="V173" s="473"/>
      <c r="W173" s="469"/>
      <c r="X173" s="469"/>
      <c r="Y173" s="469"/>
      <c r="Z173" s="469"/>
      <c r="AA173" s="472"/>
      <c r="AB173" s="469" t="s">
        <v>31</v>
      </c>
      <c r="AC173" s="469" t="s">
        <v>31</v>
      </c>
      <c r="AD173" s="469" t="s">
        <v>31</v>
      </c>
      <c r="AE173" s="469" t="s">
        <v>31</v>
      </c>
      <c r="AF173" s="472" t="s">
        <v>31</v>
      </c>
      <c r="AG173" s="469">
        <f>AG171/AB171-1</f>
        <v>0.15328467153284686</v>
      </c>
      <c r="AH173" s="469">
        <f>AH171/AC171-1</f>
        <v>4.4198895027624197E-2</v>
      </c>
      <c r="AI173" s="469">
        <f>AI171/AD171-1</f>
        <v>5.0561797752809001E-2</v>
      </c>
      <c r="AJ173" s="469">
        <f>AJ171/AE171-1</f>
        <v>0.4864864864864864</v>
      </c>
      <c r="AK173" s="472">
        <f>+AK171/AF171-1</f>
        <v>0.18795888399412641</v>
      </c>
      <c r="AL173" s="469">
        <f>AL171/AG171-1</f>
        <v>0.77848101265822778</v>
      </c>
      <c r="AM173" s="469">
        <f>AM171/AH171-1</f>
        <v>0.6084656084656086</v>
      </c>
      <c r="AN173" s="469">
        <f>AN171/AI171-1</f>
        <v>0.68983957219251346</v>
      </c>
      <c r="AO173" s="469">
        <f>AO171/AJ171-1</f>
        <v>3.2727272727272716E-2</v>
      </c>
      <c r="AP173" s="472">
        <f>+AP171/AK171-1</f>
        <v>0.46477132262051901</v>
      </c>
      <c r="AQ173" s="469">
        <f>AQ171/AL171-1</f>
        <v>-6.761565836298955E-2</v>
      </c>
      <c r="AR173" s="469">
        <f>AR171/AM171-1</f>
        <v>-6.5789473684210509E-2</v>
      </c>
      <c r="AS173" s="469">
        <f>AS171/AN171-1</f>
        <v>0.15506329113924044</v>
      </c>
      <c r="AT173" s="469">
        <f>AT171/AO171-1</f>
        <v>0.36267605633802824</v>
      </c>
      <c r="AU173" s="472">
        <f>+AU171/AP171-1</f>
        <v>9.5358649789029526E-2</v>
      </c>
      <c r="AV173" s="469">
        <f>AV171/AQ171-1</f>
        <v>0.77862595419847369</v>
      </c>
      <c r="AW173" s="469">
        <f>AW171/AR171-1</f>
        <v>0.59859154929577474</v>
      </c>
      <c r="AX173" s="469">
        <f>AX171/AS171-1</f>
        <v>0.1150684931506849</v>
      </c>
      <c r="AY173" s="469">
        <f>AY171/AT171-1</f>
        <v>0.19121447028423777</v>
      </c>
      <c r="AZ173" s="472">
        <f>+AZ171/AU171-1</f>
        <v>0.37750385208012305</v>
      </c>
      <c r="BA173" s="475">
        <f>BA171/AV171-1</f>
        <v>-4.5354077253218938E-2</v>
      </c>
      <c r="BB173" s="475">
        <f>BB171/AW171-1</f>
        <v>-1.5221751101321623E-2</v>
      </c>
      <c r="BC173" s="469">
        <f>BC171/AX171-1</f>
        <v>9.081007303439792E-2</v>
      </c>
      <c r="BD173" s="469">
        <f>BD171/AY171-1</f>
        <v>-1.2887869375000083E-2</v>
      </c>
      <c r="BE173" s="472">
        <f>+BE171/AZ171-1</f>
        <v>1.6625933686382766E-3</v>
      </c>
      <c r="BF173" s="469">
        <f>BF171/BA171-1</f>
        <v>-2.8231581250000137E-2</v>
      </c>
      <c r="BG173" s="475">
        <f>BG171/BB171-1</f>
        <v>7.7643125000004254E-4</v>
      </c>
      <c r="BH173" s="475">
        <f>BH171/BC171-1</f>
        <v>2.792093749999891E-3</v>
      </c>
      <c r="BI173" s="469">
        <f>BI171/BD171-1</f>
        <v>2.235876874999998E-2</v>
      </c>
      <c r="BJ173" s="472">
        <f>+BJ171/BE171-1</f>
        <v>-4.4555625662212606E-4</v>
      </c>
      <c r="BK173" s="475">
        <f>BK171/BF171-1</f>
        <v>2.235876874999998E-2</v>
      </c>
      <c r="BL173" s="475">
        <f>BL171/BG171-1</f>
        <v>2.235876874999998E-2</v>
      </c>
      <c r="BM173" s="475">
        <f>BM171/BH171-1</f>
        <v>2.2358768749999758E-2</v>
      </c>
      <c r="BN173" s="475">
        <f>BN171/BI171-1</f>
        <v>2.2358768749999758E-2</v>
      </c>
      <c r="BO173" s="950">
        <f>+BO171/BJ171-1</f>
        <v>2.2358768749999758E-2</v>
      </c>
      <c r="BP173" s="475">
        <f>BP171/BK171-1</f>
        <v>2.2358768749999758E-2</v>
      </c>
      <c r="BQ173" s="475">
        <f>BQ171/BL171-1</f>
        <v>2.2358768749999758E-2</v>
      </c>
      <c r="BR173" s="475">
        <f>BR171/BM171-1</f>
        <v>2.2358768749999758E-2</v>
      </c>
      <c r="BS173" s="475">
        <f>BS171/BN171-1</f>
        <v>2.2358768749999758E-2</v>
      </c>
      <c r="BT173" s="950">
        <f>+BT171/BO171-1</f>
        <v>2.2358768749999758E-2</v>
      </c>
      <c r="BU173" s="475">
        <f>BU171/BP171-1</f>
        <v>2.2358768749999758E-2</v>
      </c>
      <c r="BV173" s="475">
        <f>BV171/BQ171-1</f>
        <v>2.235876874999998E-2</v>
      </c>
      <c r="BW173" s="475">
        <f>BW171/BR171-1</f>
        <v>2.235876874999998E-2</v>
      </c>
      <c r="BX173" s="475">
        <f>BX171/BS171-1</f>
        <v>2.235876874999998E-2</v>
      </c>
      <c r="BY173" s="950">
        <f>+BY171/BT171-1</f>
        <v>2.2358768749999758E-2</v>
      </c>
      <c r="BZ173" s="475">
        <f>BZ171/BU171-1</f>
        <v>2.235876874999998E-2</v>
      </c>
      <c r="CA173" s="475">
        <f>CA171/BV171-1</f>
        <v>2.235876874999998E-2</v>
      </c>
      <c r="CB173" s="475">
        <f>CB171/BW171-1</f>
        <v>2.235876874999998E-2</v>
      </c>
      <c r="CC173" s="475">
        <f>CC171/BX171-1</f>
        <v>2.235876874999998E-2</v>
      </c>
      <c r="CD173" s="950">
        <f>+CD171/BY171-1</f>
        <v>2.235876874999998E-2</v>
      </c>
      <c r="CE173" s="475">
        <f>CE171/BZ171-1</f>
        <v>2.2358768749999758E-2</v>
      </c>
      <c r="CF173" s="475">
        <f>CF171/CA171-1</f>
        <v>2.2358768749999758E-2</v>
      </c>
      <c r="CG173" s="475">
        <f>CG171/CB171-1</f>
        <v>2.235876874999998E-2</v>
      </c>
      <c r="CH173" s="475">
        <f>CH171/CC171-1</f>
        <v>2.235876874999998E-2</v>
      </c>
      <c r="CI173" s="950">
        <f>+CI171/CD171-1</f>
        <v>2.2358768749999758E-2</v>
      </c>
      <c r="CJ173" s="475">
        <f>CJ171/CE171-1</f>
        <v>2.235876874999998E-2</v>
      </c>
      <c r="CK173" s="475">
        <f>CK171/CF171-1</f>
        <v>2.235876874999998E-2</v>
      </c>
      <c r="CL173" s="475">
        <f>CL171/CG171-1</f>
        <v>2.235876874999998E-2</v>
      </c>
      <c r="CM173" s="475">
        <f>CM171/CH171-1</f>
        <v>2.2358768749999758E-2</v>
      </c>
      <c r="CN173" s="950">
        <f>+CN171/CI171-1</f>
        <v>2.235876874999998E-2</v>
      </c>
      <c r="CO173" s="475">
        <f>CO171/CJ171-1</f>
        <v>2.235876874999998E-2</v>
      </c>
      <c r="CP173" s="475">
        <f>CP171/CK171-1</f>
        <v>2.235876874999998E-2</v>
      </c>
      <c r="CQ173" s="475">
        <f>CQ171/CL171-1</f>
        <v>2.2358768749999758E-2</v>
      </c>
      <c r="CR173" s="475">
        <f>CR171/CM171-1</f>
        <v>2.235876874999998E-2</v>
      </c>
      <c r="CS173" s="950">
        <f>+CS171/CN171-1</f>
        <v>2.235876874999998E-2</v>
      </c>
      <c r="CT173" s="475">
        <f>CT171/CO171-1</f>
        <v>2.2358768749999758E-2</v>
      </c>
      <c r="CU173" s="475">
        <f>CU171/CP171-1</f>
        <v>2.2358768749999758E-2</v>
      </c>
      <c r="CV173" s="475">
        <f>CV171/CQ171-1</f>
        <v>2.2358768749999758E-2</v>
      </c>
      <c r="CW173" s="475">
        <f>CW171/CR171-1</f>
        <v>2.2358768749999758E-2</v>
      </c>
      <c r="CX173" s="950">
        <f>+CX171/CS171-1</f>
        <v>2.2358768749999758E-2</v>
      </c>
      <c r="CY173" s="475"/>
      <c r="DA173" s="126"/>
      <c r="DB173" s="469"/>
      <c r="DC173" s="469"/>
    </row>
    <row r="174" spans="1:107" ht="11.25" hidden="1" customHeight="1" outlineLevel="1">
      <c r="A174" s="478" t="s">
        <v>659</v>
      </c>
      <c r="B174" s="479"/>
      <c r="C174" s="480"/>
      <c r="D174" s="481"/>
      <c r="E174" s="481"/>
      <c r="F174" s="482"/>
      <c r="G174" s="483"/>
      <c r="H174" s="480"/>
      <c r="I174" s="481"/>
      <c r="J174" s="481"/>
      <c r="K174" s="482"/>
      <c r="L174" s="480"/>
      <c r="M174" s="480"/>
      <c r="N174" s="481"/>
      <c r="O174" s="481"/>
      <c r="P174" s="482"/>
      <c r="Q174" s="483"/>
      <c r="R174" s="481"/>
      <c r="S174" s="481"/>
      <c r="T174" s="481"/>
      <c r="U174" s="481"/>
      <c r="V174" s="484" t="s">
        <v>31</v>
      </c>
      <c r="W174" s="485" t="s">
        <v>31</v>
      </c>
      <c r="X174" s="485" t="s">
        <v>31</v>
      </c>
      <c r="Y174" s="485" t="s">
        <v>31</v>
      </c>
      <c r="Z174" s="479" t="s">
        <v>31</v>
      </c>
      <c r="AA174" s="486" t="s">
        <v>31</v>
      </c>
      <c r="AB174" s="485">
        <v>47</v>
      </c>
      <c r="AC174" s="485">
        <v>53.4</v>
      </c>
      <c r="AD174" s="485">
        <v>52.4</v>
      </c>
      <c r="AE174" s="485">
        <v>62.8</v>
      </c>
      <c r="AF174" s="486">
        <f>SUM(AB174:AE174)</f>
        <v>215.60000000000002</v>
      </c>
      <c r="AG174" s="479">
        <v>56.2</v>
      </c>
      <c r="AH174" s="479">
        <v>49</v>
      </c>
      <c r="AI174" s="479">
        <v>47.1</v>
      </c>
      <c r="AJ174" s="479">
        <v>53.3</v>
      </c>
      <c r="AK174" s="486">
        <f>SUM(AG174:AJ174)</f>
        <v>205.60000000000002</v>
      </c>
      <c r="AL174" s="479">
        <v>53.9</v>
      </c>
      <c r="AM174" s="479">
        <v>54.3</v>
      </c>
      <c r="AN174" s="479">
        <v>51.1</v>
      </c>
      <c r="AO174" s="479">
        <v>52</v>
      </c>
      <c r="AP174" s="486">
        <f>SUM(AL174:AO174)</f>
        <v>211.29999999999998</v>
      </c>
      <c r="AQ174" s="479">
        <v>46.4</v>
      </c>
      <c r="AR174" s="479">
        <v>46.5</v>
      </c>
      <c r="AS174" s="479">
        <v>42.2</v>
      </c>
      <c r="AT174" s="479">
        <v>42.9</v>
      </c>
      <c r="AU174" s="486">
        <f>SUM(AQ174:AT174)</f>
        <v>178.00000000000003</v>
      </c>
      <c r="AV174" s="479">
        <v>46.6</v>
      </c>
      <c r="AW174" s="479">
        <f>48.7</f>
        <v>48.7</v>
      </c>
      <c r="AX174" s="479">
        <v>52.1</v>
      </c>
      <c r="AY174" s="479">
        <v>47.3</v>
      </c>
      <c r="AZ174" s="486">
        <f>SUM(AV174:AY174)</f>
        <v>194.7</v>
      </c>
      <c r="BA174" s="487">
        <f>BA182-BA171</f>
        <v>45.644500000000001</v>
      </c>
      <c r="BB174" s="487">
        <f>BB182-BB171</f>
        <v>48.576652500000002</v>
      </c>
      <c r="BC174" s="479">
        <f>BC182-BC171</f>
        <v>51.221754652499996</v>
      </c>
      <c r="BD174" s="479">
        <f>BD182-BD171</f>
        <v>54.1277998374375</v>
      </c>
      <c r="BE174" s="486">
        <f>SUM(BA174:BD174)</f>
        <v>199.57070698993749</v>
      </c>
      <c r="BF174" s="479">
        <f>BF182-BF171</f>
        <v>51.421409845565627</v>
      </c>
      <c r="BG174" s="487">
        <f>BG182-BG171</f>
        <v>51.328119478034665</v>
      </c>
      <c r="BH174" s="487">
        <f>BH182-BH171</f>
        <v>51.455765942206021</v>
      </c>
      <c r="BI174" s="479">
        <f>BI182-BI171</f>
        <v>50.412126132730599</v>
      </c>
      <c r="BJ174" s="486">
        <f>SUM(BF174:BI174)</f>
        <v>204.61742139853692</v>
      </c>
      <c r="BK174" s="487">
        <f>BK182-BK171</f>
        <v>49.830228837318892</v>
      </c>
      <c r="BL174" s="487">
        <f>BL182-BL171</f>
        <v>51.104149911403034</v>
      </c>
      <c r="BM174" s="487">
        <f>BM182-BM171</f>
        <v>52.301352291682058</v>
      </c>
      <c r="BN174" s="487">
        <f>BN182-BN171</f>
        <v>53.187662783673353</v>
      </c>
      <c r="BO174" s="952">
        <f>SUM(BK174:BN174)</f>
        <v>206.42339382407732</v>
      </c>
      <c r="BP174" s="487">
        <f>BP182-BP171</f>
        <v>52.543303473780938</v>
      </c>
      <c r="BQ174" s="487">
        <f>BQ182-BQ171</f>
        <v>53.893675816760151</v>
      </c>
      <c r="BR174" s="487">
        <f>BR182-BR171</f>
        <v>55.134115168560022</v>
      </c>
      <c r="BS174" s="487">
        <f>BS182-BS171</f>
        <v>56.090143542952724</v>
      </c>
      <c r="BT174" s="952">
        <f>SUM(BP174:BS174)</f>
        <v>217.66123800205384</v>
      </c>
      <c r="BU174" s="487">
        <f>BU182-BU171</f>
        <v>55.379979049056118</v>
      </c>
      <c r="BV174" s="487">
        <f>BV182-BV171</f>
        <v>56.810400215084705</v>
      </c>
      <c r="BW174" s="487">
        <f>BW182-BW171</f>
        <v>58.095691545136361</v>
      </c>
      <c r="BX174" s="487">
        <f>BX182-BX171</f>
        <v>59.124960900229155</v>
      </c>
      <c r="BY174" s="952">
        <f>SUM(BU174:BX174)</f>
        <v>229.41103170950635</v>
      </c>
      <c r="BZ174" s="487">
        <f>BZ182-BZ171</f>
        <v>58.345496678379696</v>
      </c>
      <c r="CA174" s="487">
        <f>CA182-CA171</f>
        <v>59.859718985006197</v>
      </c>
      <c r="CB174" s="487">
        <f>CB182-CB171</f>
        <v>61.191538928372033</v>
      </c>
      <c r="CC174" s="487">
        <f>CC182-CC171</f>
        <v>62.297728456475006</v>
      </c>
      <c r="CD174" s="952">
        <f>SUM(BZ174:CC174)</f>
        <v>241.69448304823294</v>
      </c>
      <c r="CE174" s="487">
        <f>CE182-CE171</f>
        <v>61.445312187496583</v>
      </c>
      <c r="CF174" s="487">
        <f>CF182-CF171</f>
        <v>63.047249101751476</v>
      </c>
      <c r="CG174" s="487">
        <f>CG182-CG171</f>
        <v>64.427338304272865</v>
      </c>
      <c r="CH174" s="487">
        <f>CH182-CH171</f>
        <v>65.614289825454691</v>
      </c>
      <c r="CI174" s="952">
        <f>SUM(CE174:CH174)</f>
        <v>254.53418941897564</v>
      </c>
      <c r="CJ174" s="487">
        <f>CJ182-CJ171</f>
        <v>64.685104752296297</v>
      </c>
      <c r="CK174" s="487">
        <f>CK182-CK171</f>
        <v>66.378837534733947</v>
      </c>
      <c r="CL174" s="487">
        <f>CL182-CL171</f>
        <v>67.809003128288808</v>
      </c>
      <c r="CM174" s="487">
        <f>CM182-CM171</f>
        <v>69.080727890020995</v>
      </c>
      <c r="CN174" s="952">
        <f>SUM(CJ174:CM174)</f>
        <v>267.95367330534009</v>
      </c>
      <c r="CO174" s="487">
        <f>CO182-CO171</f>
        <v>68.070785882736004</v>
      </c>
      <c r="CP174" s="487">
        <f>CP182-CP171</f>
        <v>69.860570499731864</v>
      </c>
      <c r="CQ174" s="487">
        <f>CQ182-CQ171</f>
        <v>71.342688673933893</v>
      </c>
      <c r="CR174" s="487">
        <f>CR182-CR171</f>
        <v>72.703374427293255</v>
      </c>
      <c r="CS174" s="952">
        <f>SUM(CO174:CR174)</f>
        <v>281.97741948369503</v>
      </c>
      <c r="CT174" s="487">
        <f>CT182-CT171</f>
        <v>71.608508764697532</v>
      </c>
      <c r="CU174" s="487">
        <f>CU182-CU171</f>
        <v>73.498783079710478</v>
      </c>
      <c r="CV174" s="487">
        <f>CV182-CV171</f>
        <v>75.03480175382397</v>
      </c>
      <c r="CW174" s="487">
        <f>CW182-CW171</f>
        <v>76.488820117338889</v>
      </c>
      <c r="CX174" s="952">
        <f>SUM(CT174:CW174)</f>
        <v>296.63091371557084</v>
      </c>
      <c r="CY174" s="487"/>
      <c r="DA174" s="126"/>
      <c r="DB174" s="481"/>
      <c r="DC174" s="481"/>
    </row>
    <row r="175" spans="1:107" ht="11.25" hidden="1" customHeight="1" outlineLevel="2">
      <c r="A175" s="489" t="s">
        <v>78</v>
      </c>
      <c r="B175" s="469"/>
      <c r="C175" s="470"/>
      <c r="D175" s="469"/>
      <c r="E175" s="469"/>
      <c r="F175" s="471"/>
      <c r="G175" s="472"/>
      <c r="H175" s="470"/>
      <c r="I175" s="469"/>
      <c r="J175" s="469"/>
      <c r="K175" s="471"/>
      <c r="L175" s="470"/>
      <c r="M175" s="470"/>
      <c r="N175" s="469"/>
      <c r="O175" s="469"/>
      <c r="P175" s="471"/>
      <c r="Q175" s="472"/>
      <c r="R175" s="469"/>
      <c r="S175" s="469"/>
      <c r="T175" s="469"/>
      <c r="U175" s="469"/>
      <c r="V175" s="473"/>
      <c r="W175" s="469"/>
      <c r="X175" s="469"/>
      <c r="Y175" s="469"/>
      <c r="Z175" s="469"/>
      <c r="AA175" s="472"/>
      <c r="AB175" s="469" t="s">
        <v>31</v>
      </c>
      <c r="AC175" s="469">
        <f>AC174/AB174-1</f>
        <v>0.13617021276595742</v>
      </c>
      <c r="AD175" s="469">
        <f>AD174/AC174-1</f>
        <v>-1.8726591760299671E-2</v>
      </c>
      <c r="AE175" s="469">
        <f>AE174/AD174-1</f>
        <v>0.19847328244274798</v>
      </c>
      <c r="AF175" s="474"/>
      <c r="AG175" s="469">
        <f>AG174/AE174-1</f>
        <v>-0.10509554140127375</v>
      </c>
      <c r="AH175" s="469">
        <f>AH174/AG174-1</f>
        <v>-0.12811387900355875</v>
      </c>
      <c r="AI175" s="469">
        <f>AI174/AH174-1</f>
        <v>-3.8775510204081653E-2</v>
      </c>
      <c r="AJ175" s="469">
        <f>AJ174/AI174-1</f>
        <v>0.13163481953290868</v>
      </c>
      <c r="AK175" s="474"/>
      <c r="AL175" s="469">
        <f>AL174/AJ174-1</f>
        <v>1.1257035647279645E-2</v>
      </c>
      <c r="AM175" s="469">
        <f>AM174/AL174-1</f>
        <v>7.4211502782930427E-3</v>
      </c>
      <c r="AN175" s="469">
        <f>AN174/AM174-1</f>
        <v>-5.8931860036832373E-2</v>
      </c>
      <c r="AO175" s="469">
        <f>AO174/AN174-1</f>
        <v>1.7612524461839474E-2</v>
      </c>
      <c r="AP175" s="474"/>
      <c r="AQ175" s="469">
        <f>AQ174/AO174-1</f>
        <v>-0.10769230769230775</v>
      </c>
      <c r="AR175" s="469">
        <f>AR174/AQ174-1</f>
        <v>2.1551724137931494E-3</v>
      </c>
      <c r="AS175" s="469">
        <f>AS174/AR174-1</f>
        <v>-9.2473118279569833E-2</v>
      </c>
      <c r="AT175" s="469">
        <f>AT174/AS174-1</f>
        <v>1.6587677725118377E-2</v>
      </c>
      <c r="AU175" s="472"/>
      <c r="AV175" s="469">
        <f>AV174/AT174-1</f>
        <v>8.6247086247086324E-2</v>
      </c>
      <c r="AW175" s="469">
        <f>AW174/AV174-1</f>
        <v>4.5064377682403567E-2</v>
      </c>
      <c r="AX175" s="469">
        <f>AX174/AW174-1</f>
        <v>6.9815195071868619E-2</v>
      </c>
      <c r="AY175" s="469">
        <f>AY174/AX174-1</f>
        <v>-9.2130518234165182E-2</v>
      </c>
      <c r="AZ175" s="472"/>
      <c r="BA175" s="469">
        <f>BA174/AY174-1</f>
        <v>-3.499999999999992E-2</v>
      </c>
      <c r="BB175" s="469">
        <f>BB174/BA174-1</f>
        <v>6.4238900634249418E-2</v>
      </c>
      <c r="BC175" s="469">
        <f>BC174/BB174-1</f>
        <v>5.4452129086087098E-2</v>
      </c>
      <c r="BD175" s="469">
        <f>BD174/BC174-1</f>
        <v>5.6734588743645675E-2</v>
      </c>
      <c r="BE175" s="472"/>
      <c r="BF175" s="469">
        <f>BF174/BD174-1</f>
        <v>-4.9999999999999933E-2</v>
      </c>
      <c r="BG175" s="469">
        <f>BG174/BF174-1</f>
        <v>-1.8142320059123529E-3</v>
      </c>
      <c r="BH175" s="469">
        <f>BH174/BG174-1</f>
        <v>2.4868720200430516E-3</v>
      </c>
      <c r="BI175" s="469">
        <f>BI174/BH174-1</f>
        <v>-2.0282271391074302E-2</v>
      </c>
      <c r="BJ175" s="472"/>
      <c r="BK175" s="469">
        <f>BK174/BI174-1</f>
        <v>-1.1542804084073377E-2</v>
      </c>
      <c r="BL175" s="469">
        <f>BL174/BK174-1</f>
        <v>2.5565226245360506E-2</v>
      </c>
      <c r="BM175" s="469">
        <f>BM174/BL174-1</f>
        <v>2.3426715488948702E-2</v>
      </c>
      <c r="BN175" s="469">
        <f>BN174/BM174-1</f>
        <v>1.6946225157781436E-2</v>
      </c>
      <c r="BO175" s="950"/>
      <c r="BP175" s="469">
        <f>BP174/BN174-1</f>
        <v>-1.2114826562565351E-2</v>
      </c>
      <c r="BQ175" s="469">
        <f>BQ174/BP174-1</f>
        <v>2.5700179731810158E-2</v>
      </c>
      <c r="BR175" s="469">
        <f>BR174/BQ174-1</f>
        <v>2.3016417659418753E-2</v>
      </c>
      <c r="BS175" s="469">
        <f>BS174/BR174-1</f>
        <v>1.7340051100300791E-2</v>
      </c>
      <c r="BT175" s="950"/>
      <c r="BU175" s="469">
        <f>BU174/BS174-1</f>
        <v>-1.2661128124102139E-2</v>
      </c>
      <c r="BV175" s="469">
        <f>BV174/BU174-1</f>
        <v>2.5829211036022759E-2</v>
      </c>
      <c r="BW175" s="469">
        <f>BW174/BV174-1</f>
        <v>2.2624225937249776E-2</v>
      </c>
      <c r="BX175" s="469">
        <f>BX174/BW174-1</f>
        <v>1.7716793237466222E-2</v>
      </c>
      <c r="BY175" s="950"/>
      <c r="BZ175" s="469">
        <f>BZ174/BX174-1</f>
        <v>-1.3183335937672291E-2</v>
      </c>
      <c r="CA175" s="469">
        <f>CA174/BZ174-1</f>
        <v>2.5952685174203127E-2</v>
      </c>
      <c r="CB175" s="469">
        <f>CB174/CA174-1</f>
        <v>2.2249017635706414E-2</v>
      </c>
      <c r="CC175" s="469">
        <f>CC174/CB174-1</f>
        <v>1.8077491553167624E-2</v>
      </c>
      <c r="CD175" s="950"/>
      <c r="CE175" s="469">
        <f>CE174/CC174-1</f>
        <v>-1.3682943023740846E-2</v>
      </c>
      <c r="CF175" s="469">
        <f>CF174/CE174-1</f>
        <v>2.607093783438974E-2</v>
      </c>
      <c r="CG175" s="469">
        <f>CG174/CF174-1</f>
        <v>2.1889760809295167E-2</v>
      </c>
      <c r="CH175" s="469">
        <f>CH174/CG174-1</f>
        <v>1.8423103490263326E-2</v>
      </c>
      <c r="CI175" s="950"/>
      <c r="CJ175" s="469">
        <f>CJ174/CH174-1</f>
        <v>-1.4161321803987881E-2</v>
      </c>
      <c r="CK175" s="469">
        <f>CK174/CJ174-1</f>
        <v>2.6184278265044103E-2</v>
      </c>
      <c r="CL175" s="469">
        <f>CL174/CK174-1</f>
        <v>2.1545505264482845E-2</v>
      </c>
      <c r="CM175" s="469">
        <f>CM174/CL174-1</f>
        <v>1.8754511983109179E-2</v>
      </c>
      <c r="CN175" s="950"/>
      <c r="CO175" s="469">
        <f>CO174/CM174-1</f>
        <v>-1.4619736041184384E-2</v>
      </c>
      <c r="CP175" s="469">
        <f>CP174/CO174-1</f>
        <v>2.6292991828815948E-2</v>
      </c>
      <c r="CQ175" s="469">
        <f>CQ174/CP174-1</f>
        <v>2.1215374618329452E-2</v>
      </c>
      <c r="CR175" s="469">
        <f>CR174/CQ174-1</f>
        <v>1.9072532569921252E-2</v>
      </c>
      <c r="CS175" s="950"/>
      <c r="CT175" s="469">
        <f>CT174/CR174-1</f>
        <v>-1.50593513880245E-2</v>
      </c>
      <c r="CU175" s="469">
        <f>CU174/CT174-1</f>
        <v>2.6397342265907398E-2</v>
      </c>
      <c r="CV175" s="469">
        <f>CV174/CU174-1</f>
        <v>2.0898559265228434E-2</v>
      </c>
      <c r="CW175" s="469">
        <f>CW174/CV174-1</f>
        <v>1.9377919705649393E-2</v>
      </c>
      <c r="CX175" s="950"/>
      <c r="CY175" s="475"/>
      <c r="DA175" s="126"/>
      <c r="DB175" s="469"/>
      <c r="DC175" s="469"/>
    </row>
    <row r="176" spans="1:107" ht="11.25" hidden="1" customHeight="1" outlineLevel="1">
      <c r="A176" s="489" t="s">
        <v>77</v>
      </c>
      <c r="B176" s="469"/>
      <c r="C176" s="470"/>
      <c r="D176" s="469"/>
      <c r="E176" s="469"/>
      <c r="F176" s="471"/>
      <c r="G176" s="472"/>
      <c r="H176" s="470"/>
      <c r="I176" s="469"/>
      <c r="J176" s="469"/>
      <c r="K176" s="471"/>
      <c r="L176" s="470"/>
      <c r="M176" s="470"/>
      <c r="N176" s="469"/>
      <c r="O176" s="469"/>
      <c r="P176" s="471"/>
      <c r="Q176" s="472"/>
      <c r="R176" s="469"/>
      <c r="S176" s="469"/>
      <c r="T176" s="469"/>
      <c r="U176" s="469"/>
      <c r="V176" s="473"/>
      <c r="W176" s="469"/>
      <c r="X176" s="469"/>
      <c r="Y176" s="469"/>
      <c r="Z176" s="469"/>
      <c r="AA176" s="472"/>
      <c r="AB176" s="469" t="s">
        <v>31</v>
      </c>
      <c r="AC176" s="469" t="s">
        <v>31</v>
      </c>
      <c r="AD176" s="469" t="s">
        <v>31</v>
      </c>
      <c r="AE176" s="469" t="s">
        <v>31</v>
      </c>
      <c r="AF176" s="472" t="s">
        <v>31</v>
      </c>
      <c r="AG176" s="469">
        <f>AG174/AB174-1</f>
        <v>0.19574468085106389</v>
      </c>
      <c r="AH176" s="469">
        <f>AH174/AC174-1</f>
        <v>-8.2397003745318331E-2</v>
      </c>
      <c r="AI176" s="469">
        <f>AI174/AD174-1</f>
        <v>-0.10114503816793885</v>
      </c>
      <c r="AJ176" s="469">
        <f>AJ174/AE174-1</f>
        <v>-0.15127388535031849</v>
      </c>
      <c r="AK176" s="472">
        <f>+AK174/AF174-1</f>
        <v>-4.6382189239332128E-2</v>
      </c>
      <c r="AL176" s="469">
        <f>AL174/AG174-1</f>
        <v>-4.0925266903914626E-2</v>
      </c>
      <c r="AM176" s="469">
        <f>AM174/AH174-1</f>
        <v>0.10816326530612241</v>
      </c>
      <c r="AN176" s="469">
        <f>AN174/AI174-1</f>
        <v>8.4925690021231404E-2</v>
      </c>
      <c r="AO176" s="469">
        <f>AO174/AJ174-1</f>
        <v>-2.4390243902438935E-2</v>
      </c>
      <c r="AP176" s="472">
        <f>+AP174/AK174-1</f>
        <v>2.7723735408560213E-2</v>
      </c>
      <c r="AQ176" s="469">
        <f>AQ174/AL174-1</f>
        <v>-0.13914656771799627</v>
      </c>
      <c r="AR176" s="469">
        <f>AR174/AM174-1</f>
        <v>-0.14364640883977897</v>
      </c>
      <c r="AS176" s="469">
        <f>AS174/AN174-1</f>
        <v>-0.17416829745596862</v>
      </c>
      <c r="AT176" s="469">
        <f>AT174/AO174-1</f>
        <v>-0.17500000000000004</v>
      </c>
      <c r="AU176" s="472">
        <f>+AU174/AP174-1</f>
        <v>-0.15759583530525301</v>
      </c>
      <c r="AV176" s="469">
        <f>AV174/AQ174-1</f>
        <v>4.3103448275862988E-3</v>
      </c>
      <c r="AW176" s="469">
        <f>AW174/AR174-1</f>
        <v>4.7311827956989294E-2</v>
      </c>
      <c r="AX176" s="469">
        <f>AX174/AS174-1</f>
        <v>0.23459715639810419</v>
      </c>
      <c r="AY176" s="469">
        <f>AY174/AT174-1</f>
        <v>0.10256410256410264</v>
      </c>
      <c r="AZ176" s="472">
        <f>+AZ174/AU174-1</f>
        <v>9.3820224719100898E-2</v>
      </c>
      <c r="BA176" s="475">
        <f>BA174/AV174-1</f>
        <v>-2.0504291845493627E-2</v>
      </c>
      <c r="BB176" s="475">
        <f>BB174/AW174-1</f>
        <v>-2.532802874743334E-3</v>
      </c>
      <c r="BC176" s="469">
        <f>BC174/AX174-1</f>
        <v>-1.6856916458733329E-2</v>
      </c>
      <c r="BD176" s="469">
        <f>BD174/AY174-1</f>
        <v>0.14435094793736791</v>
      </c>
      <c r="BE176" s="472">
        <f>+BE174/AZ174-1</f>
        <v>2.501647144292507E-2</v>
      </c>
      <c r="BF176" s="469">
        <f>BF174/BA174-1</f>
        <v>0.12656310936839321</v>
      </c>
      <c r="BG176" s="475">
        <f>BG174/BB174-1</f>
        <v>5.664175764344126E-2</v>
      </c>
      <c r="BH176" s="475">
        <f>BH174/BC174-1</f>
        <v>4.5685918277031945E-3</v>
      </c>
      <c r="BI176" s="469">
        <f>BI174/BD174-1</f>
        <v>-6.8646309583360487E-2</v>
      </c>
      <c r="BJ176" s="472">
        <f>+BJ174/BE174-1</f>
        <v>2.5287851532509231E-2</v>
      </c>
      <c r="BK176" s="475">
        <f>BK174/BF174-1</f>
        <v>-3.0943939752440586E-2</v>
      </c>
      <c r="BL176" s="475">
        <f>BL174/BG174-1</f>
        <v>-4.3634866990884813E-3</v>
      </c>
      <c r="BM176" s="475">
        <f>BM174/BH174-1</f>
        <v>1.6433267176039656E-2</v>
      </c>
      <c r="BN176" s="475">
        <f>BN174/BI174-1</f>
        <v>5.5056925066699458E-2</v>
      </c>
      <c r="BO176" s="950">
        <f>+BO174/BJ174-1</f>
        <v>8.8260931703507683E-3</v>
      </c>
      <c r="BP176" s="475">
        <f>BP174/BK174-1</f>
        <v>5.4446361170032764E-2</v>
      </c>
      <c r="BQ176" s="475">
        <f>BQ174/BL174-1</f>
        <v>5.4585115106956961E-2</v>
      </c>
      <c r="BR176" s="475">
        <f>BR174/BM174-1</f>
        <v>5.4162325690544133E-2</v>
      </c>
      <c r="BS176" s="475">
        <f>BS174/BN174-1</f>
        <v>5.4570564062655702E-2</v>
      </c>
      <c r="BT176" s="950">
        <f>+BT174/BO174-1</f>
        <v>5.4440749034258662E-2</v>
      </c>
      <c r="BU176" s="475">
        <f>BU174/BP174-1</f>
        <v>5.398738540850756E-2</v>
      </c>
      <c r="BV176" s="475">
        <f>BV174/BQ174-1</f>
        <v>5.4119975194148795E-2</v>
      </c>
      <c r="BW176" s="475">
        <f>BW174/BR174-1</f>
        <v>5.3715859364424245E-2</v>
      </c>
      <c r="BX176" s="475">
        <f>BX174/BS174-1</f>
        <v>5.41060722184179E-2</v>
      </c>
      <c r="BY176" s="950">
        <f>+BY174/BT174-1</f>
        <v>5.398202185793699E-2</v>
      </c>
      <c r="BZ176" s="475">
        <f>BZ174/BU174-1</f>
        <v>5.3548550942872142E-2</v>
      </c>
      <c r="CA176" s="475">
        <f>CA174/BV174-1</f>
        <v>5.3675361524945009E-2</v>
      </c>
      <c r="CB176" s="475">
        <f>CB174/BW174-1</f>
        <v>5.3288760334841978E-2</v>
      </c>
      <c r="CC176" s="475">
        <f>CC174/BX174-1</f>
        <v>5.3662066036707534E-2</v>
      </c>
      <c r="CD176" s="950">
        <f>+CD174/BY174-1</f>
        <v>5.3543420502465633E-2</v>
      </c>
      <c r="CE176" s="475">
        <f>CE174/BZ174-1</f>
        <v>5.3128616355845315E-2</v>
      </c>
      <c r="CF176" s="475">
        <f>CF174/CA174-1</f>
        <v>5.3250001349717246E-2</v>
      </c>
      <c r="CG176" s="475">
        <f>CG174/CB174-1</f>
        <v>5.2879849609412721E-2</v>
      </c>
      <c r="CH176" s="475">
        <f>CH174/CC174-1</f>
        <v>5.3237276079766582E-2</v>
      </c>
      <c r="CI176" s="950">
        <f>+CI174/CD174-1</f>
        <v>5.3123704806205208E-2</v>
      </c>
      <c r="CJ176" s="475">
        <f>CJ174/CE174-1</f>
        <v>5.2726439975008699E-2</v>
      </c>
      <c r="CK176" s="475">
        <f>CK174/CF174-1</f>
        <v>5.2842724788922046E-2</v>
      </c>
      <c r="CL176" s="475">
        <f>CL174/CG174-1</f>
        <v>5.2488041769555238E-2</v>
      </c>
      <c r="CM176" s="475">
        <f>CM174/CH174-1</f>
        <v>5.2830535448720406E-2</v>
      </c>
      <c r="CN176" s="950">
        <f>+CN174/CI174-1</f>
        <v>5.2721734227519912E-2</v>
      </c>
      <c r="CO176" s="475">
        <f>CO174/CJ174-1</f>
        <v>5.2340970048742497E-2</v>
      </c>
      <c r="CP176" s="475">
        <f>CP174/CK174-1</f>
        <v>5.2452454642280211E-2</v>
      </c>
      <c r="CQ176" s="475">
        <f>CQ174/CL174-1</f>
        <v>5.2112335864304749E-2</v>
      </c>
      <c r="CR176" s="475">
        <f>CR174/CM174-1</f>
        <v>5.2440769631721951E-2</v>
      </c>
      <c r="CS176" s="950">
        <f>+CS174/CN174-1</f>
        <v>5.2336458035320721E-2</v>
      </c>
      <c r="CT176" s="475">
        <f>CT174/CO174-1</f>
        <v>5.1971236060883497E-2</v>
      </c>
      <c r="CU176" s="475">
        <f>CU174/CP174-1</f>
        <v>5.207819738592856E-2</v>
      </c>
      <c r="CV176" s="475">
        <f>CV174/CQ174-1</f>
        <v>5.1751807347275358E-2</v>
      </c>
      <c r="CW176" s="475">
        <f>CW174/CR174-1</f>
        <v>5.2066987534825637E-2</v>
      </c>
      <c r="CX176" s="950">
        <f>+CX174/CS174-1</f>
        <v>5.1966906636377486E-2</v>
      </c>
      <c r="CY176" s="475"/>
      <c r="DA176" s="126"/>
      <c r="DB176" s="469"/>
      <c r="DC176" s="469"/>
    </row>
    <row r="177" spans="1:107" ht="11.25" hidden="1" customHeight="1" outlineLevel="1">
      <c r="A177" s="489"/>
      <c r="B177" s="469"/>
      <c r="C177" s="470"/>
      <c r="D177" s="469"/>
      <c r="E177" s="469"/>
      <c r="F177" s="471"/>
      <c r="G177" s="472"/>
      <c r="H177" s="470"/>
      <c r="I177" s="469"/>
      <c r="J177" s="469"/>
      <c r="K177" s="471"/>
      <c r="L177" s="470"/>
      <c r="M177" s="470"/>
      <c r="N177" s="469"/>
      <c r="O177" s="469"/>
      <c r="P177" s="471"/>
      <c r="Q177" s="472"/>
      <c r="R177" s="469"/>
      <c r="S177" s="469"/>
      <c r="T177" s="469"/>
      <c r="U177" s="469"/>
      <c r="V177" s="473"/>
      <c r="W177" s="469"/>
      <c r="X177" s="469"/>
      <c r="Y177" s="469"/>
      <c r="Z177" s="469"/>
      <c r="AA177" s="472"/>
      <c r="AB177" s="469"/>
      <c r="AC177" s="469"/>
      <c r="AD177" s="469"/>
      <c r="AE177" s="469"/>
      <c r="AF177" s="472"/>
      <c r="AG177" s="469"/>
      <c r="AH177" s="469"/>
      <c r="AI177" s="469"/>
      <c r="AJ177" s="469"/>
      <c r="AK177" s="472"/>
      <c r="AL177" s="469"/>
      <c r="AM177" s="469"/>
      <c r="AN177" s="469"/>
      <c r="AO177" s="469"/>
      <c r="AP177" s="472"/>
      <c r="AQ177" s="469"/>
      <c r="AR177" s="469"/>
      <c r="AS177" s="469"/>
      <c r="AT177" s="469"/>
      <c r="AU177" s="472"/>
      <c r="AV177" s="469"/>
      <c r="AW177" s="469"/>
      <c r="AX177" s="469"/>
      <c r="AY177" s="469"/>
      <c r="AZ177" s="472"/>
      <c r="BA177" s="475"/>
      <c r="BB177" s="475"/>
      <c r="BC177" s="469"/>
      <c r="BD177" s="469"/>
      <c r="BE177" s="472"/>
      <c r="BF177" s="469"/>
      <c r="BG177" s="475"/>
      <c r="BH177" s="475"/>
      <c r="BI177" s="469"/>
      <c r="BJ177" s="472"/>
      <c r="BK177" s="475"/>
      <c r="BL177" s="475"/>
      <c r="BM177" s="475"/>
      <c r="BN177" s="475"/>
      <c r="BO177" s="950"/>
      <c r="BP177" s="475"/>
      <c r="BQ177" s="475"/>
      <c r="BR177" s="475"/>
      <c r="BS177" s="475"/>
      <c r="BT177" s="950"/>
      <c r="BU177" s="475"/>
      <c r="BV177" s="475"/>
      <c r="BW177" s="475"/>
      <c r="BX177" s="475"/>
      <c r="BY177" s="950"/>
      <c r="BZ177" s="475"/>
      <c r="CA177" s="475"/>
      <c r="CB177" s="475"/>
      <c r="CC177" s="475"/>
      <c r="CD177" s="950"/>
      <c r="CE177" s="475"/>
      <c r="CF177" s="475"/>
      <c r="CG177" s="475"/>
      <c r="CH177" s="475"/>
      <c r="CI177" s="950"/>
      <c r="CJ177" s="475"/>
      <c r="CK177" s="475"/>
      <c r="CL177" s="475"/>
      <c r="CM177" s="475"/>
      <c r="CN177" s="950"/>
      <c r="CO177" s="475"/>
      <c r="CP177" s="475"/>
      <c r="CQ177" s="475"/>
      <c r="CR177" s="475"/>
      <c r="CS177" s="950"/>
      <c r="CT177" s="475"/>
      <c r="CU177" s="475"/>
      <c r="CV177" s="475"/>
      <c r="CW177" s="475"/>
      <c r="CX177" s="950"/>
      <c r="CY177" s="475"/>
      <c r="DA177" s="126"/>
      <c r="DB177" s="469"/>
      <c r="DC177" s="469"/>
    </row>
    <row r="178" spans="1:107" ht="11.25" hidden="1" customHeight="1" outlineLevel="1">
      <c r="A178" s="457" t="s">
        <v>743</v>
      </c>
      <c r="B178" s="469"/>
      <c r="C178" s="470"/>
      <c r="D178" s="469"/>
      <c r="E178" s="469"/>
      <c r="F178" s="471"/>
      <c r="G178" s="472"/>
      <c r="H178" s="470"/>
      <c r="I178" s="469"/>
      <c r="J178" s="469"/>
      <c r="K178" s="471"/>
      <c r="L178" s="470"/>
      <c r="M178" s="470"/>
      <c r="N178" s="469"/>
      <c r="O178" s="469"/>
      <c r="P178" s="471"/>
      <c r="Q178" s="472"/>
      <c r="R178" s="469"/>
      <c r="S178" s="469"/>
      <c r="T178" s="469"/>
      <c r="U178" s="469"/>
      <c r="V178" s="473"/>
      <c r="W178" s="469"/>
      <c r="X178" s="469"/>
      <c r="Y178" s="469"/>
      <c r="Z178" s="469"/>
      <c r="AA178" s="472"/>
      <c r="AB178" s="469"/>
      <c r="AC178" s="469"/>
      <c r="AD178" s="469"/>
      <c r="AE178" s="469"/>
      <c r="AF178" s="472"/>
      <c r="AG178" s="469"/>
      <c r="AH178" s="469"/>
      <c r="AI178" s="469"/>
      <c r="AJ178" s="469"/>
      <c r="AK178" s="472"/>
      <c r="AL178" s="469"/>
      <c r="AM178" s="469"/>
      <c r="AN178" s="469"/>
      <c r="AO178" s="469"/>
      <c r="AP178" s="472"/>
      <c r="AQ178" s="469"/>
      <c r="AR178" s="469"/>
      <c r="AS178" s="469"/>
      <c r="AT178" s="458">
        <v>26.3</v>
      </c>
      <c r="AU178" s="1134">
        <f>SUM(AQ178:AT178)</f>
        <v>26.3</v>
      </c>
      <c r="AV178" s="458">
        <v>87.7</v>
      </c>
      <c r="AW178" s="458">
        <v>83.5</v>
      </c>
      <c r="AX178" s="458">
        <v>91</v>
      </c>
      <c r="AY178" s="458">
        <v>98.4</v>
      </c>
      <c r="AZ178" s="1134">
        <f>SUM(AV178:AY178)</f>
        <v>360.6</v>
      </c>
      <c r="BA178" s="466">
        <f>AY178*(1+BA179)</f>
        <v>110.20800000000001</v>
      </c>
      <c r="BB178" s="466">
        <f>BA178*(1+BB179)</f>
        <v>105.57926400000001</v>
      </c>
      <c r="BC178" s="458">
        <f>BB178*(1+BC179)</f>
        <v>107.374111488</v>
      </c>
      <c r="BD178" s="458">
        <f>BC178*(1+BD179)</f>
        <v>110.810083055616</v>
      </c>
      <c r="BE178" s="1134">
        <f>SUM(BA178:BD178)</f>
        <v>433.97145854361605</v>
      </c>
      <c r="BF178" s="458">
        <f>BD178*(1+BF179)</f>
        <v>123.41027890881729</v>
      </c>
      <c r="BG178" s="466">
        <f>BF178*(1+BG179)</f>
        <v>117.69480259917054</v>
      </c>
      <c r="BH178" s="466">
        <f>BG178*(1+BH179)</f>
        <v>120.6371726641498</v>
      </c>
      <c r="BI178" s="458">
        <f>BH178*(1+BI179)</f>
        <v>126.54839412469313</v>
      </c>
      <c r="BJ178" s="1134">
        <f>SUM(BF178:BI178)</f>
        <v>488.2906482968308</v>
      </c>
      <c r="BK178" s="466">
        <f>BI178*(1+BK179)</f>
        <v>139.67270673362961</v>
      </c>
      <c r="BL178" s="466">
        <f>BK178*(1+BL179)</f>
        <v>131.80734469116189</v>
      </c>
      <c r="BM178" s="466">
        <f>BL178*(1+BM179)</f>
        <v>133.7844548615293</v>
      </c>
      <c r="BN178" s="466">
        <f>BM178*(1+BN179)</f>
        <v>139.00204860112893</v>
      </c>
      <c r="BO178" s="951">
        <f>SUM(BK178:BN178)</f>
        <v>544.26655488744973</v>
      </c>
      <c r="BP178" s="466">
        <f>BN178*(1+BP179)</f>
        <v>152.02790712916689</v>
      </c>
      <c r="BQ178" s="466">
        <f>BP178*(1+BQ179)</f>
        <v>141.94651001202834</v>
      </c>
      <c r="BR178" s="466">
        <f>BQ178*(1+BR179)</f>
        <v>142.65624256208847</v>
      </c>
      <c r="BS178" s="466">
        <f>BR178*(1+BS179)</f>
        <v>146.79327359638901</v>
      </c>
      <c r="BT178" s="951">
        <f>SUM(BP178:BS178)</f>
        <v>583.42393329967263</v>
      </c>
      <c r="BU178" s="466">
        <f>BS178*(1+BU179)</f>
        <v>159.08131376857264</v>
      </c>
      <c r="BV178" s="466">
        <f>BU178*(1+BV179)</f>
        <v>146.94137232739391</v>
      </c>
      <c r="BW178" s="466">
        <f>BV178*(1+BW179)</f>
        <v>146.20666546575694</v>
      </c>
      <c r="BX178" s="466">
        <f>BW178*(1+BX179)</f>
        <v>148.9845921096063</v>
      </c>
      <c r="BY178" s="951">
        <f>SUM(BU178:BX178)</f>
        <v>601.21394367132984</v>
      </c>
      <c r="BZ178" s="466">
        <f>BX178*(1+BZ179)</f>
        <v>159.96622126381143</v>
      </c>
      <c r="CA178" s="466">
        <f>BZ178*(1+CA179)</f>
        <v>146.15908783595282</v>
      </c>
      <c r="CB178" s="466">
        <f>CA178*(1+CB179)</f>
        <v>143.96670151841352</v>
      </c>
      <c r="CC178" s="466">
        <f>CB178*(1+CC179)</f>
        <v>145.26240183207923</v>
      </c>
      <c r="CD178" s="951">
        <f>SUM(BZ178:CC178)</f>
        <v>595.35441245025697</v>
      </c>
      <c r="CE178" s="466">
        <f>CC178*(1+CE179)</f>
        <v>154.51704495045294</v>
      </c>
      <c r="CF178" s="466">
        <f>CE178*(1+CF179)</f>
        <v>139.63507477126717</v>
      </c>
      <c r="CG178" s="466">
        <f>CF178*(1+CG179)</f>
        <v>136.14419790198548</v>
      </c>
      <c r="CH178" s="466">
        <f>CG178*(1+CH179)</f>
        <v>136.00805370408349</v>
      </c>
      <c r="CI178" s="951">
        <f>SUM(CE178:CH178)</f>
        <v>566.30437132778911</v>
      </c>
      <c r="CJ178" s="466">
        <f>CH178*(1+CJ179)</f>
        <v>143.31302332717246</v>
      </c>
      <c r="CK178" s="466">
        <f>CJ178*(1+CK179)</f>
        <v>128.07701367611335</v>
      </c>
      <c r="CL178" s="466">
        <f>CK178*(1+CL179)</f>
        <v>123.59431819744938</v>
      </c>
      <c r="CM178" s="466">
        <f>CL178*(1+CM179)</f>
        <v>122.23478069727744</v>
      </c>
      <c r="CN178" s="951">
        <f>SUM(CJ178:CM178)</f>
        <v>517.21913589801261</v>
      </c>
      <c r="CO178" s="466">
        <f>CM178*(1+CO179)</f>
        <v>127.57764234342504</v>
      </c>
      <c r="CP178" s="466">
        <f>CO178*(1+CP179)</f>
        <v>112.73872877532037</v>
      </c>
      <c r="CQ178" s="466">
        <f>CP178*(1+CQ179)</f>
        <v>107.66548598043094</v>
      </c>
      <c r="CR178" s="466">
        <f>CQ178*(1+CR179)</f>
        <v>105.4045107748419</v>
      </c>
      <c r="CS178" s="951">
        <f>SUM(CO178:CR178)</f>
        <v>453.38636787401822</v>
      </c>
      <c r="CT178" s="466">
        <f>CR178*(1+CT179)</f>
        <v>108.95767905380181</v>
      </c>
      <c r="CU178" s="466">
        <f>CT178*(1+CU179)</f>
        <v>95.194928873616348</v>
      </c>
      <c r="CV178" s="466">
        <f>CU178*(1+CV179)</f>
        <v>89.959207785567443</v>
      </c>
      <c r="CW178" s="466">
        <f>CV178*(1+CW179)</f>
        <v>87.170472344214843</v>
      </c>
      <c r="CX178" s="951">
        <f>SUM(CT178:CW178)</f>
        <v>381.28228805720045</v>
      </c>
      <c r="CY178" s="466"/>
      <c r="DA178" s="126"/>
      <c r="DB178" s="469"/>
      <c r="DC178" s="469"/>
    </row>
    <row r="179" spans="1:107" hidden="1" outlineLevel="1">
      <c r="A179" s="468" t="s">
        <v>78</v>
      </c>
      <c r="B179" s="114"/>
      <c r="C179" s="116"/>
      <c r="D179" s="117"/>
      <c r="E179" s="117"/>
      <c r="F179" s="118"/>
      <c r="G179" s="119"/>
      <c r="H179" s="116"/>
      <c r="I179" s="117"/>
      <c r="J179" s="117"/>
      <c r="K179" s="118"/>
      <c r="L179" s="116"/>
      <c r="M179" s="116"/>
      <c r="N179" s="117"/>
      <c r="O179" s="117"/>
      <c r="P179" s="118"/>
      <c r="Q179" s="119"/>
      <c r="R179" s="117"/>
      <c r="S179" s="117"/>
      <c r="T179" s="117"/>
      <c r="U179" s="117"/>
      <c r="V179" s="494"/>
      <c r="W179" s="117"/>
      <c r="X179" s="117"/>
      <c r="Y179" s="117"/>
      <c r="Z179" s="117"/>
      <c r="AA179" s="119"/>
      <c r="AB179" s="469"/>
      <c r="AC179" s="469"/>
      <c r="AD179" s="469"/>
      <c r="AE179" s="469"/>
      <c r="AF179" s="119"/>
      <c r="AG179" s="469"/>
      <c r="AH179" s="469"/>
      <c r="AI179" s="469"/>
      <c r="AJ179" s="469"/>
      <c r="AK179" s="119"/>
      <c r="AL179" s="469"/>
      <c r="AM179" s="469"/>
      <c r="AN179" s="469"/>
      <c r="AO179" s="469"/>
      <c r="AP179" s="119"/>
      <c r="AQ179" s="469"/>
      <c r="AR179" s="469"/>
      <c r="AS179" s="469"/>
      <c r="AT179" s="469"/>
      <c r="AU179" s="120"/>
      <c r="AV179" s="469">
        <f>AV178/AT178-1</f>
        <v>2.334600760456274</v>
      </c>
      <c r="AW179" s="469">
        <f>AW178/AV178-1</f>
        <v>-4.7890535917901933E-2</v>
      </c>
      <c r="AX179" s="469">
        <f>AX178/AW178-1</f>
        <v>8.9820359281437057E-2</v>
      </c>
      <c r="AY179" s="469">
        <f>AY178/AX178-1</f>
        <v>8.1318681318681474E-2</v>
      </c>
      <c r="AZ179" s="120"/>
      <c r="BA179" s="475">
        <v>0.12</v>
      </c>
      <c r="BB179" s="475">
        <v>-4.2000000000000003E-2</v>
      </c>
      <c r="BC179" s="469">
        <v>1.7000000000000001E-2</v>
      </c>
      <c r="BD179" s="469">
        <v>3.2000000000000001E-2</v>
      </c>
      <c r="BE179" s="120"/>
      <c r="BF179" s="469">
        <v>0.11370983132353762</v>
      </c>
      <c r="BG179" s="475">
        <v>-4.6312806033520726E-2</v>
      </c>
      <c r="BH179" s="475">
        <v>2.5000000000000001E-2</v>
      </c>
      <c r="BI179" s="469">
        <v>4.9000000000000002E-2</v>
      </c>
      <c r="BJ179" s="120"/>
      <c r="BK179" s="475">
        <f>BF179-1%</f>
        <v>0.10370983132353763</v>
      </c>
      <c r="BL179" s="475">
        <f>BG179-1%</f>
        <v>-5.6312806033520728E-2</v>
      </c>
      <c r="BM179" s="475">
        <f>BH179-1%</f>
        <v>1.5000000000000001E-2</v>
      </c>
      <c r="BN179" s="475">
        <f>BI179-1%</f>
        <v>3.9E-2</v>
      </c>
      <c r="BO179" s="1226"/>
      <c r="BP179" s="475">
        <f>BK179-1%</f>
        <v>9.3709831323537635E-2</v>
      </c>
      <c r="BQ179" s="475">
        <f>BL179-1%</f>
        <v>-6.631280603352073E-2</v>
      </c>
      <c r="BR179" s="475">
        <f>BM179-1%</f>
        <v>5.000000000000001E-3</v>
      </c>
      <c r="BS179" s="475">
        <f>BN179-1%</f>
        <v>2.8999999999999998E-2</v>
      </c>
      <c r="BT179" s="1226"/>
      <c r="BU179" s="475">
        <f>BP179-1%</f>
        <v>8.370983132353764E-2</v>
      </c>
      <c r="BV179" s="475">
        <f>BQ179-1%</f>
        <v>-7.6312806033520725E-2</v>
      </c>
      <c r="BW179" s="475">
        <f>BR179-1%</f>
        <v>-4.9999999999999992E-3</v>
      </c>
      <c r="BX179" s="475">
        <f>BS179-1%</f>
        <v>1.8999999999999996E-2</v>
      </c>
      <c r="BY179" s="1226"/>
      <c r="BZ179" s="475">
        <f>BU179-1%</f>
        <v>7.3709831323537645E-2</v>
      </c>
      <c r="CA179" s="475">
        <f>BV179-1%</f>
        <v>-8.631280603352072E-2</v>
      </c>
      <c r="CB179" s="475">
        <f>BW179-1%</f>
        <v>-1.4999999999999999E-2</v>
      </c>
      <c r="CC179" s="475">
        <f>BX179-1%</f>
        <v>8.9999999999999959E-3</v>
      </c>
      <c r="CD179" s="1226"/>
      <c r="CE179" s="475">
        <f>BZ179-1%</f>
        <v>6.370983132353765E-2</v>
      </c>
      <c r="CF179" s="475">
        <f>CA179-1%</f>
        <v>-9.6312806033520715E-2</v>
      </c>
      <c r="CG179" s="475">
        <f>CB179-1%</f>
        <v>-2.5000000000000001E-2</v>
      </c>
      <c r="CH179" s="475">
        <f>CC179-1%</f>
        <v>-1.0000000000000044E-3</v>
      </c>
      <c r="CI179" s="1226"/>
      <c r="CJ179" s="475">
        <f>CE179-1%</f>
        <v>5.3709831323537648E-2</v>
      </c>
      <c r="CK179" s="475">
        <f>CF179-1%</f>
        <v>-0.10631280603352071</v>
      </c>
      <c r="CL179" s="475">
        <f>CG179-1%</f>
        <v>-3.5000000000000003E-2</v>
      </c>
      <c r="CM179" s="475">
        <f>CH179-1%</f>
        <v>-1.1000000000000005E-2</v>
      </c>
      <c r="CN179" s="1226"/>
      <c r="CO179" s="475">
        <f>CJ179-1%</f>
        <v>4.3709831323537646E-2</v>
      </c>
      <c r="CP179" s="475">
        <f>CK179-1%</f>
        <v>-0.1163128060335207</v>
      </c>
      <c r="CQ179" s="475">
        <f>CL179-1%</f>
        <v>-4.5000000000000005E-2</v>
      </c>
      <c r="CR179" s="475">
        <f>CM179-1%</f>
        <v>-2.1000000000000005E-2</v>
      </c>
      <c r="CS179" s="1226"/>
      <c r="CT179" s="475">
        <f>CO179-1%</f>
        <v>3.3709831323537644E-2</v>
      </c>
      <c r="CU179" s="475">
        <f>CP179-1%</f>
        <v>-0.12631280603352071</v>
      </c>
      <c r="CV179" s="475">
        <f>CQ179-1%</f>
        <v>-5.5000000000000007E-2</v>
      </c>
      <c r="CW179" s="475">
        <f>CR179-1%</f>
        <v>-3.1000000000000007E-2</v>
      </c>
      <c r="CX179" s="1226"/>
      <c r="CY179" s="1727"/>
      <c r="DA179" s="126"/>
      <c r="DB179" s="117"/>
      <c r="DC179" s="117"/>
    </row>
    <row r="180" spans="1:107" hidden="1" outlineLevel="1">
      <c r="A180" s="468" t="s">
        <v>77</v>
      </c>
      <c r="B180" s="114"/>
      <c r="C180" s="116"/>
      <c r="D180" s="117"/>
      <c r="E180" s="117"/>
      <c r="F180" s="118"/>
      <c r="G180" s="119"/>
      <c r="H180" s="116"/>
      <c r="I180" s="117"/>
      <c r="J180" s="117"/>
      <c r="K180" s="118"/>
      <c r="L180" s="116"/>
      <c r="M180" s="116"/>
      <c r="N180" s="117"/>
      <c r="O180" s="117"/>
      <c r="P180" s="118"/>
      <c r="Q180" s="119"/>
      <c r="R180" s="117"/>
      <c r="S180" s="117"/>
      <c r="T180" s="117"/>
      <c r="U180" s="117"/>
      <c r="V180" s="494"/>
      <c r="W180" s="117"/>
      <c r="X180" s="117"/>
      <c r="Y180" s="117"/>
      <c r="Z180" s="117"/>
      <c r="AA180" s="119"/>
      <c r="AB180" s="469"/>
      <c r="AC180" s="469"/>
      <c r="AD180" s="469"/>
      <c r="AE180" s="469"/>
      <c r="AF180" s="472"/>
      <c r="AG180" s="469"/>
      <c r="AH180" s="469"/>
      <c r="AI180" s="469"/>
      <c r="AJ180" s="469"/>
      <c r="AK180" s="472"/>
      <c r="AL180" s="469"/>
      <c r="AM180" s="469"/>
      <c r="AN180" s="469"/>
      <c r="AO180" s="469"/>
      <c r="AP180" s="472"/>
      <c r="AQ180" s="469"/>
      <c r="AR180" s="469"/>
      <c r="AS180" s="469"/>
      <c r="AT180" s="469"/>
      <c r="AU180" s="472"/>
      <c r="AV180" s="469"/>
      <c r="AW180" s="469"/>
      <c r="AX180" s="469"/>
      <c r="AY180" s="469">
        <f t="shared" ref="AY180:BE180" si="208">AY178/AT178-1</f>
        <v>2.7414448669201521</v>
      </c>
      <c r="AZ180" s="472">
        <f t="shared" si="208"/>
        <v>12.711026615969581</v>
      </c>
      <c r="BA180" s="475">
        <f t="shared" si="208"/>
        <v>0.256647662485747</v>
      </c>
      <c r="BB180" s="475">
        <f t="shared" si="208"/>
        <v>0.26442232335329363</v>
      </c>
      <c r="BC180" s="469">
        <f t="shared" si="208"/>
        <v>0.17993529107692297</v>
      </c>
      <c r="BD180" s="469">
        <f t="shared" si="208"/>
        <v>0.12611873023999998</v>
      </c>
      <c r="BE180" s="472">
        <f t="shared" si="208"/>
        <v>0.20347048958296177</v>
      </c>
      <c r="BF180" s="469">
        <f t="shared" ref="BF180:BO180" si="209">BF178/BA178-1</f>
        <v>0.11979419741595243</v>
      </c>
      <c r="BG180" s="475">
        <f t="shared" si="209"/>
        <v>0.1147530124776257</v>
      </c>
      <c r="BH180" s="475">
        <f t="shared" si="209"/>
        <v>0.12352196439485397</v>
      </c>
      <c r="BI180" s="469">
        <f t="shared" si="209"/>
        <v>0.14202959365329604</v>
      </c>
      <c r="BJ180" s="472">
        <f t="shared" si="209"/>
        <v>0.12516765488566217</v>
      </c>
      <c r="BK180" s="475">
        <f t="shared" si="209"/>
        <v>0.13177531052196989</v>
      </c>
      <c r="BL180" s="475">
        <f t="shared" si="209"/>
        <v>0.11990794648812142</v>
      </c>
      <c r="BM180" s="475">
        <f t="shared" si="209"/>
        <v>0.10898201530287133</v>
      </c>
      <c r="BN180" s="475">
        <f t="shared" si="209"/>
        <v>9.8410213441070704E-2</v>
      </c>
      <c r="BO180" s="950">
        <f t="shared" si="209"/>
        <v>0.11463645020821955</v>
      </c>
      <c r="BP180" s="475">
        <f t="shared" ref="BP180:BY180" si="210">BP178/BK178-1</f>
        <v>8.8458229846579473E-2</v>
      </c>
      <c r="BQ180" s="475">
        <f t="shared" si="210"/>
        <v>7.6924130021916115E-2</v>
      </c>
      <c r="BR180" s="475">
        <f t="shared" si="210"/>
        <v>6.63140400709612E-2</v>
      </c>
      <c r="BS180" s="475">
        <f t="shared" si="210"/>
        <v>5.6051152293569828E-2</v>
      </c>
      <c r="BT180" s="950">
        <f t="shared" si="210"/>
        <v>7.1945222539570475E-2</v>
      </c>
      <c r="BU180" s="475">
        <f t="shared" si="210"/>
        <v>4.6395472861525233E-2</v>
      </c>
      <c r="BV180" s="475">
        <f t="shared" si="210"/>
        <v>3.5188341826384528E-2</v>
      </c>
      <c r="BW180" s="475">
        <f t="shared" si="210"/>
        <v>2.4887960315674418E-2</v>
      </c>
      <c r="BX180" s="475">
        <f t="shared" si="210"/>
        <v>1.4927921828641555E-2</v>
      </c>
      <c r="BY180" s="950">
        <f t="shared" si="210"/>
        <v>3.0492424729719581E-2</v>
      </c>
      <c r="BZ180" s="475">
        <f t="shared" ref="BZ180:CN180" si="211">BZ178/BU178-1</f>
        <v>5.5626111846558413E-3</v>
      </c>
      <c r="CA180" s="475">
        <f t="shared" si="211"/>
        <v>-5.3237864806251478E-3</v>
      </c>
      <c r="CB180" s="475">
        <f t="shared" si="211"/>
        <v>-1.5320532345141635E-2</v>
      </c>
      <c r="CC180" s="475">
        <f t="shared" si="211"/>
        <v>-2.4983726335866208E-2</v>
      </c>
      <c r="CD180" s="950">
        <f t="shared" si="211"/>
        <v>-9.7461665398035358E-3</v>
      </c>
      <c r="CE180" s="475">
        <f t="shared" si="211"/>
        <v>-3.4064543566181271E-2</v>
      </c>
      <c r="CF180" s="475">
        <f t="shared" si="211"/>
        <v>-4.4636383281264846E-2</v>
      </c>
      <c r="CG180" s="475">
        <f t="shared" si="211"/>
        <v>-5.4335506293637814E-2</v>
      </c>
      <c r="CH180" s="475">
        <f t="shared" si="211"/>
        <v>-6.3707800582105234E-2</v>
      </c>
      <c r="CI180" s="950">
        <f t="shared" si="211"/>
        <v>-4.8794534003550494E-2</v>
      </c>
      <c r="CJ180" s="475">
        <f t="shared" si="211"/>
        <v>-7.2509939773137244E-2</v>
      </c>
      <c r="CK180" s="475">
        <f t="shared" si="211"/>
        <v>-8.2773336957686294E-2</v>
      </c>
      <c r="CL180" s="475">
        <f t="shared" si="211"/>
        <v>-9.2180789911966321E-2</v>
      </c>
      <c r="CM180" s="475">
        <f t="shared" si="211"/>
        <v>-0.10126806929222698</v>
      </c>
      <c r="CN180" s="950">
        <f t="shared" si="211"/>
        <v>-8.6676419810584382E-2</v>
      </c>
      <c r="CO180" s="475">
        <f t="shared" ref="CO180:CX180" si="212">CO178/CJ178-1</f>
        <v>-0.10979728581836401</v>
      </c>
      <c r="CP180" s="475">
        <f t="shared" si="212"/>
        <v>-0.11975829589204112</v>
      </c>
      <c r="CQ180" s="475">
        <f t="shared" si="212"/>
        <v>-0.12887997158227915</v>
      </c>
      <c r="CR180" s="475">
        <f t="shared" si="212"/>
        <v>-0.13768806084838348</v>
      </c>
      <c r="CS180" s="950">
        <f t="shared" si="212"/>
        <v>-0.12341532552380508</v>
      </c>
      <c r="CT180" s="475">
        <f t="shared" si="212"/>
        <v>-0.14595005008401341</v>
      </c>
      <c r="CU180" s="475">
        <f t="shared" si="212"/>
        <v>-0.1556146684664812</v>
      </c>
      <c r="CV180" s="475">
        <f t="shared" si="212"/>
        <v>-0.16445639968672743</v>
      </c>
      <c r="CW180" s="475">
        <f t="shared" si="212"/>
        <v>-0.17299106363272621</v>
      </c>
      <c r="CX180" s="950">
        <f t="shared" si="212"/>
        <v>-0.15903451212025244</v>
      </c>
      <c r="CY180" s="475"/>
      <c r="DA180" s="126"/>
      <c r="DB180" s="117"/>
      <c r="DC180" s="117"/>
    </row>
    <row r="181" spans="1:107" ht="11.25" hidden="1" customHeight="1" outlineLevel="1">
      <c r="A181" s="489"/>
      <c r="B181" s="469"/>
      <c r="C181" s="470"/>
      <c r="D181" s="469"/>
      <c r="E181" s="469"/>
      <c r="F181" s="471"/>
      <c r="G181" s="472"/>
      <c r="H181" s="470"/>
      <c r="I181" s="469"/>
      <c r="J181" s="469"/>
      <c r="K181" s="471"/>
      <c r="L181" s="470"/>
      <c r="M181" s="470"/>
      <c r="N181" s="469"/>
      <c r="O181" s="469"/>
      <c r="P181" s="471"/>
      <c r="Q181" s="472"/>
      <c r="R181" s="469"/>
      <c r="S181" s="469"/>
      <c r="T181" s="469"/>
      <c r="U181" s="469"/>
      <c r="V181" s="473"/>
      <c r="W181" s="469"/>
      <c r="X181" s="469"/>
      <c r="Y181" s="469"/>
      <c r="Z181" s="469"/>
      <c r="AA181" s="472"/>
      <c r="AB181" s="469"/>
      <c r="AC181" s="469"/>
      <c r="AD181" s="469"/>
      <c r="AE181" s="469"/>
      <c r="AF181" s="472"/>
      <c r="AG181" s="469"/>
      <c r="AH181" s="469"/>
      <c r="AI181" s="469"/>
      <c r="AJ181" s="469"/>
      <c r="AK181" s="472"/>
      <c r="AL181" s="469"/>
      <c r="AM181" s="469"/>
      <c r="AN181" s="469"/>
      <c r="AO181" s="469"/>
      <c r="AP181" s="472"/>
      <c r="AQ181" s="469"/>
      <c r="AR181" s="469"/>
      <c r="AS181" s="469"/>
      <c r="AT181" s="469"/>
      <c r="AU181" s="472"/>
      <c r="AV181" s="469"/>
      <c r="AW181" s="469"/>
      <c r="AX181" s="469"/>
      <c r="AY181" s="469"/>
      <c r="AZ181" s="472"/>
      <c r="BA181" s="475"/>
      <c r="BB181" s="475"/>
      <c r="BC181" s="469"/>
      <c r="BD181" s="469"/>
      <c r="BE181" s="472"/>
      <c r="BF181" s="469"/>
      <c r="BG181" s="475"/>
      <c r="BH181" s="475"/>
      <c r="BI181" s="469"/>
      <c r="BJ181" s="472"/>
      <c r="BK181" s="475"/>
      <c r="BL181" s="475"/>
      <c r="BM181" s="475"/>
      <c r="BN181" s="475"/>
      <c r="BO181" s="950"/>
      <c r="BP181" s="475"/>
      <c r="BQ181" s="475"/>
      <c r="BR181" s="475"/>
      <c r="BS181" s="475"/>
      <c r="BT181" s="950"/>
      <c r="BU181" s="475"/>
      <c r="BV181" s="475"/>
      <c r="BW181" s="475"/>
      <c r="BX181" s="475"/>
      <c r="BY181" s="950"/>
      <c r="BZ181" s="475"/>
      <c r="CA181" s="475"/>
      <c r="CB181" s="475"/>
      <c r="CC181" s="475"/>
      <c r="CD181" s="950"/>
      <c r="CE181" s="475"/>
      <c r="CF181" s="475"/>
      <c r="CG181" s="475"/>
      <c r="CH181" s="475"/>
      <c r="CI181" s="950"/>
      <c r="CJ181" s="475"/>
      <c r="CK181" s="475"/>
      <c r="CL181" s="475"/>
      <c r="CM181" s="475"/>
      <c r="CN181" s="950"/>
      <c r="CO181" s="475"/>
      <c r="CP181" s="475"/>
      <c r="CQ181" s="475"/>
      <c r="CR181" s="475"/>
      <c r="CS181" s="950"/>
      <c r="CT181" s="475"/>
      <c r="CU181" s="475"/>
      <c r="CV181" s="475"/>
      <c r="CW181" s="475"/>
      <c r="CX181" s="950"/>
      <c r="CY181" s="475"/>
      <c r="DA181" s="126"/>
      <c r="DB181" s="469"/>
      <c r="DC181" s="469"/>
    </row>
    <row r="182" spans="1:107" ht="11.25" hidden="1" customHeight="1" outlineLevel="1">
      <c r="A182" s="457" t="s">
        <v>631</v>
      </c>
      <c r="B182" s="458"/>
      <c r="C182" s="459"/>
      <c r="D182" s="460"/>
      <c r="E182" s="460"/>
      <c r="F182" s="461"/>
      <c r="G182" s="462"/>
      <c r="H182" s="459"/>
      <c r="I182" s="460"/>
      <c r="J182" s="460"/>
      <c r="K182" s="461"/>
      <c r="L182" s="459"/>
      <c r="M182" s="459"/>
      <c r="N182" s="460"/>
      <c r="O182" s="460"/>
      <c r="P182" s="461"/>
      <c r="Q182" s="462"/>
      <c r="R182" s="460"/>
      <c r="S182" s="460"/>
      <c r="T182" s="460"/>
      <c r="U182" s="460"/>
      <c r="V182" s="463">
        <v>136.90100000000001</v>
      </c>
      <c r="W182" s="464">
        <v>33.347999999999999</v>
      </c>
      <c r="X182" s="464">
        <v>31.04</v>
      </c>
      <c r="Y182" s="464">
        <v>30.3</v>
      </c>
      <c r="Z182" s="458">
        <f>AA182-SUM(W182:Y182)</f>
        <v>36.772000000000006</v>
      </c>
      <c r="AA182" s="463">
        <v>131.46</v>
      </c>
      <c r="AB182" s="464">
        <f>AB171+AB174</f>
        <v>60.7</v>
      </c>
      <c r="AC182" s="464">
        <f>AC171+AC174</f>
        <v>71.5</v>
      </c>
      <c r="AD182" s="464">
        <f>AD171+AD174</f>
        <v>70.2</v>
      </c>
      <c r="AE182" s="464">
        <f>AE171+AE174</f>
        <v>81.3</v>
      </c>
      <c r="AF182" s="465">
        <f>SUM(AB182:AE182)</f>
        <v>283.7</v>
      </c>
      <c r="AG182" s="458">
        <f>AG171+AG174</f>
        <v>72</v>
      </c>
      <c r="AH182" s="458">
        <f>AH171+AH174</f>
        <v>67.900000000000006</v>
      </c>
      <c r="AI182" s="458">
        <f>AI171+AI174</f>
        <v>65.8</v>
      </c>
      <c r="AJ182" s="458">
        <f>AJ171+AJ174</f>
        <v>80.8</v>
      </c>
      <c r="AK182" s="465">
        <f>SUM(AG182:AJ182)</f>
        <v>286.5</v>
      </c>
      <c r="AL182" s="458">
        <f>AL171+AL174</f>
        <v>82</v>
      </c>
      <c r="AM182" s="458">
        <v>84.7</v>
      </c>
      <c r="AN182" s="458">
        <f t="shared" ref="AN182:AS182" si="213">AN171+AN174</f>
        <v>82.7</v>
      </c>
      <c r="AO182" s="458">
        <f t="shared" si="213"/>
        <v>80.400000000000006</v>
      </c>
      <c r="AP182" s="465">
        <f t="shared" si="213"/>
        <v>329.79999999999995</v>
      </c>
      <c r="AQ182" s="458">
        <f t="shared" si="213"/>
        <v>72.599999999999994</v>
      </c>
      <c r="AR182" s="458">
        <f t="shared" si="213"/>
        <v>74.900000000000006</v>
      </c>
      <c r="AS182" s="458">
        <f t="shared" si="213"/>
        <v>78.7</v>
      </c>
      <c r="AT182" s="458">
        <f t="shared" ref="AT182:AZ182" si="214">AT171+AT174</f>
        <v>81.599999999999994</v>
      </c>
      <c r="AU182" s="465">
        <f t="shared" si="214"/>
        <v>307.80000000000007</v>
      </c>
      <c r="AV182" s="458">
        <f t="shared" si="214"/>
        <v>93.2</v>
      </c>
      <c r="AW182" s="458">
        <f t="shared" si="214"/>
        <v>94.1</v>
      </c>
      <c r="AX182" s="458">
        <f t="shared" si="214"/>
        <v>92.800000000000011</v>
      </c>
      <c r="AY182" s="458">
        <f t="shared" si="214"/>
        <v>93.4</v>
      </c>
      <c r="AZ182" s="465">
        <f t="shared" si="214"/>
        <v>373.5</v>
      </c>
      <c r="BA182" s="466">
        <f>AY182*(1+BA183)</f>
        <v>90.131</v>
      </c>
      <c r="BB182" s="466">
        <f>BA182*(1+BB183)</f>
        <v>93.285584999999998</v>
      </c>
      <c r="BC182" s="458">
        <f>BB182*(1+BC183)</f>
        <v>95.617724624999994</v>
      </c>
      <c r="BD182" s="458">
        <f>BC182*(1+BD183)</f>
        <v>99.633669059249996</v>
      </c>
      <c r="BE182" s="465">
        <f>BE171+BE174</f>
        <v>378.66797868424999</v>
      </c>
      <c r="BF182" s="458">
        <f>BD182*(1+BF183)</f>
        <v>94.651985606287496</v>
      </c>
      <c r="BG182" s="466">
        <f>BF182*(1+BG183)</f>
        <v>96.071765390381799</v>
      </c>
      <c r="BH182" s="466">
        <f>BG182*(1+BH183)</f>
        <v>95.975693624991422</v>
      </c>
      <c r="BI182" s="458">
        <f>BH182*(1+BI183)</f>
        <v>96.935450561241339</v>
      </c>
      <c r="BJ182" s="465">
        <f>BJ171+BJ174</f>
        <v>383.63489518290203</v>
      </c>
      <c r="BK182" s="466">
        <f>BI182*(1+BK183)</f>
        <v>94.027387044404094</v>
      </c>
      <c r="BL182" s="466">
        <f>BK182*(1+BL183)</f>
        <v>96.848208655736215</v>
      </c>
      <c r="BM182" s="466">
        <f>BL182*(1+BM183)</f>
        <v>97.816690742293574</v>
      </c>
      <c r="BN182" s="466">
        <f>BM182*(1+BN183)</f>
        <v>100.75119146456238</v>
      </c>
      <c r="BO182" s="951">
        <f>BO171+BO174</f>
        <v>389.44347790699624</v>
      </c>
      <c r="BP182" s="466">
        <f>BN182*(1+BP183)</f>
        <v>97.728655720625511</v>
      </c>
      <c r="BQ182" s="466">
        <f>BP182*(1+BQ183)</f>
        <v>100.66051539224428</v>
      </c>
      <c r="BR182" s="466">
        <f>BQ182*(1+BR183)</f>
        <v>101.66712054616673</v>
      </c>
      <c r="BS182" s="466">
        <f>BR182*(1+BS183)</f>
        <v>104.71713416255173</v>
      </c>
      <c r="BT182" s="951">
        <f>BT171+BT174</f>
        <v>404.77342582158826</v>
      </c>
      <c r="BU182" s="466">
        <f>BS182*(1+BU183)</f>
        <v>101.57562013767517</v>
      </c>
      <c r="BV182" s="466">
        <f>BU182*(1+BV183)</f>
        <v>104.62288874180543</v>
      </c>
      <c r="BW182" s="466">
        <f>BV182*(1+BW183)</f>
        <v>105.66911762922348</v>
      </c>
      <c r="BX182" s="466">
        <f>BW182*(1+BX183)</f>
        <v>108.83919115810019</v>
      </c>
      <c r="BY182" s="951">
        <f>BY171+BY174</f>
        <v>420.70681766680428</v>
      </c>
      <c r="BZ182" s="466">
        <f>BX182*(1+BZ183)</f>
        <v>105.57401542335718</v>
      </c>
      <c r="CA182" s="466">
        <f>BZ182*(1+CA183)</f>
        <v>108.74123588605789</v>
      </c>
      <c r="CB182" s="466">
        <f>CA182*(1+CB183)</f>
        <v>109.82864824491847</v>
      </c>
      <c r="CC182" s="466">
        <f>CB182*(1+CC183)</f>
        <v>113.12350769226603</v>
      </c>
      <c r="CD182" s="951">
        <f>CD171+CD174</f>
        <v>437.26740724659959</v>
      </c>
      <c r="CE182" s="466">
        <f>CC182*(1+CE183)</f>
        <v>109.72980246149805</v>
      </c>
      <c r="CF182" s="466">
        <f>CE182*(1+CF183)</f>
        <v>113.021696535343</v>
      </c>
      <c r="CG182" s="466">
        <f>CF182*(1+CG183)</f>
        <v>114.15191350069642</v>
      </c>
      <c r="CH182" s="466">
        <f>CG182*(1+CH183)</f>
        <v>117.57647090571731</v>
      </c>
      <c r="CI182" s="951">
        <f>CI171+CI174</f>
        <v>454.4798834032548</v>
      </c>
      <c r="CJ182" s="466">
        <f>CH182*(1+CJ183)</f>
        <v>114.04917677854579</v>
      </c>
      <c r="CK182" s="466">
        <f>CJ182*(1+CK183)</f>
        <v>117.47065208190216</v>
      </c>
      <c r="CL182" s="466">
        <f>CK182*(1+CL183)</f>
        <v>118.64535860272119</v>
      </c>
      <c r="CM182" s="466">
        <f>CL182*(1+CM183)</f>
        <v>122.20471936080283</v>
      </c>
      <c r="CN182" s="951">
        <f>CN171+CN174</f>
        <v>472.36990682397203</v>
      </c>
      <c r="CO182" s="466">
        <f>CM182*(1+CO183)</f>
        <v>118.53857777997874</v>
      </c>
      <c r="CP182" s="466">
        <f>CO182*(1+CP183)</f>
        <v>122.09473511337811</v>
      </c>
      <c r="CQ182" s="466">
        <f>CP182*(1+CQ183)</f>
        <v>123.31568246451189</v>
      </c>
      <c r="CR182" s="466">
        <f>CQ182*(1+CR183)</f>
        <v>127.01515293844726</v>
      </c>
      <c r="CS182" s="951">
        <f>CS171+CS174</f>
        <v>490.96414829631601</v>
      </c>
      <c r="CT182" s="466">
        <f>CR182*(1+CT183)</f>
        <v>123.20469835029384</v>
      </c>
      <c r="CU182" s="466">
        <f>CT182*(1+CU183)</f>
        <v>126.90083930080266</v>
      </c>
      <c r="CV182" s="466">
        <f>CU182*(1+CV183)</f>
        <v>128.16984769381068</v>
      </c>
      <c r="CW182" s="466">
        <f>CV182*(1+CW183)</f>
        <v>132.01494312462501</v>
      </c>
      <c r="CX182" s="951">
        <f>CX171+CX174</f>
        <v>510.29032846953214</v>
      </c>
      <c r="CY182" s="466"/>
      <c r="DA182" s="126"/>
      <c r="DB182" s="460"/>
      <c r="DC182" s="460"/>
    </row>
    <row r="183" spans="1:107" ht="11.25" hidden="1" customHeight="1" outlineLevel="1">
      <c r="A183" s="468" t="s">
        <v>78</v>
      </c>
      <c r="B183" s="469"/>
      <c r="C183" s="470"/>
      <c r="D183" s="469"/>
      <c r="E183" s="469"/>
      <c r="F183" s="471"/>
      <c r="G183" s="472"/>
      <c r="H183" s="470"/>
      <c r="I183" s="469"/>
      <c r="J183" s="469"/>
      <c r="K183" s="471"/>
      <c r="L183" s="470"/>
      <c r="M183" s="470"/>
      <c r="N183" s="469"/>
      <c r="O183" s="469"/>
      <c r="P183" s="471"/>
      <c r="Q183" s="472"/>
      <c r="R183" s="469"/>
      <c r="S183" s="469"/>
      <c r="T183" s="469"/>
      <c r="U183" s="469"/>
      <c r="V183" s="472"/>
      <c r="W183" s="469"/>
      <c r="X183" s="469">
        <f>X182/W182-1</f>
        <v>-6.9209547798968485E-2</v>
      </c>
      <c r="Y183" s="469">
        <f>Y182/X182-1</f>
        <v>-2.3840206185566926E-2</v>
      </c>
      <c r="Z183" s="469">
        <f>Z182/Y182-1</f>
        <v>0.21359735973597371</v>
      </c>
      <c r="AA183" s="472"/>
      <c r="AB183" s="469">
        <f>AB182/Z182-1</f>
        <v>0.6507124986402697</v>
      </c>
      <c r="AC183" s="469">
        <f>AC182/AB182-1</f>
        <v>0.1779242174629323</v>
      </c>
      <c r="AD183" s="469">
        <f>AD182/AC182-1</f>
        <v>-1.8181818181818188E-2</v>
      </c>
      <c r="AE183" s="469">
        <f>AE182/AD182-1</f>
        <v>0.158119658119658</v>
      </c>
      <c r="AF183" s="474"/>
      <c r="AG183" s="469">
        <f>AG182/AE182-1</f>
        <v>-0.11439114391143912</v>
      </c>
      <c r="AH183" s="469">
        <f>AH182/AG182-1</f>
        <v>-5.6944444444444353E-2</v>
      </c>
      <c r="AI183" s="469">
        <f>AI182/AH182-1</f>
        <v>-3.0927835051546504E-2</v>
      </c>
      <c r="AJ183" s="469">
        <f>AJ182/AI182-1</f>
        <v>0.22796352583586632</v>
      </c>
      <c r="AK183" s="474"/>
      <c r="AL183" s="469">
        <f>AL182/AJ182-1</f>
        <v>1.4851485148514865E-2</v>
      </c>
      <c r="AM183" s="469">
        <f>AM182/AL182-1</f>
        <v>3.2926829268292712E-2</v>
      </c>
      <c r="AN183" s="469">
        <f>AN182/AM182-1</f>
        <v>-2.3612750885478206E-2</v>
      </c>
      <c r="AO183" s="469">
        <f>AO182/AN182-1</f>
        <v>-2.7811366384522307E-2</v>
      </c>
      <c r="AP183" s="474"/>
      <c r="AQ183" s="469">
        <f>AQ182/AO182-1</f>
        <v>-9.7014925373134497E-2</v>
      </c>
      <c r="AR183" s="469">
        <f>AR182/AQ182-1</f>
        <v>3.1680440771350016E-2</v>
      </c>
      <c r="AS183" s="469">
        <f>AS182/AR182-1</f>
        <v>5.0734312416555349E-2</v>
      </c>
      <c r="AT183" s="469">
        <f>AT182/AS182-1</f>
        <v>3.6848792884370818E-2</v>
      </c>
      <c r="AU183" s="472"/>
      <c r="AV183" s="469">
        <f>AV182/AT182-1</f>
        <v>0.1421568627450982</v>
      </c>
      <c r="AW183" s="469">
        <f>AW182/AV182-1</f>
        <v>9.656652360514828E-3</v>
      </c>
      <c r="AX183" s="469">
        <f>AX182/AW182-1</f>
        <v>-1.3815090329436619E-2</v>
      </c>
      <c r="AY183" s="469">
        <f>AY182/AX182-1</f>
        <v>6.4655172413792261E-3</v>
      </c>
      <c r="AZ183" s="472"/>
      <c r="BA183" s="475">
        <v>-3.5000000000000003E-2</v>
      </c>
      <c r="BB183" s="475">
        <v>3.5000000000000003E-2</v>
      </c>
      <c r="BC183" s="469">
        <v>2.5000000000000001E-2</v>
      </c>
      <c r="BD183" s="469">
        <v>4.2000000000000003E-2</v>
      </c>
      <c r="BE183" s="472"/>
      <c r="BF183" s="469">
        <v>-0.05</v>
      </c>
      <c r="BG183" s="475">
        <v>1.4999999999999999E-2</v>
      </c>
      <c r="BH183" s="475">
        <v>-1E-3</v>
      </c>
      <c r="BI183" s="469">
        <v>0.01</v>
      </c>
      <c r="BJ183" s="472"/>
      <c r="BK183" s="475">
        <v>-0.03</v>
      </c>
      <c r="BL183" s="475">
        <v>0.03</v>
      </c>
      <c r="BM183" s="475">
        <v>0.01</v>
      </c>
      <c r="BN183" s="475">
        <v>0.03</v>
      </c>
      <c r="BO183" s="950"/>
      <c r="BP183" s="475">
        <v>-0.03</v>
      </c>
      <c r="BQ183" s="475">
        <v>0.03</v>
      </c>
      <c r="BR183" s="475">
        <v>0.01</v>
      </c>
      <c r="BS183" s="475">
        <v>0.03</v>
      </c>
      <c r="BT183" s="950"/>
      <c r="BU183" s="475">
        <v>-0.03</v>
      </c>
      <c r="BV183" s="475">
        <v>0.03</v>
      </c>
      <c r="BW183" s="475">
        <v>0.01</v>
      </c>
      <c r="BX183" s="475">
        <v>0.03</v>
      </c>
      <c r="BY183" s="950"/>
      <c r="BZ183" s="475">
        <v>-0.03</v>
      </c>
      <c r="CA183" s="475">
        <v>0.03</v>
      </c>
      <c r="CB183" s="475">
        <v>0.01</v>
      </c>
      <c r="CC183" s="475">
        <v>0.03</v>
      </c>
      <c r="CD183" s="950"/>
      <c r="CE183" s="475">
        <v>-0.03</v>
      </c>
      <c r="CF183" s="475">
        <v>0.03</v>
      </c>
      <c r="CG183" s="475">
        <v>0.01</v>
      </c>
      <c r="CH183" s="475">
        <v>0.03</v>
      </c>
      <c r="CI183" s="950"/>
      <c r="CJ183" s="475">
        <v>-0.03</v>
      </c>
      <c r="CK183" s="475">
        <v>0.03</v>
      </c>
      <c r="CL183" s="475">
        <v>0.01</v>
      </c>
      <c r="CM183" s="475">
        <v>0.03</v>
      </c>
      <c r="CN183" s="950"/>
      <c r="CO183" s="475">
        <v>-0.03</v>
      </c>
      <c r="CP183" s="475">
        <v>0.03</v>
      </c>
      <c r="CQ183" s="475">
        <v>0.01</v>
      </c>
      <c r="CR183" s="475">
        <v>0.03</v>
      </c>
      <c r="CS183" s="950"/>
      <c r="CT183" s="475">
        <v>-0.03</v>
      </c>
      <c r="CU183" s="475">
        <v>0.03</v>
      </c>
      <c r="CV183" s="475">
        <v>0.01</v>
      </c>
      <c r="CW183" s="475">
        <v>0.03</v>
      </c>
      <c r="CX183" s="950"/>
      <c r="CY183" s="475"/>
      <c r="DA183" s="477"/>
      <c r="DB183" s="469"/>
      <c r="DC183" s="469"/>
    </row>
    <row r="184" spans="1:107" ht="11.25" hidden="1" customHeight="1" outlineLevel="1">
      <c r="A184" s="468" t="s">
        <v>77</v>
      </c>
      <c r="B184" s="469"/>
      <c r="C184" s="470"/>
      <c r="D184" s="469"/>
      <c r="E184" s="469"/>
      <c r="F184" s="471"/>
      <c r="G184" s="472"/>
      <c r="H184" s="470"/>
      <c r="I184" s="469"/>
      <c r="J184" s="469"/>
      <c r="K184" s="471"/>
      <c r="L184" s="470"/>
      <c r="M184" s="470"/>
      <c r="N184" s="469"/>
      <c r="O184" s="469"/>
      <c r="P184" s="471"/>
      <c r="Q184" s="472"/>
      <c r="R184" s="469"/>
      <c r="S184" s="469"/>
      <c r="T184" s="469"/>
      <c r="U184" s="469"/>
      <c r="V184" s="472"/>
      <c r="W184" s="469"/>
      <c r="X184" s="469"/>
      <c r="Y184" s="469"/>
      <c r="Z184" s="469"/>
      <c r="AA184" s="472">
        <f>+AA182/V182-1</f>
        <v>-3.9744048619075101E-2</v>
      </c>
      <c r="AB184" s="469">
        <f>AB182/W182-1</f>
        <v>0.82019911239054832</v>
      </c>
      <c r="AC184" s="469">
        <f>AC182/X182-1</f>
        <v>1.303479381443299</v>
      </c>
      <c r="AD184" s="469">
        <f>AD182/Y182-1</f>
        <v>1.3168316831683167</v>
      </c>
      <c r="AE184" s="469"/>
      <c r="AF184" s="472">
        <f>+AF182/AA182-1</f>
        <v>1.1580708960900652</v>
      </c>
      <c r="AG184" s="469">
        <f>AG182/AB182-1</f>
        <v>0.18616144975288296</v>
      </c>
      <c r="AH184" s="469">
        <f>AH182/AC182-1</f>
        <v>-5.0349650349650221E-2</v>
      </c>
      <c r="AI184" s="469">
        <f>AI182/AD182-1</f>
        <v>-6.2678062678062751E-2</v>
      </c>
      <c r="AJ184" s="469">
        <f>AJ182/AE182-1</f>
        <v>-6.1500615006150339E-3</v>
      </c>
      <c r="AK184" s="472">
        <f>+AK182/AF182-1</f>
        <v>9.86958054282705E-3</v>
      </c>
      <c r="AL184" s="469">
        <f>AL182/AG182-1</f>
        <v>0.13888888888888884</v>
      </c>
      <c r="AM184" s="469">
        <f>AM182/AH182-1</f>
        <v>0.24742268041237114</v>
      </c>
      <c r="AN184" s="469">
        <f>AN182/AI182-1</f>
        <v>0.25683890577507618</v>
      </c>
      <c r="AO184" s="469">
        <f>AO182/AJ182-1</f>
        <v>-4.9504950495048439E-3</v>
      </c>
      <c r="AP184" s="472">
        <f>+AP182/AK182-1</f>
        <v>0.15113438045375194</v>
      </c>
      <c r="AQ184" s="469">
        <f>AQ182/AL182-1</f>
        <v>-0.11463414634146352</v>
      </c>
      <c r="AR184" s="469">
        <f>AR182/AM182-1</f>
        <v>-0.11570247933884292</v>
      </c>
      <c r="AS184" s="469">
        <f>AS182/AN182-1</f>
        <v>-4.8367593712212775E-2</v>
      </c>
      <c r="AT184" s="469">
        <f>AT182/AO182-1</f>
        <v>1.4925373134328179E-2</v>
      </c>
      <c r="AU184" s="472">
        <f>+AU182/AP182-1</f>
        <v>-6.670709520921736E-2</v>
      </c>
      <c r="AV184" s="469">
        <f>AV182/AQ182-1</f>
        <v>0.28374655647382929</v>
      </c>
      <c r="AW184" s="469">
        <f>AW182/AR182-1</f>
        <v>0.25634178905206917</v>
      </c>
      <c r="AX184" s="469">
        <f>AX182/AS182-1</f>
        <v>0.17916137229987306</v>
      </c>
      <c r="AY184" s="469">
        <f>AY182/AT182-1</f>
        <v>0.14460784313725505</v>
      </c>
      <c r="AZ184" s="472">
        <f>+AZ182/AU182-1</f>
        <v>0.21345029239766045</v>
      </c>
      <c r="BA184" s="475">
        <f>BA182/AV182-1</f>
        <v>-3.2929184549356227E-2</v>
      </c>
      <c r="BB184" s="475">
        <f>BB182/AW182-1</f>
        <v>-8.6547821466524955E-3</v>
      </c>
      <c r="BC184" s="469">
        <f>BC182/AX182-1</f>
        <v>3.0363411907327498E-2</v>
      </c>
      <c r="BD184" s="469">
        <f>BD182/AY182-1</f>
        <v>6.6741638749999943E-2</v>
      </c>
      <c r="BE184" s="472">
        <f>+BE182/AZ182-1</f>
        <v>1.3836622983266267E-2</v>
      </c>
      <c r="BF184" s="469">
        <f>BF182/BA182-1</f>
        <v>5.0160162499999883E-2</v>
      </c>
      <c r="BG184" s="475">
        <f>BG182/BB182-1</f>
        <v>2.9867212499999907E-2</v>
      </c>
      <c r="BH184" s="475">
        <f>BH182/BC182-1</f>
        <v>3.7437515000000587E-3</v>
      </c>
      <c r="BI184" s="469">
        <f>BI182/BD182-1</f>
        <v>-2.7081392499999968E-2</v>
      </c>
      <c r="BJ184" s="472">
        <f>+BJ182/BE182-1</f>
        <v>1.3116811503075754E-2</v>
      </c>
      <c r="BK184" s="475">
        <f>BK182/BF182-1</f>
        <v>-6.5988955000000349E-3</v>
      </c>
      <c r="BL184" s="475">
        <f>BL182/BG182-1</f>
        <v>8.0819089999999427E-3</v>
      </c>
      <c r="BM184" s="475">
        <f>BM182/BH182-1</f>
        <v>1.9181909999999913E-2</v>
      </c>
      <c r="BN184" s="475">
        <f>BN182/BI182-1</f>
        <v>3.9363729999999819E-2</v>
      </c>
      <c r="BO184" s="950">
        <f>+BO182/BJ182-1</f>
        <v>1.5140913397163391E-2</v>
      </c>
      <c r="BP184" s="475">
        <f>BP182/BK182-1</f>
        <v>3.9363730000000041E-2</v>
      </c>
      <c r="BQ184" s="475">
        <f>BQ182/BL182-1</f>
        <v>3.9363730000000041E-2</v>
      </c>
      <c r="BR184" s="475">
        <f>BR182/BM182-1</f>
        <v>3.9363730000000041E-2</v>
      </c>
      <c r="BS184" s="475">
        <f>BS182/BN182-1</f>
        <v>3.9363730000000041E-2</v>
      </c>
      <c r="BT184" s="950">
        <f>+BT182/BO182-1</f>
        <v>3.9363730000000263E-2</v>
      </c>
      <c r="BU184" s="475">
        <f>BU182/BP182-1</f>
        <v>3.9363730000000041E-2</v>
      </c>
      <c r="BV184" s="475">
        <f>BV182/BQ182-1</f>
        <v>3.9363730000000041E-2</v>
      </c>
      <c r="BW184" s="475">
        <f>BW182/BR182-1</f>
        <v>3.9363729999999819E-2</v>
      </c>
      <c r="BX184" s="475">
        <f>BX182/BS182-1</f>
        <v>3.9363730000000041E-2</v>
      </c>
      <c r="BY184" s="950">
        <f>+BY182/BT182-1</f>
        <v>3.9363730000000041E-2</v>
      </c>
      <c r="BZ184" s="475">
        <f>BZ182/BU182-1</f>
        <v>3.9363730000000041E-2</v>
      </c>
      <c r="CA184" s="475">
        <f>CA182/BV182-1</f>
        <v>3.9363730000000041E-2</v>
      </c>
      <c r="CB184" s="475">
        <f>CB182/BW182-1</f>
        <v>3.9363730000000041E-2</v>
      </c>
      <c r="CC184" s="475">
        <f>CC182/BX182-1</f>
        <v>3.9363730000000041E-2</v>
      </c>
      <c r="CD184" s="950">
        <f>+CD182/BY182-1</f>
        <v>3.9363730000000041E-2</v>
      </c>
      <c r="CE184" s="475">
        <f>CE182/BZ182-1</f>
        <v>3.9363730000000041E-2</v>
      </c>
      <c r="CF184" s="475">
        <f>CF182/CA182-1</f>
        <v>3.9363730000000041E-2</v>
      </c>
      <c r="CG184" s="475">
        <f>CG182/CB182-1</f>
        <v>3.9363730000000041E-2</v>
      </c>
      <c r="CH184" s="475">
        <f>CH182/CC182-1</f>
        <v>3.9363730000000041E-2</v>
      </c>
      <c r="CI184" s="950">
        <f>+CI182/CD182-1</f>
        <v>3.9363730000000041E-2</v>
      </c>
      <c r="CJ184" s="475">
        <f>CJ182/CE182-1</f>
        <v>3.9363729999999819E-2</v>
      </c>
      <c r="CK184" s="475">
        <f>CK182/CF182-1</f>
        <v>3.9363729999999819E-2</v>
      </c>
      <c r="CL184" s="475">
        <f>CL182/CG182-1</f>
        <v>3.9363730000000041E-2</v>
      </c>
      <c r="CM184" s="475">
        <f>CM182/CH182-1</f>
        <v>3.9363730000000041E-2</v>
      </c>
      <c r="CN184" s="950">
        <f>+CN182/CI182-1</f>
        <v>3.9363730000000041E-2</v>
      </c>
      <c r="CO184" s="475">
        <f>CO182/CJ182-1</f>
        <v>3.9363730000000041E-2</v>
      </c>
      <c r="CP184" s="475">
        <f>CP182/CK182-1</f>
        <v>3.9363730000000041E-2</v>
      </c>
      <c r="CQ184" s="475">
        <f>CQ182/CL182-1</f>
        <v>3.9363730000000041E-2</v>
      </c>
      <c r="CR184" s="475">
        <f>CR182/CM182-1</f>
        <v>3.9363730000000041E-2</v>
      </c>
      <c r="CS184" s="950">
        <f>+CS182/CN182-1</f>
        <v>3.9363730000000041E-2</v>
      </c>
      <c r="CT184" s="475">
        <f>CT182/CO182-1</f>
        <v>3.9363730000000263E-2</v>
      </c>
      <c r="CU184" s="475">
        <f>CU182/CP182-1</f>
        <v>3.9363730000000041E-2</v>
      </c>
      <c r="CV184" s="475">
        <f>CV182/CQ182-1</f>
        <v>3.9363730000000041E-2</v>
      </c>
      <c r="CW184" s="475">
        <f>CW182/CR182-1</f>
        <v>3.9363730000000041E-2</v>
      </c>
      <c r="CX184" s="950">
        <f>+CX182/CS182-1</f>
        <v>3.9363730000000041E-2</v>
      </c>
      <c r="CY184" s="475"/>
      <c r="DA184" s="477"/>
      <c r="DB184" s="469"/>
      <c r="DC184" s="469"/>
    </row>
    <row r="185" spans="1:107" ht="11.25" hidden="1" customHeight="1" outlineLevel="1">
      <c r="A185" s="953" t="s">
        <v>744</v>
      </c>
      <c r="B185" s="954"/>
      <c r="C185" s="955"/>
      <c r="D185" s="956"/>
      <c r="E185" s="956"/>
      <c r="F185" s="957"/>
      <c r="G185" s="958"/>
      <c r="H185" s="955"/>
      <c r="I185" s="956"/>
      <c r="J185" s="956"/>
      <c r="K185" s="957"/>
      <c r="L185" s="955"/>
      <c r="M185" s="955"/>
      <c r="N185" s="956"/>
      <c r="O185" s="956"/>
      <c r="P185" s="957"/>
      <c r="Q185" s="958"/>
      <c r="R185" s="956"/>
      <c r="S185" s="956"/>
      <c r="T185" s="956"/>
      <c r="U185" s="956"/>
      <c r="V185" s="959">
        <f>SUM(V182,V167,V160,V157,V153)</f>
        <v>1666.5809999999999</v>
      </c>
      <c r="W185" s="954">
        <f>W153+W157+W160+W167+W182</f>
        <v>472.88200000000001</v>
      </c>
      <c r="X185" s="954">
        <f>X153+X157+X160+X167+X182</f>
        <v>496.029</v>
      </c>
      <c r="Y185" s="954">
        <f>Y153+Y157+Y160+Y167+Y182</f>
        <v>487</v>
      </c>
      <c r="Z185" s="954">
        <f>Z153+Z157+Z160+Z167+Z182</f>
        <v>510.77300000000002</v>
      </c>
      <c r="AA185" s="959">
        <f>SUM(W185:Z185)</f>
        <v>1966.6840000000002</v>
      </c>
      <c r="AB185" s="954">
        <f>AB153+AB157+AB160+AB167+AB182</f>
        <v>655.47500000000002</v>
      </c>
      <c r="AC185" s="954">
        <f>AC153+AC157+AC160+AC167+AC182</f>
        <v>635.4</v>
      </c>
      <c r="AD185" s="954">
        <f>AD153+AD157+AD160+AD167+AD182</f>
        <v>602.20000000000016</v>
      </c>
      <c r="AE185" s="954">
        <f>AE153+AE157+AE160+AE167+AE182</f>
        <v>682.2</v>
      </c>
      <c r="AF185" s="959">
        <f>SUM(AB185:AE185)</f>
        <v>2575.2750000000005</v>
      </c>
      <c r="AG185" s="954">
        <f>AG153+AG157+AG160+AG167+AG182</f>
        <v>649.40000000000009</v>
      </c>
      <c r="AH185" s="954">
        <f>AH153+AH157+AH160+AH167+AH182</f>
        <v>745.60200000000009</v>
      </c>
      <c r="AI185" s="954">
        <f>AI153+AI157+AI160+AI167+AI182</f>
        <v>851.69999999999993</v>
      </c>
      <c r="AJ185" s="954">
        <f>AJ153+AJ157+AJ160+AJ167+AJ182</f>
        <v>911.19999999999993</v>
      </c>
      <c r="AK185" s="959">
        <f>SUM(AG185:AJ185)</f>
        <v>3157.902</v>
      </c>
      <c r="AL185" s="954">
        <f t="shared" ref="AL185:AR185" si="215">AL153+AL157+AL160+AL167+AL182</f>
        <v>890.40000000000009</v>
      </c>
      <c r="AM185" s="954">
        <f t="shared" si="215"/>
        <v>886.90000000000009</v>
      </c>
      <c r="AN185" s="954">
        <f t="shared" si="215"/>
        <v>887.30000000000007</v>
      </c>
      <c r="AO185" s="954">
        <f t="shared" si="215"/>
        <v>915.30000000000007</v>
      </c>
      <c r="AP185" s="959">
        <f t="shared" si="215"/>
        <v>3579.8999999999996</v>
      </c>
      <c r="AQ185" s="954">
        <f t="shared" si="215"/>
        <v>786.40000000000009</v>
      </c>
      <c r="AR185" s="954">
        <f t="shared" si="215"/>
        <v>704.69999999999993</v>
      </c>
      <c r="AS185" s="954">
        <f>AS153+AS157+AS160+AS167+AS182</f>
        <v>697.5</v>
      </c>
      <c r="AT185" s="954">
        <f>AT153+AT157+AT160+AT167+AT182+AT178</f>
        <v>757.3</v>
      </c>
      <c r="AU185" s="1135">
        <f t="shared" ref="AU185:BE185" si="216">AU153+AU157+AU160+AU167+AU182+AU178</f>
        <v>2945.9</v>
      </c>
      <c r="AV185" s="954">
        <f>AV153+AV157+AV160+AV167+AV182+AV178</f>
        <v>858.7</v>
      </c>
      <c r="AW185" s="954">
        <f>AW153+AW157+AW160+AW167+AW182+AW178</f>
        <v>943.00000000000011</v>
      </c>
      <c r="AX185" s="954">
        <f t="shared" si="216"/>
        <v>990.30000000000018</v>
      </c>
      <c r="AY185" s="954">
        <f t="shared" si="216"/>
        <v>1008</v>
      </c>
      <c r="AZ185" s="1135">
        <f t="shared" si="216"/>
        <v>3800</v>
      </c>
      <c r="BA185" s="960">
        <f>BA153+BA157+BA160+BA167+BA182+BA178</f>
        <v>1024.788</v>
      </c>
      <c r="BB185" s="960">
        <f t="shared" si="216"/>
        <v>1026.0913579999999</v>
      </c>
      <c r="BC185" s="954">
        <f t="shared" si="216"/>
        <v>1026.1152603829998</v>
      </c>
      <c r="BD185" s="954">
        <f t="shared" si="216"/>
        <v>1085.2257568707157</v>
      </c>
      <c r="BE185" s="1135">
        <f t="shared" si="216"/>
        <v>4162.2203752537162</v>
      </c>
      <c r="BF185" s="954">
        <f t="shared" ref="BF185:BO185" si="217">BF153+BF157+BF160+BF167+BF182+BF178</f>
        <v>1131.4366646666629</v>
      </c>
      <c r="BG185" s="960">
        <f t="shared" si="217"/>
        <v>1149.2784213930031</v>
      </c>
      <c r="BH185" s="960">
        <f t="shared" si="217"/>
        <v>1161.8947826565429</v>
      </c>
      <c r="BI185" s="954">
        <f t="shared" si="217"/>
        <v>1197.5293530538886</v>
      </c>
      <c r="BJ185" s="1135">
        <f t="shared" si="217"/>
        <v>4640.1392217700977</v>
      </c>
      <c r="BK185" s="960">
        <f t="shared" si="217"/>
        <v>1250.5926381680006</v>
      </c>
      <c r="BL185" s="960">
        <f t="shared" si="217"/>
        <v>1264.2789800687497</v>
      </c>
      <c r="BM185" s="960">
        <f t="shared" si="217"/>
        <v>1272.6671073084121</v>
      </c>
      <c r="BN185" s="960">
        <f t="shared" si="217"/>
        <v>1307.0771569910657</v>
      </c>
      <c r="BO185" s="961">
        <f t="shared" si="217"/>
        <v>5094.6158825362272</v>
      </c>
      <c r="BP185" s="960">
        <f t="shared" ref="BP185:BY185" si="218">BP153+BP157+BP160+BP167+BP182+BP178</f>
        <v>1356.9280363408477</v>
      </c>
      <c r="BQ185" s="960">
        <f t="shared" si="218"/>
        <v>1361.012308520088</v>
      </c>
      <c r="BR185" s="960">
        <f t="shared" si="218"/>
        <v>1359.162168350558</v>
      </c>
      <c r="BS185" s="960">
        <f t="shared" si="218"/>
        <v>1385.0676008400631</v>
      </c>
      <c r="BT185" s="961">
        <f t="shared" si="218"/>
        <v>5462.1701140515579</v>
      </c>
      <c r="BU185" s="960">
        <f t="shared" si="218"/>
        <v>1428.1804099381493</v>
      </c>
      <c r="BV185" s="960">
        <f t="shared" si="218"/>
        <v>1421.1148161278777</v>
      </c>
      <c r="BW185" s="960">
        <f t="shared" si="218"/>
        <v>1407.7595832875932</v>
      </c>
      <c r="BX185" s="960">
        <f t="shared" si="218"/>
        <v>1423.2999469224501</v>
      </c>
      <c r="BY185" s="961">
        <f t="shared" si="218"/>
        <v>5680.3547562760696</v>
      </c>
      <c r="BZ185" s="960">
        <f t="shared" ref="BZ185:CN185" si="219">BZ153+BZ157+BZ160+BZ167+BZ182+BZ178</f>
        <v>1456.7633051084281</v>
      </c>
      <c r="CA185" s="960">
        <f t="shared" si="219"/>
        <v>1438.2072077722123</v>
      </c>
      <c r="CB185" s="960">
        <f t="shared" si="219"/>
        <v>1413.3537626726293</v>
      </c>
      <c r="CC185" s="960">
        <f t="shared" si="219"/>
        <v>1417.8500293475274</v>
      </c>
      <c r="CD185" s="961">
        <f t="shared" si="219"/>
        <v>5726.1743049007973</v>
      </c>
      <c r="CE185" s="960">
        <f t="shared" si="219"/>
        <v>1439.8093715510358</v>
      </c>
      <c r="CF185" s="960">
        <f t="shared" si="219"/>
        <v>1410.781850286068</v>
      </c>
      <c r="CG185" s="960">
        <f t="shared" si="219"/>
        <v>1375.7995539979879</v>
      </c>
      <c r="CH185" s="960">
        <f t="shared" si="219"/>
        <v>1369.8948348352822</v>
      </c>
      <c r="CI185" s="961">
        <f t="shared" si="219"/>
        <v>5596.2856106703739</v>
      </c>
      <c r="CJ185" s="960">
        <f t="shared" si="219"/>
        <v>1379.8020709297386</v>
      </c>
      <c r="CK185" s="960">
        <f t="shared" si="219"/>
        <v>1342.5756796260671</v>
      </c>
      <c r="CL185" s="960">
        <f t="shared" si="219"/>
        <v>1300.0224725682297</v>
      </c>
      <c r="CM185" s="960">
        <f t="shared" si="219"/>
        <v>1285.5677198972476</v>
      </c>
      <c r="CN185" s="961">
        <f t="shared" si="219"/>
        <v>5307.9679430212827</v>
      </c>
      <c r="CO185" s="960">
        <f t="shared" ref="CO185:CX185" si="220">CO153+CO157+CO160+CO167+CO182+CO178</f>
        <v>1284.1808910443533</v>
      </c>
      <c r="CP185" s="960">
        <f t="shared" si="220"/>
        <v>1241.9315236661278</v>
      </c>
      <c r="CQ185" s="960">
        <f t="shared" si="220"/>
        <v>1195.1503233545673</v>
      </c>
      <c r="CR185" s="960">
        <f t="shared" si="220"/>
        <v>1174.8615183449954</v>
      </c>
      <c r="CS185" s="961">
        <f t="shared" si="220"/>
        <v>4896.124256410043</v>
      </c>
      <c r="CT185" s="960">
        <f t="shared" si="220"/>
        <v>1164.003470118455</v>
      </c>
      <c r="CU185" s="960">
        <f t="shared" si="220"/>
        <v>1120.297076736322</v>
      </c>
      <c r="CV185" s="960">
        <f t="shared" si="220"/>
        <v>1072.8772504872861</v>
      </c>
      <c r="CW185" s="960">
        <f t="shared" si="220"/>
        <v>1049.8509753459759</v>
      </c>
      <c r="CX185" s="961">
        <f t="shared" si="220"/>
        <v>4407.0287726880388</v>
      </c>
      <c r="CY185" s="466"/>
      <c r="DA185" s="497"/>
      <c r="DB185" s="496"/>
      <c r="DC185" s="496"/>
    </row>
    <row r="186" spans="1:107" ht="11.25" hidden="1" customHeight="1" outlineLevel="2">
      <c r="A186" s="500"/>
      <c r="B186" s="500"/>
      <c r="C186" s="501"/>
      <c r="D186" s="502"/>
      <c r="E186" s="502"/>
      <c r="F186" s="503"/>
      <c r="G186" s="504"/>
      <c r="H186" s="501"/>
      <c r="I186" s="502"/>
      <c r="J186" s="502"/>
      <c r="K186" s="503"/>
      <c r="L186" s="501"/>
      <c r="M186" s="501"/>
      <c r="N186" s="502"/>
      <c r="O186" s="502"/>
      <c r="P186" s="503"/>
      <c r="Q186" s="504"/>
      <c r="R186" s="502"/>
      <c r="S186" s="502"/>
      <c r="T186" s="502"/>
      <c r="U186" s="502"/>
      <c r="V186" s="504"/>
      <c r="W186" s="502"/>
      <c r="X186" s="502"/>
      <c r="Y186" s="502"/>
      <c r="Z186" s="502"/>
      <c r="AA186" s="472">
        <f>+AA185/V185-1</f>
        <v>0.18007105565226067</v>
      </c>
      <c r="AB186" s="469">
        <f>AB185/W185-1</f>
        <v>0.38612804039908477</v>
      </c>
      <c r="AC186" s="469">
        <f>AC185/X185-1</f>
        <v>0.28097349146924877</v>
      </c>
      <c r="AD186" s="469">
        <f>AD185/Y185-1</f>
        <v>0.23655030800821386</v>
      </c>
      <c r="AE186" s="469">
        <f>+AE185/Y185-1</f>
        <v>0.40082135523613971</v>
      </c>
      <c r="AF186" s="472">
        <f>+AF185/AA185-1</f>
        <v>0.30945032348867452</v>
      </c>
      <c r="AG186" s="469">
        <f>AG185/AB185-1</f>
        <v>-9.2680880277660194E-3</v>
      </c>
      <c r="AH186" s="469">
        <f>AH185/AC185-1</f>
        <v>0.17343720491029302</v>
      </c>
      <c r="AI186" s="469">
        <f>AI185/AD185-1</f>
        <v>0.41431418133510411</v>
      </c>
      <c r="AJ186" s="469">
        <f>+AJ185/AD185-1</f>
        <v>0.5131185652607102</v>
      </c>
      <c r="AK186" s="472">
        <f>+AK185/AF185-1</f>
        <v>0.22623875120132775</v>
      </c>
      <c r="AL186" s="469">
        <f>AL185/AG185-1</f>
        <v>0.37111179550354167</v>
      </c>
      <c r="AM186" s="469">
        <f>AM185/AH185-1</f>
        <v>0.18950861183312284</v>
      </c>
      <c r="AN186" s="469">
        <f>AN185/AI185-1</f>
        <v>4.1798755430316081E-2</v>
      </c>
      <c r="AO186" s="469">
        <f>+AO185/AI185-1</f>
        <v>7.4674181049665611E-2</v>
      </c>
      <c r="AP186" s="472">
        <f>+AP185/AK185-1</f>
        <v>0.13363239264549676</v>
      </c>
      <c r="AQ186" s="469">
        <f>AQ185/AL185-1</f>
        <v>-0.11680143755615457</v>
      </c>
      <c r="AR186" s="469">
        <f>AR185/AM185-1</f>
        <v>-0.20543466005186617</v>
      </c>
      <c r="AS186" s="469">
        <f>AS185/AN185-1</f>
        <v>-0.21390735940493644</v>
      </c>
      <c r="AT186" s="469">
        <f>+AT185/AN185-1</f>
        <v>-0.14651189000338116</v>
      </c>
      <c r="AU186" s="472">
        <f>+AU185/AP185-1</f>
        <v>-0.1770999189921505</v>
      </c>
      <c r="AV186" s="469">
        <f>AV185/AQ185-1</f>
        <v>9.1937945066123961E-2</v>
      </c>
      <c r="AW186" s="469">
        <f>AW185/AR185-1</f>
        <v>0.33815808145310089</v>
      </c>
      <c r="AX186" s="469">
        <f>AX185/AS185-1</f>
        <v>0.41978494623655949</v>
      </c>
      <c r="AY186" s="469">
        <f>+AY185/AT185-1</f>
        <v>0.33104450019807219</v>
      </c>
      <c r="AZ186" s="472">
        <f>+AZ185/AU185-1</f>
        <v>0.28992837502970237</v>
      </c>
      <c r="BA186" s="475">
        <f>BA185/AV185-1</f>
        <v>0.19341795737743106</v>
      </c>
      <c r="BB186" s="475">
        <f>BB185/AW185-1</f>
        <v>8.8113847295864023E-2</v>
      </c>
      <c r="BC186" s="469">
        <f>BC185/AX185-1</f>
        <v>3.6166071274361E-2</v>
      </c>
      <c r="BD186" s="469">
        <f>+BD185/AX185-1</f>
        <v>9.5855555761602984E-2</v>
      </c>
      <c r="BE186" s="472">
        <f>+BE185/AZ185-1</f>
        <v>9.5321151382556923E-2</v>
      </c>
      <c r="BF186" s="469">
        <f>BF185/BA185-1</f>
        <v>0.1040690022391586</v>
      </c>
      <c r="BG186" s="475">
        <f>BG185/BB185-1</f>
        <v>0.12005467391628022</v>
      </c>
      <c r="BH186" s="475">
        <f>BH185/BC185-1</f>
        <v>0.1323238504637998</v>
      </c>
      <c r="BI186" s="469">
        <f>+BI185/BC185-1</f>
        <v>0.16705149927008001</v>
      </c>
      <c r="BJ186" s="472">
        <f>+BJ185/BE185-1</f>
        <v>0.11482305198394238</v>
      </c>
      <c r="BK186" s="475">
        <f>BK185/BF185-1</f>
        <v>0.10531386972194579</v>
      </c>
      <c r="BL186" s="475">
        <f>BL185/BG185-1</f>
        <v>0.10006327147111849</v>
      </c>
      <c r="BM186" s="475">
        <f>BM185/BH185-1</f>
        <v>9.533765561680263E-2</v>
      </c>
      <c r="BN186" s="475">
        <f>+BN185/BH185-1</f>
        <v>0.12495311666911824</v>
      </c>
      <c r="BO186" s="950">
        <f>+BO185/BJ185-1</f>
        <v>9.7944617401535261E-2</v>
      </c>
      <c r="BP186" s="475">
        <f>BP185/BK185-1</f>
        <v>8.5028005864978162E-2</v>
      </c>
      <c r="BQ186" s="475">
        <f>BQ185/BL185-1</f>
        <v>7.6512644737697144E-2</v>
      </c>
      <c r="BR186" s="475">
        <f>BR185/BM185-1</f>
        <v>6.7963617937039311E-2</v>
      </c>
      <c r="BS186" s="475">
        <f>+BS185/BM185-1</f>
        <v>8.8318848570989594E-2</v>
      </c>
      <c r="BT186" s="950">
        <f>+BT185/BO185-1</f>
        <v>7.2145621964408546E-2</v>
      </c>
      <c r="BU186" s="475">
        <f>BU185/BP185-1</f>
        <v>5.2510060732066544E-2</v>
      </c>
      <c r="BV186" s="475">
        <f>BV185/BQ185-1</f>
        <v>4.4160149935119186E-2</v>
      </c>
      <c r="BW186" s="475">
        <f>BW185/BR185-1</f>
        <v>3.575542055883707E-2</v>
      </c>
      <c r="BX186" s="475">
        <f>+BX185/BR185-1</f>
        <v>4.7189202337589942E-2</v>
      </c>
      <c r="BY186" s="950">
        <f>+BY185/BT185-1</f>
        <v>3.9944680899488327E-2</v>
      </c>
      <c r="BZ186" s="475">
        <f>BZ185/BU185-1</f>
        <v>2.00135045764398E-2</v>
      </c>
      <c r="CA186" s="475">
        <f>CA185/BV185-1</f>
        <v>1.2027452989974652E-2</v>
      </c>
      <c r="CB186" s="475">
        <f>CB185/BW185-1</f>
        <v>3.9738172990957388E-3</v>
      </c>
      <c r="CC186" s="475">
        <f>+CC185/BW185-1</f>
        <v>7.1677338799354118E-3</v>
      </c>
      <c r="CD186" s="950">
        <f>+CD185/BY185-1</f>
        <v>8.0663181422080399E-3</v>
      </c>
      <c r="CE186" s="475">
        <f>CE185/BZ185-1</f>
        <v>-1.1638083893203421E-2</v>
      </c>
      <c r="CF186" s="475">
        <f>CF185/CA185-1</f>
        <v>-1.9069128104723054E-2</v>
      </c>
      <c r="CG186" s="475">
        <f>CG185/CB185-1</f>
        <v>-2.6570989985993942E-2</v>
      </c>
      <c r="CH186" s="475">
        <f>+CH185/CB185-1</f>
        <v>-3.0748796929062516E-2</v>
      </c>
      <c r="CI186" s="950">
        <f>+CI185/CD185-1</f>
        <v>-2.2683328748699938E-2</v>
      </c>
      <c r="CJ186" s="475">
        <f>CJ185/CE185-1</f>
        <v>-4.1677253813575565E-2</v>
      </c>
      <c r="CK186" s="475">
        <f>CK185/CF185-1</f>
        <v>-4.8346362441628044E-2</v>
      </c>
      <c r="CL186" s="475">
        <f>CL185/CG185-1</f>
        <v>-5.5078576824330816E-2</v>
      </c>
      <c r="CM186" s="475">
        <f>+CM185/CG185-1</f>
        <v>-6.5585014792694407E-2</v>
      </c>
      <c r="CN186" s="950">
        <f>+CN185/CI185-1</f>
        <v>-5.1519469824656383E-2</v>
      </c>
      <c r="CO186" s="475">
        <f>CO185/CJ185-1</f>
        <v>-6.9300649636620637E-2</v>
      </c>
      <c r="CP186" s="475">
        <f>CP185/CK185-1</f>
        <v>-7.4963488082824936E-2</v>
      </c>
      <c r="CQ186" s="475">
        <f>CQ185/CL185-1</f>
        <v>-8.0669489510042602E-2</v>
      </c>
      <c r="CR186" s="475">
        <f>+CR185/CL185-1</f>
        <v>-9.6275992811090005E-2</v>
      </c>
      <c r="CS186" s="950">
        <f>+CS185/CN185-1</f>
        <v>-7.7589708723225459E-2</v>
      </c>
      <c r="CT186" s="475">
        <f>CT185/CO185-1</f>
        <v>-9.3582938170155061E-2</v>
      </c>
      <c r="CU186" s="475">
        <f>CU185/CP185-1</f>
        <v>-9.7939737104624114E-2</v>
      </c>
      <c r="CV186" s="475">
        <f>CV185/CQ185-1</f>
        <v>-0.10230769341557233</v>
      </c>
      <c r="CW186" s="475">
        <f>+CW185/CQ185-1</f>
        <v>-0.12157411931309425</v>
      </c>
      <c r="CX186" s="950">
        <f>+CX185/CS185-1</f>
        <v>-9.9894418137300489E-2</v>
      </c>
      <c r="CY186" s="475"/>
      <c r="DA186" s="505"/>
      <c r="DB186" s="502"/>
      <c r="DC186" s="502"/>
    </row>
    <row r="187" spans="1:107" ht="11.25" hidden="1" customHeight="1" outlineLevel="1">
      <c r="A187" s="114"/>
      <c r="B187" s="114"/>
      <c r="C187" s="116"/>
      <c r="D187" s="117"/>
      <c r="E187" s="117"/>
      <c r="F187" s="118"/>
      <c r="G187" s="119"/>
      <c r="H187" s="116"/>
      <c r="I187" s="117"/>
      <c r="J187" s="117"/>
      <c r="K187" s="118"/>
      <c r="L187" s="116"/>
      <c r="M187" s="116"/>
      <c r="N187" s="117"/>
      <c r="O187" s="117"/>
      <c r="P187" s="118"/>
      <c r="Q187" s="119"/>
      <c r="R187" s="117"/>
      <c r="S187" s="117"/>
      <c r="T187" s="117"/>
      <c r="U187" s="117"/>
      <c r="V187" s="119"/>
      <c r="W187" s="117"/>
      <c r="X187" s="117"/>
      <c r="Y187" s="117"/>
      <c r="Z187" s="117"/>
      <c r="AA187" s="119"/>
      <c r="AB187" s="121">
        <f>AB185-(Z185*0.08)</f>
        <v>614.61315999999999</v>
      </c>
      <c r="AC187" s="121">
        <f>AC185-(AB185*0.01)</f>
        <v>628.84524999999996</v>
      </c>
      <c r="AD187" s="121">
        <f>AD185-(AC185*0.0001)</f>
        <v>602.13646000000017</v>
      </c>
      <c r="AE187" s="121">
        <f>AE185-(AD185*0.0001)</f>
        <v>682.13978000000009</v>
      </c>
      <c r="AF187" s="120"/>
      <c r="AG187" s="121">
        <f>AG185-(AE185*0.02)</f>
        <v>635.75600000000009</v>
      </c>
      <c r="AH187" s="121">
        <f>AH185-(AG185*0.01)</f>
        <v>739.10800000000006</v>
      </c>
      <c r="AI187" s="121">
        <f>AI185-(AH185*0.01)</f>
        <v>844.24397999999997</v>
      </c>
      <c r="AJ187" s="121">
        <f>AJ185-(AI185*0.06)</f>
        <v>860.09799999999996</v>
      </c>
      <c r="AK187" s="120"/>
      <c r="AL187" s="1264">
        <f>AL185-(AJ185*0.07)</f>
        <v>826.6160000000001</v>
      </c>
      <c r="AM187" s="1264">
        <f>AM185-(AL185*0.05)</f>
        <v>842.38000000000011</v>
      </c>
      <c r="AN187" s="1264">
        <f>AN185-(AM185*0.04)</f>
        <v>851.82400000000007</v>
      </c>
      <c r="AO187" s="1264">
        <f>AO185-(AN185*0.001)</f>
        <v>914.41270000000009</v>
      </c>
      <c r="AP187" s="120"/>
      <c r="AQ187" s="1264">
        <f>AQ185-(AO185*0.0001)</f>
        <v>786.30847000000006</v>
      </c>
      <c r="AR187" s="1264">
        <f>AR185-(AQ185*0.04)</f>
        <v>673.24399999999991</v>
      </c>
      <c r="AS187" s="1264">
        <f>AS185-(AR185*0.04)</f>
        <v>669.31200000000001</v>
      </c>
      <c r="AT187" s="1264">
        <f>AT185-(AS185*0.02)</f>
        <v>743.34999999999991</v>
      </c>
      <c r="AU187" s="1058"/>
      <c r="AV187" s="1264">
        <f>AV185-(AT185*0.09)</f>
        <v>790.54300000000001</v>
      </c>
      <c r="AW187" s="1264">
        <f>AW185-(AV185*0.07)</f>
        <v>882.89100000000008</v>
      </c>
      <c r="AX187" s="1264">
        <f>AX185-(AW185*0.07)</f>
        <v>924.29000000000019</v>
      </c>
      <c r="AY187" s="1264"/>
      <c r="AZ187" s="1058"/>
      <c r="BA187" s="1264"/>
      <c r="BB187" s="1264"/>
      <c r="BC187" s="1066"/>
      <c r="BD187" s="1264"/>
      <c r="BE187" s="1058"/>
      <c r="BF187" s="1066"/>
      <c r="BG187" s="1252"/>
      <c r="BH187" s="1252"/>
      <c r="BI187" s="1264"/>
      <c r="BJ187" s="1058"/>
      <c r="BK187" s="1252"/>
      <c r="BL187" s="1252"/>
      <c r="BM187" s="1252"/>
      <c r="BN187" s="1253"/>
      <c r="BO187" s="1058"/>
      <c r="BP187" s="1252"/>
      <c r="BQ187" s="1252"/>
      <c r="BR187" s="1252"/>
      <c r="BS187" s="1252"/>
      <c r="BT187" s="1058"/>
      <c r="BU187" s="1252"/>
      <c r="BV187" s="1252"/>
      <c r="BW187" s="1252"/>
      <c r="BX187" s="1253"/>
      <c r="BY187" s="1058"/>
      <c r="BZ187" s="1252"/>
      <c r="CA187" s="1252"/>
      <c r="CB187" s="1252"/>
      <c r="CC187" s="1253"/>
      <c r="CD187" s="1058"/>
      <c r="CE187" s="1252"/>
      <c r="CF187" s="1252"/>
      <c r="CG187" s="1252"/>
      <c r="CH187" s="1253"/>
      <c r="CI187" s="1058"/>
      <c r="CJ187" s="1252"/>
      <c r="CK187" s="1252"/>
      <c r="CL187" s="1252"/>
      <c r="CM187" s="1253"/>
      <c r="CN187" s="1058"/>
      <c r="CO187" s="1252"/>
      <c r="CP187" s="1252"/>
      <c r="CQ187" s="1252"/>
      <c r="CR187" s="1253"/>
      <c r="CS187" s="1058"/>
      <c r="CT187" s="1252"/>
      <c r="CU187" s="1252"/>
      <c r="CV187" s="1252"/>
      <c r="CW187" s="1253"/>
      <c r="CX187" s="1058"/>
      <c r="CY187" s="1729"/>
      <c r="DA187" s="126"/>
      <c r="DB187" s="117"/>
      <c r="DC187" s="117"/>
    </row>
    <row r="188" spans="1:107" ht="11.25" hidden="1" customHeight="1" outlineLevel="1">
      <c r="A188" s="392" t="s">
        <v>446</v>
      </c>
      <c r="B188" s="114"/>
      <c r="C188" s="1143"/>
      <c r="D188" s="121"/>
      <c r="E188" s="121"/>
      <c r="F188" s="122"/>
      <c r="G188" s="120"/>
      <c r="H188" s="1143"/>
      <c r="I188" s="121"/>
      <c r="J188" s="121"/>
      <c r="K188" s="122"/>
      <c r="L188" s="1143"/>
      <c r="M188" s="1143"/>
      <c r="N188" s="121"/>
      <c r="O188" s="121"/>
      <c r="P188" s="122"/>
      <c r="Q188" s="120"/>
      <c r="R188" s="121"/>
      <c r="S188" s="121"/>
      <c r="T188" s="121"/>
      <c r="U188" s="121"/>
      <c r="V188" s="120"/>
      <c r="W188" s="121"/>
      <c r="X188" s="121"/>
      <c r="Y188" s="121"/>
      <c r="Z188" s="121"/>
      <c r="AA188" s="120"/>
      <c r="AB188" s="1066">
        <f>AB187/Z185-1</f>
        <v>0.20330001781613349</v>
      </c>
      <c r="AC188" s="1066">
        <f>AC187/AB185-1</f>
        <v>-4.0626644799572897E-2</v>
      </c>
      <c r="AD188" s="1066">
        <f>AD187/AC185-1</f>
        <v>-5.2350550834119991E-2</v>
      </c>
      <c r="AE188" s="1066">
        <f>AE187/AD185-1</f>
        <v>0.13274623048820966</v>
      </c>
      <c r="AF188" s="1144"/>
      <c r="AG188" s="1066">
        <f>AG187/AE185-1</f>
        <v>-6.807974201114031E-2</v>
      </c>
      <c r="AH188" s="1066">
        <f>AH187/AG185-1</f>
        <v>0.13813982137357561</v>
      </c>
      <c r="AI188" s="1066">
        <f>AI187/AH185-1</f>
        <v>0.13229843804067021</v>
      </c>
      <c r="AJ188" s="1066">
        <f>AJ187/AI185-1</f>
        <v>9.8602794411177808E-3</v>
      </c>
      <c r="AK188" s="120"/>
      <c r="AL188" s="1265">
        <f>AL187/AJ185-1</f>
        <v>-9.2827041264266774E-2</v>
      </c>
      <c r="AM188" s="1265">
        <f>AM187/AL185-1</f>
        <v>-5.3930817610062909E-2</v>
      </c>
      <c r="AN188" s="1265">
        <f>AN187/AM185-1</f>
        <v>-3.9548990867065092E-2</v>
      </c>
      <c r="AO188" s="1265">
        <f>AO187/AN185-1</f>
        <v>3.0556407077651393E-2</v>
      </c>
      <c r="AP188" s="120"/>
      <c r="AQ188" s="1265">
        <f>AQ187/AO185-1</f>
        <v>-0.14092814377799634</v>
      </c>
      <c r="AR188" s="1265">
        <f>AR187/AQ185-1</f>
        <v>-0.14389114954221793</v>
      </c>
      <c r="AS188" s="1265">
        <f>AS187/AR185-1</f>
        <v>-5.021711366538939E-2</v>
      </c>
      <c r="AT188" s="1265">
        <f>AT187/AS185-1</f>
        <v>6.5734767025089402E-2</v>
      </c>
      <c r="AU188" s="1145"/>
      <c r="AV188" s="1265">
        <f>AV187/AT185-1</f>
        <v>4.389673841278241E-2</v>
      </c>
      <c r="AW188" s="1265">
        <f>AW187/AV185-1</f>
        <v>2.8171654827064296E-2</v>
      </c>
      <c r="AX188" s="1265">
        <f>AX187/AW185-1</f>
        <v>-1.984093319194058E-2</v>
      </c>
      <c r="AY188" s="1265"/>
      <c r="AZ188" s="1145"/>
      <c r="BA188" s="1265"/>
      <c r="BB188" s="1265"/>
      <c r="BC188" s="1138"/>
      <c r="BD188" s="1265"/>
      <c r="BE188" s="1145"/>
      <c r="BF188" s="1138"/>
      <c r="BG188" s="1138"/>
      <c r="BH188" s="1138"/>
      <c r="BI188" s="1265"/>
      <c r="BJ188" s="1145"/>
      <c r="BK188" s="1138"/>
      <c r="BL188" s="1138"/>
      <c r="BM188" s="1138"/>
      <c r="BN188" s="1138"/>
      <c r="BO188" s="1145"/>
      <c r="BP188" s="1138"/>
      <c r="BQ188" s="1138"/>
      <c r="BR188" s="1138"/>
      <c r="BS188" s="1138"/>
      <c r="BT188" s="1145"/>
      <c r="BU188" s="1138"/>
      <c r="BV188" s="1138"/>
      <c r="BW188" s="1138"/>
      <c r="BX188" s="1138"/>
      <c r="BY188" s="1145"/>
      <c r="BZ188" s="1138"/>
      <c r="CA188" s="1138"/>
      <c r="CB188" s="1138"/>
      <c r="CC188" s="1138"/>
      <c r="CD188" s="1145"/>
      <c r="CE188" s="1138"/>
      <c r="CF188" s="1138"/>
      <c r="CG188" s="1138"/>
      <c r="CH188" s="1138"/>
      <c r="CI188" s="1145"/>
      <c r="CJ188" s="1138"/>
      <c r="CK188" s="1138"/>
      <c r="CL188" s="1138"/>
      <c r="CM188" s="1138"/>
      <c r="CN188" s="1145"/>
      <c r="CO188" s="1138"/>
      <c r="CP188" s="1138"/>
      <c r="CQ188" s="1138"/>
      <c r="CR188" s="1138"/>
      <c r="CS188" s="1145"/>
      <c r="CT188" s="1138"/>
      <c r="CU188" s="1138"/>
      <c r="CV188" s="1138"/>
      <c r="CW188" s="1138"/>
      <c r="CX188" s="1145"/>
      <c r="CY188" s="1138"/>
      <c r="DA188" s="1146"/>
      <c r="DB188" s="121"/>
      <c r="DC188" s="121"/>
    </row>
    <row r="189" spans="1:107" ht="11.25" hidden="1" customHeight="1" outlineLevel="1">
      <c r="A189" s="457" t="s">
        <v>93</v>
      </c>
      <c r="B189" s="479"/>
      <c r="C189" s="480"/>
      <c r="D189" s="481"/>
      <c r="E189" s="481"/>
      <c r="F189" s="482"/>
      <c r="G189" s="483"/>
      <c r="H189" s="480"/>
      <c r="I189" s="481"/>
      <c r="J189" s="481"/>
      <c r="K189" s="482"/>
      <c r="L189" s="480"/>
      <c r="M189" s="480"/>
      <c r="N189" s="481"/>
      <c r="O189" s="481"/>
      <c r="P189" s="482"/>
      <c r="Q189" s="483"/>
      <c r="R189" s="481"/>
      <c r="S189" s="481"/>
      <c r="T189" s="481"/>
      <c r="U189" s="481"/>
      <c r="V189" s="463">
        <v>56.69</v>
      </c>
      <c r="W189" s="485">
        <v>13.32</v>
      </c>
      <c r="X189" s="485">
        <v>12.279</v>
      </c>
      <c r="Y189" s="485">
        <v>14.397</v>
      </c>
      <c r="Z189" s="479">
        <f>AA189-SUM(W189:Y189)</f>
        <v>15.324999999999996</v>
      </c>
      <c r="AA189" s="463">
        <v>55.320999999999998</v>
      </c>
      <c r="AB189" s="485">
        <v>37.5</v>
      </c>
      <c r="AC189" s="485">
        <v>33</v>
      </c>
      <c r="AD189" s="485">
        <v>31.4</v>
      </c>
      <c r="AE189" s="485">
        <v>36.516999999999996</v>
      </c>
      <c r="AF189" s="465">
        <f>SUM(AB189:AE189)</f>
        <v>138.417</v>
      </c>
      <c r="AG189" s="479">
        <v>30.1</v>
      </c>
      <c r="AH189" s="479">
        <v>32.808999999999997</v>
      </c>
      <c r="AI189" s="479">
        <v>40.113999999999997</v>
      </c>
      <c r="AJ189" s="479">
        <f>147.161-SUM(AG189:AI189)</f>
        <v>44.138000000000005</v>
      </c>
      <c r="AK189" s="465">
        <f>SUM(AG189:AJ189)</f>
        <v>147.161</v>
      </c>
      <c r="AL189" s="479">
        <v>36.048000000000002</v>
      </c>
      <c r="AM189" s="479">
        <v>34.299999999999997</v>
      </c>
      <c r="AN189" s="479">
        <v>53.7</v>
      </c>
      <c r="AO189" s="479">
        <v>36.5</v>
      </c>
      <c r="AP189" s="465">
        <f>SUM(AL189:AO189)</f>
        <v>160.548</v>
      </c>
      <c r="AQ189" s="479">
        <v>42.8</v>
      </c>
      <c r="AR189" s="479">
        <v>39.6</v>
      </c>
      <c r="AS189" s="479">
        <v>34.9</v>
      </c>
      <c r="AT189" s="479">
        <v>35.700000000000003</v>
      </c>
      <c r="AU189" s="465">
        <f>SUM(AQ189:AT189)</f>
        <v>153</v>
      </c>
      <c r="AV189" s="479">
        <v>22.8</v>
      </c>
      <c r="AW189" s="479">
        <v>36.9</v>
      </c>
      <c r="AX189" s="479">
        <v>28.4</v>
      </c>
      <c r="AY189" s="479">
        <v>32.6</v>
      </c>
      <c r="AZ189" s="465">
        <f>SUM(AV189:AY189)</f>
        <v>120.69999999999999</v>
      </c>
      <c r="BA189" s="487">
        <f>BA153*BA190</f>
        <v>29.964577499999997</v>
      </c>
      <c r="BB189" s="487">
        <f>BB153*BB190</f>
        <v>29.990728403999999</v>
      </c>
      <c r="BC189" s="479">
        <f>BC153*BC190</f>
        <v>29.240960193899998</v>
      </c>
      <c r="BD189" s="479">
        <f>BD153*BD190</f>
        <v>28.700002430312846</v>
      </c>
      <c r="BE189" s="465">
        <f>SUM(BA189:BD189)</f>
        <v>117.89626852821284</v>
      </c>
      <c r="BF189" s="479">
        <f>BF153*BF190</f>
        <v>33.087791263408754</v>
      </c>
      <c r="BG189" s="487">
        <f>BG153*BG190</f>
        <v>34.666379704775743</v>
      </c>
      <c r="BH189" s="487">
        <f>BH153*BH190</f>
        <v>35.013043501823503</v>
      </c>
      <c r="BI189" s="479">
        <f>BI153*BI190</f>
        <v>33.389938842346105</v>
      </c>
      <c r="BJ189" s="465">
        <f>SUM(BF189:BI189)</f>
        <v>136.1571533123541</v>
      </c>
      <c r="BK189" s="487">
        <f>BK153*BK190</f>
        <v>38.141583985295362</v>
      </c>
      <c r="BL189" s="487">
        <f>BL153*BL190</f>
        <v>39.572933609761719</v>
      </c>
      <c r="BM189" s="487">
        <f>BM153*BM190</f>
        <v>39.572933609761719</v>
      </c>
      <c r="BN189" s="487">
        <f>BN153*BN190</f>
        <v>37.370982518189976</v>
      </c>
      <c r="BO189" s="467">
        <f>SUM(BK189:BN189)</f>
        <v>154.65843372300878</v>
      </c>
      <c r="BP189" s="487">
        <f>BP153*BP190</f>
        <v>42.293890792220772</v>
      </c>
      <c r="BQ189" s="487">
        <f>BQ153*BQ190</f>
        <v>43.450436460429863</v>
      </c>
      <c r="BR189" s="487">
        <f>BR153*BR190</f>
        <v>43.015932095825562</v>
      </c>
      <c r="BS189" s="487">
        <f>BS153*BS190</f>
        <v>40.222969076175168</v>
      </c>
      <c r="BT189" s="467">
        <f>SUM(BP189:BS189)</f>
        <v>168.98322842465137</v>
      </c>
      <c r="BU189" s="487">
        <f>BU153*BU190</f>
        <v>45.096136483481011</v>
      </c>
      <c r="BV189" s="487">
        <f>BV153*BV190</f>
        <v>45.870150171488397</v>
      </c>
      <c r="BW189" s="487">
        <f>BW153*BW190</f>
        <v>44.952747168058629</v>
      </c>
      <c r="BX189" s="487">
        <f>BX153*BX190</f>
        <v>41.616611146086271</v>
      </c>
      <c r="BY189" s="467">
        <f>SUM(BU189:BX189)</f>
        <v>177.53564496911429</v>
      </c>
      <c r="BZ189" s="487">
        <f>BZ153*BZ190</f>
        <v>46.218447955509284</v>
      </c>
      <c r="CA189" s="487">
        <f>CA153*CA190</f>
        <v>46.541136755780471</v>
      </c>
      <c r="CB189" s="487">
        <f>CB153*CB190</f>
        <v>45.14490265310706</v>
      </c>
      <c r="CC189" s="487">
        <f>CC153*CC190</f>
        <v>41.375303281572613</v>
      </c>
      <c r="CD189" s="467">
        <f>SUM(BZ189:CC189)</f>
        <v>179.27979064596946</v>
      </c>
      <c r="CE189" s="487">
        <f>CE153*CE190</f>
        <v>45.512833609729881</v>
      </c>
      <c r="CF189" s="487">
        <f>CF153*CF190</f>
        <v>45.367192542178749</v>
      </c>
      <c r="CG189" s="487">
        <f>CG153*CG190</f>
        <v>43.552504840491594</v>
      </c>
      <c r="CH189" s="487">
        <f>CH153*CH190</f>
        <v>39.51145456993455</v>
      </c>
      <c r="CI189" s="467">
        <f>SUM(CE189:CH189)</f>
        <v>173.94398556233477</v>
      </c>
      <c r="CJ189" s="487">
        <f>CJ153*CJ190</f>
        <v>43.044690411284471</v>
      </c>
      <c r="CK189" s="487">
        <f>CK153*CK190</f>
        <v>42.468674190508011</v>
      </c>
      <c r="CL189" s="487">
        <f>CL153*CL190</f>
        <v>40.345240480982611</v>
      </c>
      <c r="CM189" s="487">
        <f>CM153*CM190</f>
        <v>36.227144149030885</v>
      </c>
      <c r="CN189" s="467">
        <f>SUM(CJ189:CM189)</f>
        <v>162.08574923180598</v>
      </c>
      <c r="CO189" s="487">
        <f>CO153*CO190</f>
        <v>39.083515130012167</v>
      </c>
      <c r="CP189" s="487">
        <f>CP153*CP190</f>
        <v>38.162565391675876</v>
      </c>
      <c r="CQ189" s="487">
        <f>CQ153*CQ190</f>
        <v>35.872811468175321</v>
      </c>
      <c r="CR189" s="487">
        <f>CR153*CR190</f>
        <v>31.878117676826367</v>
      </c>
      <c r="CS189" s="467">
        <f>SUM(CO189:CR189)</f>
        <v>144.99700966668973</v>
      </c>
      <c r="CT189" s="487">
        <f>CT153*CT190</f>
        <v>34.054412248994325</v>
      </c>
      <c r="CU189" s="487">
        <f>CU153*CU190</f>
        <v>32.905230628373715</v>
      </c>
      <c r="CV189" s="487">
        <f>CV153*CV190</f>
        <v>30.601864484387551</v>
      </c>
      <c r="CW189" s="487">
        <f>CW153*CW190</f>
        <v>26.909968119092511</v>
      </c>
      <c r="CX189" s="467">
        <f>SUM(CT189:CW189)</f>
        <v>124.4714754808481</v>
      </c>
      <c r="CY189" s="466"/>
      <c r="DA189" s="1146"/>
      <c r="DB189" s="481"/>
      <c r="DC189" s="481"/>
    </row>
    <row r="190" spans="1:107" ht="11.25" hidden="1" customHeight="1" outlineLevel="1">
      <c r="A190" s="468" t="s">
        <v>275</v>
      </c>
      <c r="B190" s="469"/>
      <c r="C190" s="470"/>
      <c r="D190" s="469"/>
      <c r="E190" s="469"/>
      <c r="F190" s="471"/>
      <c r="G190" s="472"/>
      <c r="H190" s="470"/>
      <c r="I190" s="469"/>
      <c r="J190" s="469"/>
      <c r="K190" s="471"/>
      <c r="L190" s="470"/>
      <c r="M190" s="470"/>
      <c r="N190" s="469"/>
      <c r="O190" s="469"/>
      <c r="P190" s="471"/>
      <c r="Q190" s="472"/>
      <c r="R190" s="469"/>
      <c r="S190" s="469"/>
      <c r="T190" s="469"/>
      <c r="U190" s="469"/>
      <c r="V190" s="506"/>
      <c r="W190" s="469">
        <f t="shared" ref="W190:AK190" si="221">W189/W153</f>
        <v>5.2298873139895563E-2</v>
      </c>
      <c r="X190" s="469">
        <f t="shared" si="221"/>
        <v>4.2518490816920142E-2</v>
      </c>
      <c r="Y190" s="469">
        <f t="shared" si="221"/>
        <v>4.9491234101065665E-2</v>
      </c>
      <c r="Z190" s="469">
        <f t="shared" si="221"/>
        <v>5.2069176406632216E-2</v>
      </c>
      <c r="AA190" s="474">
        <f t="shared" si="221"/>
        <v>4.9012936984252707E-2</v>
      </c>
      <c r="AB190" s="469">
        <f t="shared" si="221"/>
        <v>9.8141847683852396E-2</v>
      </c>
      <c r="AC190" s="469">
        <f t="shared" si="221"/>
        <v>9.1641210774784779E-2</v>
      </c>
      <c r="AD190" s="469">
        <f t="shared" si="221"/>
        <v>9.4692400482509043E-2</v>
      </c>
      <c r="AE190" s="469">
        <f t="shared" si="221"/>
        <v>0.10029387530898103</v>
      </c>
      <c r="AF190" s="472">
        <f t="shared" si="221"/>
        <v>9.6263300646776545E-2</v>
      </c>
      <c r="AG190" s="469">
        <f t="shared" si="221"/>
        <v>8.6893764434180149E-2</v>
      </c>
      <c r="AH190" s="469">
        <f t="shared" si="221"/>
        <v>7.5143317171263727E-2</v>
      </c>
      <c r="AI190" s="469">
        <f t="shared" si="221"/>
        <v>7.3536205316223638E-2</v>
      </c>
      <c r="AJ190" s="469">
        <f t="shared" si="221"/>
        <v>7.7367221735319902E-2</v>
      </c>
      <c r="AK190" s="472">
        <f t="shared" si="221"/>
        <v>7.7493168841386004E-2</v>
      </c>
      <c r="AL190" s="469">
        <f t="shared" ref="AL190:AY190" si="222">AL189/AL153</f>
        <v>6.6325666973321068E-2</v>
      </c>
      <c r="AM190" s="469">
        <f t="shared" si="222"/>
        <v>6.5060698027314096E-2</v>
      </c>
      <c r="AN190" s="469">
        <f t="shared" si="222"/>
        <v>0.10879254457050243</v>
      </c>
      <c r="AO190" s="469">
        <f t="shared" si="222"/>
        <v>7.1751523491252217E-2</v>
      </c>
      <c r="AP190" s="472">
        <f t="shared" si="222"/>
        <v>7.7447178002894357E-2</v>
      </c>
      <c r="AQ190" s="469">
        <f t="shared" si="222"/>
        <v>9.2902105491643142E-2</v>
      </c>
      <c r="AR190" s="469">
        <f t="shared" si="222"/>
        <v>9.6186543599708532E-2</v>
      </c>
      <c r="AS190" s="469">
        <f t="shared" si="222"/>
        <v>8.7162837162837167E-2</v>
      </c>
      <c r="AT190" s="469">
        <f t="shared" si="222"/>
        <v>8.315863032844166E-2</v>
      </c>
      <c r="AU190" s="472">
        <f>AU189/AU153</f>
        <v>8.9888960695611309E-2</v>
      </c>
      <c r="AV190" s="469">
        <f t="shared" si="222"/>
        <v>5.2777777777777778E-2</v>
      </c>
      <c r="AW190" s="469">
        <f t="shared" si="222"/>
        <v>6.9269757837431944E-2</v>
      </c>
      <c r="AX190" s="469">
        <f t="shared" si="222"/>
        <v>5.1664544296889207E-2</v>
      </c>
      <c r="AY190" s="469">
        <f t="shared" si="222"/>
        <v>6.0136506179671645E-2</v>
      </c>
      <c r="AZ190" s="472">
        <f>AZ189/AZ153</f>
        <v>5.8691952346219302E-2</v>
      </c>
      <c r="BA190" s="475">
        <v>5.5E-2</v>
      </c>
      <c r="BB190" s="475">
        <v>5.6000000000000001E-2</v>
      </c>
      <c r="BC190" s="469">
        <v>5.6000000000000001E-2</v>
      </c>
      <c r="BD190" s="469">
        <v>5.1999999999999998E-2</v>
      </c>
      <c r="BE190" s="472">
        <f>BE189/BE153</f>
        <v>5.4722405825154939E-2</v>
      </c>
      <c r="BF190" s="469">
        <v>5.5E-2</v>
      </c>
      <c r="BG190" s="475">
        <v>5.6000000000000001E-2</v>
      </c>
      <c r="BH190" s="475">
        <v>5.6000000000000001E-2</v>
      </c>
      <c r="BI190" s="469">
        <v>5.1999999999999998E-2</v>
      </c>
      <c r="BJ190" s="472">
        <f>BJ189/BJ153</f>
        <v>5.4725855668660658E-2</v>
      </c>
      <c r="BK190" s="475">
        <v>5.5E-2</v>
      </c>
      <c r="BL190" s="475">
        <v>5.6000000000000001E-2</v>
      </c>
      <c r="BM190" s="475">
        <v>5.6000000000000001E-2</v>
      </c>
      <c r="BN190" s="475">
        <v>5.1999999999999998E-2</v>
      </c>
      <c r="BO190" s="476">
        <f>BO189/BO153</f>
        <v>5.4737141851541958E-2</v>
      </c>
      <c r="BP190" s="475">
        <v>5.5E-2</v>
      </c>
      <c r="BQ190" s="475">
        <v>5.6000000000000001E-2</v>
      </c>
      <c r="BR190" s="475">
        <v>5.6000000000000001E-2</v>
      </c>
      <c r="BS190" s="475">
        <v>5.1999999999999998E-2</v>
      </c>
      <c r="BT190" s="476">
        <f>BT189/BT153</f>
        <v>5.4748419453398617E-2</v>
      </c>
      <c r="BU190" s="475">
        <v>5.5E-2</v>
      </c>
      <c r="BV190" s="475">
        <v>5.6000000000000001E-2</v>
      </c>
      <c r="BW190" s="475">
        <v>5.6000000000000001E-2</v>
      </c>
      <c r="BX190" s="475">
        <v>5.1999999999999998E-2</v>
      </c>
      <c r="BY190" s="476">
        <f>BY189/BY153</f>
        <v>5.4759685361150452E-2</v>
      </c>
      <c r="BZ190" s="475">
        <v>5.5E-2</v>
      </c>
      <c r="CA190" s="475">
        <v>5.6000000000000001E-2</v>
      </c>
      <c r="CB190" s="475">
        <v>5.6000000000000001E-2</v>
      </c>
      <c r="CC190" s="475">
        <v>5.1999999999999998E-2</v>
      </c>
      <c r="CD190" s="476">
        <f>CD189/CD153</f>
        <v>5.4770936353427668E-2</v>
      </c>
      <c r="CE190" s="475">
        <v>5.5E-2</v>
      </c>
      <c r="CF190" s="475">
        <v>5.6000000000000001E-2</v>
      </c>
      <c r="CG190" s="475">
        <v>5.6000000000000001E-2</v>
      </c>
      <c r="CH190" s="475">
        <v>5.1999999999999998E-2</v>
      </c>
      <c r="CI190" s="476">
        <f>CI189/CI153</f>
        <v>5.4782169098637423E-2</v>
      </c>
      <c r="CJ190" s="475">
        <v>5.5E-2</v>
      </c>
      <c r="CK190" s="475">
        <v>5.6000000000000001E-2</v>
      </c>
      <c r="CL190" s="475">
        <v>5.6000000000000001E-2</v>
      </c>
      <c r="CM190" s="475">
        <v>5.1999999999999998E-2</v>
      </c>
      <c r="CN190" s="476">
        <f>CN189/CN153</f>
        <v>5.4793380153092486E-2</v>
      </c>
      <c r="CO190" s="475">
        <v>5.5E-2</v>
      </c>
      <c r="CP190" s="475">
        <v>5.6000000000000001E-2</v>
      </c>
      <c r="CQ190" s="475">
        <v>5.6000000000000001E-2</v>
      </c>
      <c r="CR190" s="475">
        <v>5.1999999999999998E-2</v>
      </c>
      <c r="CS190" s="476">
        <f>CS189/CS153</f>
        <v>5.4804565959210287E-2</v>
      </c>
      <c r="CT190" s="475">
        <v>5.5E-2</v>
      </c>
      <c r="CU190" s="475">
        <v>5.6000000000000001E-2</v>
      </c>
      <c r="CV190" s="475">
        <v>5.6000000000000001E-2</v>
      </c>
      <c r="CW190" s="475">
        <v>5.1999999999999998E-2</v>
      </c>
      <c r="CX190" s="476">
        <f>CX189/CX153</f>
        <v>5.481572284379238E-2</v>
      </c>
      <c r="CY190" s="475"/>
      <c r="DA190" s="1146"/>
      <c r="DB190" s="469"/>
      <c r="DC190" s="469"/>
    </row>
    <row r="191" spans="1:107" ht="11.25" hidden="1" customHeight="1" outlineLevel="1">
      <c r="A191" s="468"/>
      <c r="B191" s="469"/>
      <c r="C191" s="470"/>
      <c r="D191" s="469"/>
      <c r="E191" s="469"/>
      <c r="F191" s="471"/>
      <c r="G191" s="472"/>
      <c r="H191" s="470"/>
      <c r="I191" s="469"/>
      <c r="J191" s="469"/>
      <c r="K191" s="471"/>
      <c r="L191" s="470"/>
      <c r="M191" s="470"/>
      <c r="N191" s="469"/>
      <c r="O191" s="469"/>
      <c r="P191" s="471"/>
      <c r="Q191" s="472"/>
      <c r="R191" s="469"/>
      <c r="S191" s="469"/>
      <c r="T191" s="469"/>
      <c r="U191" s="469"/>
      <c r="V191" s="506"/>
      <c r="W191" s="469"/>
      <c r="X191" s="469"/>
      <c r="Y191" s="469"/>
      <c r="Z191" s="469"/>
      <c r="AA191" s="472"/>
      <c r="AB191" s="469"/>
      <c r="AC191" s="469"/>
      <c r="AD191" s="469"/>
      <c r="AE191" s="469"/>
      <c r="AF191" s="472"/>
      <c r="AG191" s="469"/>
      <c r="AH191" s="469"/>
      <c r="AI191" s="469"/>
      <c r="AJ191" s="469"/>
      <c r="AK191" s="472"/>
      <c r="AL191" s="469"/>
      <c r="AM191" s="469"/>
      <c r="AN191" s="469"/>
      <c r="AO191" s="469"/>
      <c r="AP191" s="472"/>
      <c r="AQ191" s="469"/>
      <c r="AR191" s="469"/>
      <c r="AS191" s="469"/>
      <c r="AT191" s="469"/>
      <c r="AU191" s="472"/>
      <c r="AV191" s="469"/>
      <c r="AW191" s="469"/>
      <c r="AX191" s="469"/>
      <c r="AY191" s="469"/>
      <c r="AZ191" s="472"/>
      <c r="BA191" s="475"/>
      <c r="BB191" s="475"/>
      <c r="BC191" s="469"/>
      <c r="BD191" s="469"/>
      <c r="BE191" s="472"/>
      <c r="BF191" s="469"/>
      <c r="BG191" s="475"/>
      <c r="BH191" s="475"/>
      <c r="BI191" s="469"/>
      <c r="BJ191" s="472"/>
      <c r="BK191" s="475"/>
      <c r="BL191" s="475"/>
      <c r="BM191" s="475"/>
      <c r="BN191" s="475"/>
      <c r="BO191" s="476"/>
      <c r="BP191" s="475"/>
      <c r="BQ191" s="475"/>
      <c r="BR191" s="475"/>
      <c r="BS191" s="475"/>
      <c r="BT191" s="476"/>
      <c r="BU191" s="475"/>
      <c r="BV191" s="475"/>
      <c r="BW191" s="475"/>
      <c r="BX191" s="475"/>
      <c r="BY191" s="476"/>
      <c r="BZ191" s="475"/>
      <c r="CA191" s="475"/>
      <c r="CB191" s="475"/>
      <c r="CC191" s="475"/>
      <c r="CD191" s="476"/>
      <c r="CE191" s="475"/>
      <c r="CF191" s="475"/>
      <c r="CG191" s="475"/>
      <c r="CH191" s="475"/>
      <c r="CI191" s="476"/>
      <c r="CJ191" s="475"/>
      <c r="CK191" s="475"/>
      <c r="CL191" s="475"/>
      <c r="CM191" s="475"/>
      <c r="CN191" s="476"/>
      <c r="CO191" s="475"/>
      <c r="CP191" s="475"/>
      <c r="CQ191" s="475"/>
      <c r="CR191" s="475"/>
      <c r="CS191" s="476"/>
      <c r="CT191" s="475"/>
      <c r="CU191" s="475"/>
      <c r="CV191" s="475"/>
      <c r="CW191" s="475"/>
      <c r="CX191" s="476"/>
      <c r="CY191" s="475"/>
      <c r="DA191" s="1146"/>
      <c r="DB191" s="469"/>
      <c r="DC191" s="469"/>
    </row>
    <row r="192" spans="1:107" ht="11.25" hidden="1" customHeight="1" outlineLevel="1">
      <c r="A192" s="478" t="s">
        <v>94</v>
      </c>
      <c r="B192" s="479"/>
      <c r="C192" s="480"/>
      <c r="D192" s="481"/>
      <c r="E192" s="481"/>
      <c r="F192" s="482"/>
      <c r="G192" s="483"/>
      <c r="H192" s="480"/>
      <c r="I192" s="481"/>
      <c r="J192" s="481"/>
      <c r="K192" s="482"/>
      <c r="L192" s="480"/>
      <c r="M192" s="480"/>
      <c r="N192" s="481"/>
      <c r="O192" s="481"/>
      <c r="P192" s="482"/>
      <c r="Q192" s="483"/>
      <c r="R192" s="481"/>
      <c r="S192" s="481"/>
      <c r="T192" s="481"/>
      <c r="U192" s="481"/>
      <c r="V192" s="484">
        <v>19.664000000000001</v>
      </c>
      <c r="W192" s="485">
        <v>5.5579999999999998</v>
      </c>
      <c r="X192" s="485">
        <v>6.7210000000000001</v>
      </c>
      <c r="Y192" s="485">
        <v>4.83</v>
      </c>
      <c r="Z192" s="479">
        <f>AA192-SUM(W192:Y192)</f>
        <v>5.0829999999999984</v>
      </c>
      <c r="AA192" s="484">
        <v>22.192</v>
      </c>
      <c r="AB192" s="485">
        <v>9.8149999999999995</v>
      </c>
      <c r="AC192" s="485">
        <v>7.9269999999999996</v>
      </c>
      <c r="AD192" s="485">
        <v>9.298</v>
      </c>
      <c r="AE192" s="485">
        <v>9.9570000000000007</v>
      </c>
      <c r="AF192" s="486">
        <f>SUM(AB192:AE192)</f>
        <v>36.997</v>
      </c>
      <c r="AG192" s="479">
        <v>10.673999999999999</v>
      </c>
      <c r="AH192" s="479">
        <v>20.831</v>
      </c>
      <c r="AI192" s="479">
        <v>15.968999999999999</v>
      </c>
      <c r="AJ192" s="479">
        <f>57.683-SUM(AG192:AI192)</f>
        <v>10.209000000000003</v>
      </c>
      <c r="AK192" s="486">
        <f>SUM(AG192:AJ192)</f>
        <v>57.683</v>
      </c>
      <c r="AL192" s="479">
        <v>9.8000000000000007</v>
      </c>
      <c r="AM192" s="479">
        <v>9.6999999999999993</v>
      </c>
      <c r="AN192" s="479">
        <v>13.2</v>
      </c>
      <c r="AO192" s="479">
        <v>11.1</v>
      </c>
      <c r="AP192" s="486">
        <f>SUM(AL192:AO192)</f>
        <v>43.800000000000004</v>
      </c>
      <c r="AQ192" s="479">
        <v>7.8</v>
      </c>
      <c r="AR192" s="479">
        <v>7.8</v>
      </c>
      <c r="AS192" s="479">
        <v>7</v>
      </c>
      <c r="AT192" s="479">
        <v>6.6</v>
      </c>
      <c r="AU192" s="486">
        <f>SUM(AQ192:AT192)</f>
        <v>29.200000000000003</v>
      </c>
      <c r="AV192" s="479">
        <v>4.5999999999999996</v>
      </c>
      <c r="AW192" s="479">
        <v>5.0999999999999996</v>
      </c>
      <c r="AX192" s="479">
        <v>4.9000000000000004</v>
      </c>
      <c r="AY192" s="479">
        <v>5.6</v>
      </c>
      <c r="AZ192" s="486">
        <f>SUM(AV192:AY192)</f>
        <v>20.2</v>
      </c>
      <c r="BA192" s="487">
        <f>BA157*BA193</f>
        <v>5.463984</v>
      </c>
      <c r="BB192" s="487">
        <f>BB157*BB193</f>
        <v>5.7098632799999987</v>
      </c>
      <c r="BC192" s="479">
        <f>BC157*BC193</f>
        <v>5.8982887682399978</v>
      </c>
      <c r="BD192" s="479">
        <f>BD157*BD193</f>
        <v>6.2816775381755967</v>
      </c>
      <c r="BE192" s="486">
        <f>SUM(BA192:BD192)</f>
        <v>23.353813586415594</v>
      </c>
      <c r="BF192" s="479">
        <f>BF157*BF193</f>
        <v>5.9675936612668163</v>
      </c>
      <c r="BG192" s="487">
        <f>BG157*BG193</f>
        <v>5.9974316295731498</v>
      </c>
      <c r="BH192" s="487">
        <f>BH157*BH193</f>
        <v>5.9674444714252841</v>
      </c>
      <c r="BI192" s="479">
        <f>BI157*BI193</f>
        <v>6.0271189161395373</v>
      </c>
      <c r="BJ192" s="486">
        <f>SUM(BF192:BI192)</f>
        <v>23.959588678404785</v>
      </c>
      <c r="BK192" s="487">
        <f>BK157*BK193</f>
        <v>5.8463053486553509</v>
      </c>
      <c r="BL192" s="487">
        <f>BL157*BL193</f>
        <v>5.9339999288851804</v>
      </c>
      <c r="BM192" s="487">
        <f>BM157*BM193</f>
        <v>5.9933399281740325</v>
      </c>
      <c r="BN192" s="487">
        <f>BN157*BN193</f>
        <v>6.1431734263783833</v>
      </c>
      <c r="BO192" s="488">
        <f>SUM(BK192:BN192)</f>
        <v>23.916818632092948</v>
      </c>
      <c r="BP192" s="487">
        <f>BP157*BP193</f>
        <v>5.958878223587031</v>
      </c>
      <c r="BQ192" s="487">
        <f>BQ157*BQ193</f>
        <v>6.0482613969408359</v>
      </c>
      <c r="BR192" s="487">
        <f>BR157*BR193</f>
        <v>6.1087440109102449</v>
      </c>
      <c r="BS192" s="487">
        <f>BS157*BS193</f>
        <v>6.2614626111830001</v>
      </c>
      <c r="BT192" s="488">
        <f>SUM(BP192:BS192)</f>
        <v>24.377346242621108</v>
      </c>
      <c r="BU192" s="487">
        <f>BU157*BU193</f>
        <v>6.0736187328475095</v>
      </c>
      <c r="BV192" s="487">
        <f>BV157*BV193</f>
        <v>6.1647230138402218</v>
      </c>
      <c r="BW192" s="487">
        <f>BW157*BW193</f>
        <v>6.2263702439786242</v>
      </c>
      <c r="BX192" s="487">
        <f>BX157*BX193</f>
        <v>6.3820295000780893</v>
      </c>
      <c r="BY192" s="488">
        <f>SUM(BU192:BX192)</f>
        <v>24.846741490744446</v>
      </c>
      <c r="BZ192" s="487">
        <f>BZ157*BZ193</f>
        <v>6.1905686150757457</v>
      </c>
      <c r="CA192" s="487">
        <f>CA157*CA193</f>
        <v>6.2834271443018821</v>
      </c>
      <c r="CB192" s="487">
        <f>CB157*CB193</f>
        <v>6.3462614157449009</v>
      </c>
      <c r="CC192" s="487">
        <f>CC157*CC193</f>
        <v>6.5049179511385233</v>
      </c>
      <c r="CD192" s="488">
        <f>SUM(BZ192:CC192)</f>
        <v>25.325175126261051</v>
      </c>
      <c r="CE192" s="487">
        <f>CE157*CE193</f>
        <v>6.309770412604367</v>
      </c>
      <c r="CF192" s="487">
        <f>CF157*CF193</f>
        <v>6.4044169687934316</v>
      </c>
      <c r="CG192" s="487">
        <f>CG157*CG193</f>
        <v>6.4684611384813664</v>
      </c>
      <c r="CH192" s="487">
        <f>CH157*CH193</f>
        <v>6.6301726669433991</v>
      </c>
      <c r="CI192" s="488">
        <f>SUM(CE192:CH192)</f>
        <v>25.812821186822564</v>
      </c>
      <c r="CJ192" s="487">
        <f>CJ157*CJ193</f>
        <v>6.4312674869350968</v>
      </c>
      <c r="CK192" s="487">
        <f>CK157*CK193</f>
        <v>6.527736499239122</v>
      </c>
      <c r="CL192" s="487">
        <f>CL157*CL193</f>
        <v>6.593013864231513</v>
      </c>
      <c r="CM192" s="487">
        <f>CM157*CM193</f>
        <v>6.7578392108373011</v>
      </c>
      <c r="CN192" s="488">
        <f>SUM(CJ192:CM192)</f>
        <v>26.309857061243033</v>
      </c>
      <c r="CO192" s="487">
        <f>CO157*CO193</f>
        <v>6.5551040345121816</v>
      </c>
      <c r="CP192" s="487">
        <f>CP157*CP193</f>
        <v>6.6534305950298638</v>
      </c>
      <c r="CQ192" s="487">
        <f>CQ157*CQ193</f>
        <v>6.7199649009801625</v>
      </c>
      <c r="CR192" s="487">
        <f>CR157*CR193</f>
        <v>6.887964023504666</v>
      </c>
      <c r="CS192" s="488">
        <f>SUM(CO192:CR192)</f>
        <v>26.816463554026875</v>
      </c>
      <c r="CT192" s="487">
        <f>CT157*CT193</f>
        <v>6.6813251027995255</v>
      </c>
      <c r="CU192" s="487">
        <f>CU157*CU193</f>
        <v>6.7815449793415183</v>
      </c>
      <c r="CV192" s="487">
        <f>CV157*CV193</f>
        <v>6.8493604291349337</v>
      </c>
      <c r="CW192" s="487">
        <f>CW157*CW193</f>
        <v>7.0205944398633067</v>
      </c>
      <c r="CX192" s="488">
        <f>SUM(CT192:CW192)</f>
        <v>27.332824951139283</v>
      </c>
      <c r="CY192" s="487"/>
      <c r="DA192" s="1146"/>
      <c r="DB192" s="481"/>
      <c r="DC192" s="481"/>
    </row>
    <row r="193" spans="1:107" ht="11.25" hidden="1" customHeight="1" outlineLevel="1">
      <c r="A193" s="489" t="s">
        <v>275</v>
      </c>
      <c r="B193" s="469"/>
      <c r="C193" s="470"/>
      <c r="D193" s="469"/>
      <c r="E193" s="469"/>
      <c r="F193" s="471"/>
      <c r="G193" s="472"/>
      <c r="H193" s="470"/>
      <c r="I193" s="469"/>
      <c r="J193" s="469"/>
      <c r="K193" s="471"/>
      <c r="L193" s="470"/>
      <c r="M193" s="470"/>
      <c r="N193" s="469"/>
      <c r="O193" s="469"/>
      <c r="P193" s="471"/>
      <c r="Q193" s="472"/>
      <c r="R193" s="469"/>
      <c r="S193" s="469"/>
      <c r="T193" s="469"/>
      <c r="U193" s="469"/>
      <c r="V193" s="506"/>
      <c r="W193" s="469">
        <f t="shared" ref="W193:AK193" si="223">W192/W157</f>
        <v>3.4530961685419088E-2</v>
      </c>
      <c r="X193" s="469">
        <f t="shared" si="223"/>
        <v>4.477144646211647E-2</v>
      </c>
      <c r="Y193" s="469">
        <f t="shared" si="223"/>
        <v>3.5593220338983052E-2</v>
      </c>
      <c r="Z193" s="469">
        <f t="shared" si="223"/>
        <v>3.4638318170976852E-2</v>
      </c>
      <c r="AA193" s="474">
        <f t="shared" si="223"/>
        <v>3.7390483892707917E-2</v>
      </c>
      <c r="AB193" s="469">
        <f t="shared" si="223"/>
        <v>6.2836107554417417E-2</v>
      </c>
      <c r="AC193" s="469">
        <f t="shared" si="223"/>
        <v>5.235799207397622E-2</v>
      </c>
      <c r="AD193" s="469">
        <f t="shared" si="223"/>
        <v>6.5340829234012646E-2</v>
      </c>
      <c r="AE193" s="469">
        <f t="shared" si="223"/>
        <v>5.891715976331361E-2</v>
      </c>
      <c r="AF193" s="472">
        <f t="shared" si="223"/>
        <v>5.9778639521732096E-2</v>
      </c>
      <c r="AG193" s="469">
        <f t="shared" si="223"/>
        <v>6.6174829510229377E-2</v>
      </c>
      <c r="AH193" s="469">
        <f t="shared" si="223"/>
        <v>0.12034084344309648</v>
      </c>
      <c r="AI193" s="469">
        <f t="shared" si="223"/>
        <v>9.6314837153196609E-2</v>
      </c>
      <c r="AJ193" s="469">
        <f t="shared" si="223"/>
        <v>5.6685174902831779E-2</v>
      </c>
      <c r="AK193" s="472">
        <f t="shared" si="223"/>
        <v>8.4790533588122899E-2</v>
      </c>
      <c r="AL193" s="469">
        <f t="shared" ref="AL193:AY193" si="224">AL192/AL157</f>
        <v>5.3816584294343772E-2</v>
      </c>
      <c r="AM193" s="469">
        <f t="shared" si="224"/>
        <v>5.2319309600862993E-2</v>
      </c>
      <c r="AN193" s="469">
        <f t="shared" si="224"/>
        <v>6.4737616478666007E-2</v>
      </c>
      <c r="AO193" s="469">
        <f t="shared" si="224"/>
        <v>5.9581320450885662E-2</v>
      </c>
      <c r="AP193" s="472">
        <f t="shared" si="224"/>
        <v>5.7806519730764158E-2</v>
      </c>
      <c r="AQ193" s="469">
        <f t="shared" si="224"/>
        <v>5.2034689793195463E-2</v>
      </c>
      <c r="AR193" s="469">
        <f t="shared" si="224"/>
        <v>5.6603773584905655E-2</v>
      </c>
      <c r="AS193" s="469">
        <f t="shared" si="224"/>
        <v>5.0687907313540913E-2</v>
      </c>
      <c r="AT193" s="469">
        <f t="shared" si="224"/>
        <v>5.0075872534142633E-2</v>
      </c>
      <c r="AU193" s="472">
        <f>AU192/AU157</f>
        <v>5.2367288378766134E-2</v>
      </c>
      <c r="AV193" s="469">
        <f t="shared" si="224"/>
        <v>2.7727546714888484E-2</v>
      </c>
      <c r="AW193" s="469">
        <f t="shared" si="224"/>
        <v>3.2692307692307687E-2</v>
      </c>
      <c r="AX193" s="469">
        <f t="shared" si="224"/>
        <v>3.0135301353013535E-2</v>
      </c>
      <c r="AY193" s="469">
        <f t="shared" si="224"/>
        <v>3.2960565038257797E-2</v>
      </c>
      <c r="AZ193" s="472">
        <f>AZ192/AZ157</f>
        <v>3.0867970660146699E-2</v>
      </c>
      <c r="BA193" s="475">
        <v>3.2000000000000001E-2</v>
      </c>
      <c r="BB193" s="475">
        <v>3.2000000000000001E-2</v>
      </c>
      <c r="BC193" s="469">
        <v>3.2000000000000001E-2</v>
      </c>
      <c r="BD193" s="469">
        <v>3.2000000000000001E-2</v>
      </c>
      <c r="BE193" s="472">
        <f>BE192/BE157</f>
        <v>3.2000000000000001E-2</v>
      </c>
      <c r="BF193" s="469">
        <v>3.2000000000000001E-2</v>
      </c>
      <c r="BG193" s="475">
        <v>3.2000000000000001E-2</v>
      </c>
      <c r="BH193" s="475">
        <v>3.2000000000000001E-2</v>
      </c>
      <c r="BI193" s="469">
        <v>3.2000000000000001E-2</v>
      </c>
      <c r="BJ193" s="472">
        <f>BJ192/BJ157</f>
        <v>3.1999999999999994E-2</v>
      </c>
      <c r="BK193" s="475">
        <v>3.2000000000000001E-2</v>
      </c>
      <c r="BL193" s="475">
        <v>3.2000000000000001E-2</v>
      </c>
      <c r="BM193" s="475">
        <v>3.2000000000000001E-2</v>
      </c>
      <c r="BN193" s="475">
        <v>3.2000000000000001E-2</v>
      </c>
      <c r="BO193" s="476">
        <f>BO192/BO157</f>
        <v>3.2000000000000001E-2</v>
      </c>
      <c r="BP193" s="475">
        <v>3.2000000000000001E-2</v>
      </c>
      <c r="BQ193" s="475">
        <v>3.2000000000000001E-2</v>
      </c>
      <c r="BR193" s="475">
        <v>3.2000000000000001E-2</v>
      </c>
      <c r="BS193" s="475">
        <v>3.2000000000000001E-2</v>
      </c>
      <c r="BT193" s="476">
        <f>BT192/BT157</f>
        <v>3.1999999999999994E-2</v>
      </c>
      <c r="BU193" s="475">
        <v>3.2000000000000001E-2</v>
      </c>
      <c r="BV193" s="475">
        <v>3.2000000000000001E-2</v>
      </c>
      <c r="BW193" s="475">
        <v>3.2000000000000001E-2</v>
      </c>
      <c r="BX193" s="475">
        <v>3.2000000000000001E-2</v>
      </c>
      <c r="BY193" s="476">
        <f>BY192/BY157</f>
        <v>3.2000000000000001E-2</v>
      </c>
      <c r="BZ193" s="475">
        <v>3.2000000000000001E-2</v>
      </c>
      <c r="CA193" s="475">
        <v>3.2000000000000001E-2</v>
      </c>
      <c r="CB193" s="475">
        <v>3.2000000000000001E-2</v>
      </c>
      <c r="CC193" s="475">
        <v>3.2000000000000001E-2</v>
      </c>
      <c r="CD193" s="476">
        <f>CD192/CD157</f>
        <v>3.2000000000000001E-2</v>
      </c>
      <c r="CE193" s="475">
        <v>3.2000000000000001E-2</v>
      </c>
      <c r="CF193" s="475">
        <v>3.2000000000000001E-2</v>
      </c>
      <c r="CG193" s="475">
        <v>3.2000000000000001E-2</v>
      </c>
      <c r="CH193" s="475">
        <v>3.2000000000000001E-2</v>
      </c>
      <c r="CI193" s="476">
        <f>CI192/CI157</f>
        <v>3.2000000000000001E-2</v>
      </c>
      <c r="CJ193" s="475">
        <v>3.2000000000000001E-2</v>
      </c>
      <c r="CK193" s="475">
        <v>3.2000000000000001E-2</v>
      </c>
      <c r="CL193" s="475">
        <v>3.2000000000000001E-2</v>
      </c>
      <c r="CM193" s="475">
        <v>3.2000000000000001E-2</v>
      </c>
      <c r="CN193" s="476">
        <f>CN192/CN157</f>
        <v>3.2000000000000001E-2</v>
      </c>
      <c r="CO193" s="475">
        <v>3.2000000000000001E-2</v>
      </c>
      <c r="CP193" s="475">
        <v>3.2000000000000001E-2</v>
      </c>
      <c r="CQ193" s="475">
        <v>3.2000000000000001E-2</v>
      </c>
      <c r="CR193" s="475">
        <v>3.2000000000000001E-2</v>
      </c>
      <c r="CS193" s="476">
        <f>CS192/CS157</f>
        <v>3.2000000000000001E-2</v>
      </c>
      <c r="CT193" s="475">
        <v>3.2000000000000001E-2</v>
      </c>
      <c r="CU193" s="475">
        <v>3.2000000000000001E-2</v>
      </c>
      <c r="CV193" s="475">
        <v>3.2000000000000001E-2</v>
      </c>
      <c r="CW193" s="475">
        <v>3.2000000000000001E-2</v>
      </c>
      <c r="CX193" s="476">
        <f>CX192/CX157</f>
        <v>3.1999999999999994E-2</v>
      </c>
      <c r="CY193" s="475"/>
      <c r="DA193" s="1146"/>
      <c r="DB193" s="469"/>
      <c r="DC193" s="469"/>
    </row>
    <row r="194" spans="1:107" ht="11.25" hidden="1" customHeight="1" outlineLevel="1">
      <c r="A194" s="489"/>
      <c r="B194" s="469"/>
      <c r="C194" s="470"/>
      <c r="D194" s="469"/>
      <c r="E194" s="469"/>
      <c r="F194" s="471"/>
      <c r="G194" s="472"/>
      <c r="H194" s="470"/>
      <c r="I194" s="469"/>
      <c r="J194" s="469"/>
      <c r="K194" s="471"/>
      <c r="L194" s="470"/>
      <c r="M194" s="470"/>
      <c r="N194" s="469"/>
      <c r="O194" s="469"/>
      <c r="P194" s="471"/>
      <c r="Q194" s="472"/>
      <c r="R194" s="469"/>
      <c r="S194" s="469"/>
      <c r="T194" s="469"/>
      <c r="U194" s="469"/>
      <c r="V194" s="506"/>
      <c r="W194" s="469"/>
      <c r="X194" s="469"/>
      <c r="Y194" s="469"/>
      <c r="Z194" s="469"/>
      <c r="AA194" s="472"/>
      <c r="AB194" s="469"/>
      <c r="AC194" s="469"/>
      <c r="AD194" s="469"/>
      <c r="AE194" s="469"/>
      <c r="AF194" s="472"/>
      <c r="AG194" s="469"/>
      <c r="AH194" s="469"/>
      <c r="AI194" s="469"/>
      <c r="AJ194" s="469"/>
      <c r="AK194" s="472"/>
      <c r="AL194" s="469"/>
      <c r="AM194" s="469"/>
      <c r="AN194" s="469"/>
      <c r="AO194" s="469"/>
      <c r="AP194" s="472"/>
      <c r="AQ194" s="469"/>
      <c r="AR194" s="469"/>
      <c r="AS194" s="469"/>
      <c r="AT194" s="469"/>
      <c r="AU194" s="472"/>
      <c r="AV194" s="469"/>
      <c r="AW194" s="469"/>
      <c r="AX194" s="469"/>
      <c r="AY194" s="469"/>
      <c r="AZ194" s="472"/>
      <c r="BA194" s="475"/>
      <c r="BB194" s="475"/>
      <c r="BC194" s="469"/>
      <c r="BD194" s="469"/>
      <c r="BE194" s="472"/>
      <c r="BF194" s="469"/>
      <c r="BG194" s="475"/>
      <c r="BH194" s="475"/>
      <c r="BI194" s="469"/>
      <c r="BJ194" s="472"/>
      <c r="BK194" s="475"/>
      <c r="BL194" s="475"/>
      <c r="BM194" s="475"/>
      <c r="BN194" s="475"/>
      <c r="BO194" s="476"/>
      <c r="BP194" s="475"/>
      <c r="BQ194" s="475"/>
      <c r="BR194" s="475"/>
      <c r="BS194" s="475"/>
      <c r="BT194" s="476"/>
      <c r="BU194" s="475"/>
      <c r="BV194" s="475"/>
      <c r="BW194" s="475"/>
      <c r="BX194" s="475"/>
      <c r="BY194" s="476"/>
      <c r="BZ194" s="475"/>
      <c r="CA194" s="475"/>
      <c r="CB194" s="475"/>
      <c r="CC194" s="475"/>
      <c r="CD194" s="476"/>
      <c r="CE194" s="475"/>
      <c r="CF194" s="475"/>
      <c r="CG194" s="475"/>
      <c r="CH194" s="475"/>
      <c r="CI194" s="476"/>
      <c r="CJ194" s="475"/>
      <c r="CK194" s="475"/>
      <c r="CL194" s="475"/>
      <c r="CM194" s="475"/>
      <c r="CN194" s="476"/>
      <c r="CO194" s="475"/>
      <c r="CP194" s="475"/>
      <c r="CQ194" s="475"/>
      <c r="CR194" s="475"/>
      <c r="CS194" s="476"/>
      <c r="CT194" s="475"/>
      <c r="CU194" s="475"/>
      <c r="CV194" s="475"/>
      <c r="CW194" s="475"/>
      <c r="CX194" s="476"/>
      <c r="CY194" s="475"/>
      <c r="DA194" s="1146"/>
      <c r="DB194" s="469"/>
      <c r="DC194" s="469"/>
    </row>
    <row r="195" spans="1:107" ht="11.25" hidden="1" customHeight="1" outlineLevel="1">
      <c r="A195" s="478" t="s">
        <v>50</v>
      </c>
      <c r="B195" s="479"/>
      <c r="C195" s="480"/>
      <c r="D195" s="481"/>
      <c r="E195" s="481"/>
      <c r="F195" s="482"/>
      <c r="G195" s="483"/>
      <c r="H195" s="480"/>
      <c r="I195" s="481"/>
      <c r="J195" s="481"/>
      <c r="K195" s="482"/>
      <c r="L195" s="480"/>
      <c r="M195" s="480"/>
      <c r="N195" s="481"/>
      <c r="O195" s="481"/>
      <c r="P195" s="482"/>
      <c r="Q195" s="483"/>
      <c r="R195" s="481"/>
      <c r="S195" s="481"/>
      <c r="T195" s="481"/>
      <c r="U195" s="481"/>
      <c r="V195" s="484">
        <v>18.658000000000001</v>
      </c>
      <c r="W195" s="485">
        <v>5.5519999999999996</v>
      </c>
      <c r="X195" s="485">
        <v>6.0540000000000003</v>
      </c>
      <c r="Y195" s="485">
        <v>6.0330000000000004</v>
      </c>
      <c r="Z195" s="479">
        <f>AA195-SUM(W195:Y195)</f>
        <v>6.522000000000002</v>
      </c>
      <c r="AA195" s="484">
        <v>24.161000000000001</v>
      </c>
      <c r="AB195" s="485">
        <v>12.2</v>
      </c>
      <c r="AC195" s="485">
        <v>13.6</v>
      </c>
      <c r="AD195" s="485">
        <v>13.3</v>
      </c>
      <c r="AE195" s="485">
        <v>14.8</v>
      </c>
      <c r="AF195" s="486">
        <f>SUM(AB195:AE195)</f>
        <v>53.899999999999991</v>
      </c>
      <c r="AG195" s="479">
        <v>14</v>
      </c>
      <c r="AH195" s="479">
        <v>21</v>
      </c>
      <c r="AI195" s="479">
        <v>15.7</v>
      </c>
      <c r="AJ195" s="479">
        <v>15.7</v>
      </c>
      <c r="AK195" s="486">
        <f>SUM(AG195:AJ195)</f>
        <v>66.400000000000006</v>
      </c>
      <c r="AL195" s="479">
        <v>18.899999999999999</v>
      </c>
      <c r="AM195" s="479">
        <v>20.9</v>
      </c>
      <c r="AN195" s="479">
        <v>23.3</v>
      </c>
      <c r="AO195" s="479">
        <v>21.9</v>
      </c>
      <c r="AP195" s="486">
        <f>SUM(AL195:AO195)</f>
        <v>85</v>
      </c>
      <c r="AQ195" s="479">
        <v>15.4</v>
      </c>
      <c r="AR195" s="479">
        <v>14.4</v>
      </c>
      <c r="AS195" s="479">
        <v>13.9</v>
      </c>
      <c r="AT195" s="479">
        <v>15.3</v>
      </c>
      <c r="AU195" s="486">
        <f>SUM(AQ195:AT195)</f>
        <v>59</v>
      </c>
      <c r="AV195" s="479">
        <v>15.2</v>
      </c>
      <c r="AW195" s="479">
        <v>14.1</v>
      </c>
      <c r="AX195" s="479">
        <v>13.5</v>
      </c>
      <c r="AY195" s="479">
        <v>18.8</v>
      </c>
      <c r="AZ195" s="486">
        <f>SUM(AV195:AY195)</f>
        <v>61.599999999999994</v>
      </c>
      <c r="BA195" s="487">
        <f>BA160*BA196</f>
        <v>28.266688684851111</v>
      </c>
      <c r="BB195" s="487">
        <f>BB160*BB196</f>
        <v>27.307454068909593</v>
      </c>
      <c r="BC195" s="479">
        <f>BC160*BC196</f>
        <v>28.77741000411185</v>
      </c>
      <c r="BD195" s="479">
        <f>BD160*BD196</f>
        <v>32.814716850912937</v>
      </c>
      <c r="BE195" s="486">
        <f>SUM(BA195:BD195)</f>
        <v>117.16626960878548</v>
      </c>
      <c r="BF195" s="479">
        <f>BF160*BF196</f>
        <v>32.524485302772121</v>
      </c>
      <c r="BG195" s="487">
        <f>BG160*BG196</f>
        <v>31.118638967015702</v>
      </c>
      <c r="BH195" s="487">
        <f>BH160*BH196</f>
        <v>32.952943345755038</v>
      </c>
      <c r="BI195" s="479">
        <f>BI160*BI196</f>
        <v>37.229730680671061</v>
      </c>
      <c r="BJ195" s="486">
        <f>SUM(BF195:BI195)</f>
        <v>133.82579829621392</v>
      </c>
      <c r="BK195" s="487">
        <f>BK160*BK196</f>
        <v>36.52771848132079</v>
      </c>
      <c r="BL195" s="487">
        <f>BL160*BL196</f>
        <v>34.609526330403561</v>
      </c>
      <c r="BM195" s="487">
        <f>BM160*BM196</f>
        <v>36.295500439324179</v>
      </c>
      <c r="BN195" s="487">
        <f>BN160*BN196</f>
        <v>40.624648392385822</v>
      </c>
      <c r="BO195" s="488">
        <f>SUM(BK195:BN195)</f>
        <v>148.05739364343435</v>
      </c>
      <c r="BP195" s="487">
        <f>BP160*BP196</f>
        <v>39.451900237887784</v>
      </c>
      <c r="BQ195" s="487">
        <f>BQ160*BQ196</f>
        <v>37.013677509564126</v>
      </c>
      <c r="BR195" s="487">
        <f>BR160*BR196</f>
        <v>38.438067657074271</v>
      </c>
      <c r="BS195" s="487">
        <f>BS160*BS196</f>
        <v>42.618800765746585</v>
      </c>
      <c r="BT195" s="488">
        <f>SUM(BP195:BS195)</f>
        <v>157.52244617027276</v>
      </c>
      <c r="BU195" s="487">
        <f>BU160*BU196</f>
        <v>40.961800207640195</v>
      </c>
      <c r="BV195" s="487">
        <f>BV160*BV196</f>
        <v>38.049764370411836</v>
      </c>
      <c r="BW195" s="487">
        <f>BW160*BW196</f>
        <v>39.124725297700238</v>
      </c>
      <c r="BX195" s="487">
        <f>BX160*BX196</f>
        <v>42.968956832837954</v>
      </c>
      <c r="BY195" s="488">
        <f>SUM(BU195:BX195)</f>
        <v>161.10524670859022</v>
      </c>
      <c r="BZ195" s="487">
        <f>BZ160*BZ196</f>
        <v>40.868151291915474</v>
      </c>
      <c r="CA195" s="487">
        <f>CA160*CA196</f>
        <v>37.583145365653778</v>
      </c>
      <c r="CB195" s="487">
        <f>CB160*CB196</f>
        <v>38.260397027254491</v>
      </c>
      <c r="CC195" s="487">
        <f>CC160*CC196</f>
        <v>41.617600865139885</v>
      </c>
      <c r="CD195" s="488">
        <f>SUM(BZ195:CC195)</f>
        <v>158.32929454996363</v>
      </c>
      <c r="CE195" s="487">
        <f>CE160*CE196</f>
        <v>39.166203057245582</v>
      </c>
      <c r="CF195" s="487">
        <f>CF160*CF196</f>
        <v>35.654182537301061</v>
      </c>
      <c r="CG195" s="487">
        <f>CG160*CG196</f>
        <v>35.931883420522674</v>
      </c>
      <c r="CH195" s="487">
        <f>CH160*CH196</f>
        <v>38.707138455917665</v>
      </c>
      <c r="CI195" s="488">
        <f>SUM(CE195:CH195)</f>
        <v>149.45940747098697</v>
      </c>
      <c r="CJ195" s="487">
        <f>CJ160*CJ196</f>
        <v>36.039652211987466</v>
      </c>
      <c r="CK195" s="487">
        <f>CK160*CK196</f>
        <v>32.473213083293189</v>
      </c>
      <c r="CL195" s="487">
        <f>CL160*CL196</f>
        <v>32.393893188632461</v>
      </c>
      <c r="CM195" s="487">
        <f>CM160*CM196</f>
        <v>34.555438363972065</v>
      </c>
      <c r="CN195" s="488">
        <f>SUM(CJ195:CM195)</f>
        <v>135.46219684788517</v>
      </c>
      <c r="CO195" s="487">
        <f>CO160*CO196</f>
        <v>31.828107108025087</v>
      </c>
      <c r="CP195" s="487">
        <f>CP160*CP196</f>
        <v>28.382783249039704</v>
      </c>
      <c r="CQ195" s="487">
        <f>CQ160*CQ196</f>
        <v>28.023060334522473</v>
      </c>
      <c r="CR195" s="487">
        <f>CR160*CR196</f>
        <v>29.598441379614783</v>
      </c>
      <c r="CS195" s="488">
        <f>SUM(CO195:CR195)</f>
        <v>117.83239207120205</v>
      </c>
      <c r="CT195" s="487">
        <f>CT160*CT196</f>
        <v>26.966017457468915</v>
      </c>
      <c r="CU195" s="487">
        <f>CU160*CU196</f>
        <v>23.796514674910188</v>
      </c>
      <c r="CV195" s="487">
        <f>CV160*CV196</f>
        <v>23.251447397303572</v>
      </c>
      <c r="CW195" s="487">
        <f>CW160*CW196</f>
        <v>24.314217210871984</v>
      </c>
      <c r="CX195" s="488">
        <f>SUM(CT195:CW195)</f>
        <v>98.32819674055466</v>
      </c>
      <c r="CY195" s="487"/>
      <c r="DA195" s="1146"/>
      <c r="DB195" s="481"/>
      <c r="DC195" s="481"/>
    </row>
    <row r="196" spans="1:107" ht="11.25" hidden="1" customHeight="1" outlineLevel="1">
      <c r="A196" s="489" t="s">
        <v>275</v>
      </c>
      <c r="B196" s="469"/>
      <c r="C196" s="470"/>
      <c r="D196" s="469"/>
      <c r="E196" s="469"/>
      <c r="F196" s="471"/>
      <c r="G196" s="472"/>
      <c r="H196" s="470"/>
      <c r="I196" s="469"/>
      <c r="J196" s="469"/>
      <c r="K196" s="471"/>
      <c r="L196" s="470"/>
      <c r="M196" s="470"/>
      <c r="N196" s="469"/>
      <c r="O196" s="469"/>
      <c r="P196" s="471"/>
      <c r="Q196" s="472"/>
      <c r="R196" s="469"/>
      <c r="S196" s="469"/>
      <c r="T196" s="469"/>
      <c r="U196" s="469"/>
      <c r="V196" s="506"/>
      <c r="W196" s="469">
        <f t="shared" ref="W196:AK196" si="225">W195/W160</f>
        <v>0.23242768032821198</v>
      </c>
      <c r="X196" s="469">
        <f t="shared" si="225"/>
        <v>0.23214080294489819</v>
      </c>
      <c r="Y196" s="469">
        <f t="shared" si="225"/>
        <v>0.20043189368770764</v>
      </c>
      <c r="Z196" s="469">
        <f t="shared" si="225"/>
        <v>0.19802040320621822</v>
      </c>
      <c r="AA196" s="474">
        <f t="shared" si="225"/>
        <v>0.21381037503760997</v>
      </c>
      <c r="AB196" s="469">
        <f t="shared" si="225"/>
        <v>0.25469728601252611</v>
      </c>
      <c r="AC196" s="469">
        <f t="shared" si="225"/>
        <v>0.3035714285714286</v>
      </c>
      <c r="AD196" s="469">
        <f t="shared" si="225"/>
        <v>0.27198364008179959</v>
      </c>
      <c r="AE196" s="469">
        <f t="shared" si="225"/>
        <v>0.26570915619389585</v>
      </c>
      <c r="AF196" s="472">
        <f t="shared" si="225"/>
        <v>0.27318803852002022</v>
      </c>
      <c r="AG196" s="469">
        <f t="shared" si="225"/>
        <v>0.25</v>
      </c>
      <c r="AH196" s="469">
        <f t="shared" si="225"/>
        <v>0.37701974865350085</v>
      </c>
      <c r="AI196" s="469">
        <f t="shared" si="225"/>
        <v>0.25487012987012986</v>
      </c>
      <c r="AJ196" s="469">
        <f t="shared" si="225"/>
        <v>0.2368024132730015</v>
      </c>
      <c r="AK196" s="472">
        <f t="shared" si="225"/>
        <v>0.27712854757929883</v>
      </c>
      <c r="AL196" s="469">
        <f t="shared" ref="AL196:AY196" si="226">AL195/AL160</f>
        <v>0.27958579881656803</v>
      </c>
      <c r="AM196" s="469">
        <f t="shared" si="226"/>
        <v>0.31008902077151329</v>
      </c>
      <c r="AN196" s="469">
        <f t="shared" si="226"/>
        <v>0.292713567839196</v>
      </c>
      <c r="AO196" s="469">
        <f t="shared" si="226"/>
        <v>0.23882224645583422</v>
      </c>
      <c r="AP196" s="472">
        <f t="shared" si="226"/>
        <v>0.27750571335292196</v>
      </c>
      <c r="AQ196" s="469">
        <f t="shared" si="226"/>
        <v>0.19974059662775617</v>
      </c>
      <c r="AR196" s="469">
        <f t="shared" si="226"/>
        <v>0.20027816411682892</v>
      </c>
      <c r="AS196" s="469">
        <f t="shared" si="226"/>
        <v>0.19332406119610568</v>
      </c>
      <c r="AT196" s="469">
        <f t="shared" si="226"/>
        <v>0.19125</v>
      </c>
      <c r="AU196" s="472">
        <f>AU195/AU160</f>
        <v>0.19607843137254904</v>
      </c>
      <c r="AV196" s="469">
        <f t="shared" si="226"/>
        <v>0.19023779724655818</v>
      </c>
      <c r="AW196" s="469">
        <f t="shared" si="226"/>
        <v>0.18383311603650584</v>
      </c>
      <c r="AX196" s="469">
        <f t="shared" si="226"/>
        <v>0.14331210191082802</v>
      </c>
      <c r="AY196" s="469">
        <f t="shared" si="226"/>
        <v>0.18042226487523993</v>
      </c>
      <c r="AZ196" s="472">
        <f>AZ195/AZ160</f>
        <v>0.17352112676056336</v>
      </c>
      <c r="BA196" s="475">
        <v>0.25959177405294487</v>
      </c>
      <c r="BB196" s="475">
        <v>0.24113700533526375</v>
      </c>
      <c r="BC196" s="469">
        <v>0.24671589534809288</v>
      </c>
      <c r="BD196" s="469">
        <v>0.25928915333307478</v>
      </c>
      <c r="BE196" s="472">
        <f>BE195/BE160</f>
        <v>0.25179074521912709</v>
      </c>
      <c r="BF196" s="469">
        <v>0.25959177405294487</v>
      </c>
      <c r="BG196" s="475">
        <v>0.24113700533526375</v>
      </c>
      <c r="BH196" s="475">
        <v>0.24671589534809288</v>
      </c>
      <c r="BI196" s="469">
        <v>0.25928915333307478</v>
      </c>
      <c r="BJ196" s="472">
        <f>BJ195/BJ160</f>
        <v>0.2517932998463609</v>
      </c>
      <c r="BK196" s="475">
        <v>0.25959177405294487</v>
      </c>
      <c r="BL196" s="475">
        <v>0.24113700533526375</v>
      </c>
      <c r="BM196" s="475">
        <v>0.24671589534809288</v>
      </c>
      <c r="BN196" s="475">
        <v>0.25928915333307478</v>
      </c>
      <c r="BO196" s="476">
        <f>BO195/BO160</f>
        <v>0.25178538918586924</v>
      </c>
      <c r="BP196" s="475">
        <v>0.25959177405294487</v>
      </c>
      <c r="BQ196" s="475">
        <v>0.24113700533526375</v>
      </c>
      <c r="BR196" s="475">
        <v>0.24671589534809288</v>
      </c>
      <c r="BS196" s="475">
        <v>0.25928915333307478</v>
      </c>
      <c r="BT196" s="476">
        <f>BT195/BT160</f>
        <v>0.2517781250844906</v>
      </c>
      <c r="BU196" s="475">
        <v>0.25959177405294487</v>
      </c>
      <c r="BV196" s="475">
        <v>0.24113700533526375</v>
      </c>
      <c r="BW196" s="475">
        <v>0.24671589534809288</v>
      </c>
      <c r="BX196" s="475">
        <v>0.25928915333307478</v>
      </c>
      <c r="BY196" s="476">
        <f>BY195/BY160</f>
        <v>0.2517715306233983</v>
      </c>
      <c r="BZ196" s="475">
        <v>0.25959177405294487</v>
      </c>
      <c r="CA196" s="475">
        <v>0.24113700533526375</v>
      </c>
      <c r="CB196" s="475">
        <v>0.24671589534809288</v>
      </c>
      <c r="CC196" s="475">
        <v>0.25928915333307478</v>
      </c>
      <c r="CD196" s="476">
        <f>CD195/CD160</f>
        <v>0.25176562945133457</v>
      </c>
      <c r="CE196" s="475">
        <v>0.25959177405294487</v>
      </c>
      <c r="CF196" s="475">
        <v>0.24113700533526375</v>
      </c>
      <c r="CG196" s="475">
        <v>0.24671589534809288</v>
      </c>
      <c r="CH196" s="475">
        <v>0.25928915333307478</v>
      </c>
      <c r="CI196" s="476">
        <f>CI195/CI160</f>
        <v>0.25176044579046858</v>
      </c>
      <c r="CJ196" s="475">
        <v>0.25959177405294487</v>
      </c>
      <c r="CK196" s="475">
        <v>0.24113700533526375</v>
      </c>
      <c r="CL196" s="475">
        <v>0.24671589534809288</v>
      </c>
      <c r="CM196" s="475">
        <v>0.25928915333307478</v>
      </c>
      <c r="CN196" s="476">
        <f>CN195/CN160</f>
        <v>0.25175600444175178</v>
      </c>
      <c r="CO196" s="475">
        <v>0.25959177405294487</v>
      </c>
      <c r="CP196" s="475">
        <v>0.24113700533526375</v>
      </c>
      <c r="CQ196" s="475">
        <v>0.24671589534809288</v>
      </c>
      <c r="CR196" s="475">
        <v>0.25928915333307478</v>
      </c>
      <c r="CS196" s="476">
        <f>CS195/CS160</f>
        <v>0.25175233078972215</v>
      </c>
      <c r="CT196" s="475">
        <v>0.25959177405294487</v>
      </c>
      <c r="CU196" s="475">
        <v>0.24113700533526375</v>
      </c>
      <c r="CV196" s="475">
        <v>0.24671589534809288</v>
      </c>
      <c r="CW196" s="475">
        <v>0.25928915333307478</v>
      </c>
      <c r="CX196" s="476">
        <f>CX195/CX160</f>
        <v>0.2517494508067073</v>
      </c>
      <c r="CY196" s="475"/>
      <c r="DA196" s="1146"/>
      <c r="DB196" s="469"/>
      <c r="DC196" s="469"/>
    </row>
    <row r="197" spans="1:107" ht="11.25" hidden="1" customHeight="1" outlineLevel="1">
      <c r="A197" s="468"/>
      <c r="B197" s="469"/>
      <c r="C197" s="470"/>
      <c r="D197" s="469"/>
      <c r="E197" s="469"/>
      <c r="F197" s="471"/>
      <c r="G197" s="472"/>
      <c r="H197" s="470"/>
      <c r="I197" s="469"/>
      <c r="J197" s="469"/>
      <c r="K197" s="471"/>
      <c r="L197" s="470"/>
      <c r="M197" s="470"/>
      <c r="N197" s="469"/>
      <c r="O197" s="469"/>
      <c r="P197" s="471"/>
      <c r="Q197" s="472"/>
      <c r="R197" s="469"/>
      <c r="S197" s="469"/>
      <c r="T197" s="469"/>
      <c r="U197" s="469"/>
      <c r="V197" s="506"/>
      <c r="W197" s="469"/>
      <c r="X197" s="469"/>
      <c r="Y197" s="469"/>
      <c r="Z197" s="469"/>
      <c r="AA197" s="472"/>
      <c r="AB197" s="469"/>
      <c r="AC197" s="469"/>
      <c r="AD197" s="469"/>
      <c r="AE197" s="469"/>
      <c r="AF197" s="472"/>
      <c r="AG197" s="469"/>
      <c r="AH197" s="469"/>
      <c r="AI197" s="469"/>
      <c r="AJ197" s="469"/>
      <c r="AK197" s="472"/>
      <c r="AL197" s="469"/>
      <c r="AM197" s="469"/>
      <c r="AN197" s="469"/>
      <c r="AO197" s="469"/>
      <c r="AP197" s="472"/>
      <c r="AQ197" s="469"/>
      <c r="AR197" s="469"/>
      <c r="AS197" s="469"/>
      <c r="AT197" s="469"/>
      <c r="AU197" s="472"/>
      <c r="AV197" s="469"/>
      <c r="AW197" s="469"/>
      <c r="AX197" s="469"/>
      <c r="AY197" s="469"/>
      <c r="AZ197" s="472"/>
      <c r="BA197" s="475"/>
      <c r="BB197" s="475"/>
      <c r="BC197" s="469"/>
      <c r="BD197" s="469"/>
      <c r="BE197" s="472"/>
      <c r="BF197" s="469"/>
      <c r="BG197" s="475"/>
      <c r="BH197" s="475"/>
      <c r="BI197" s="469"/>
      <c r="BJ197" s="472"/>
      <c r="BK197" s="475"/>
      <c r="BL197" s="475"/>
      <c r="BM197" s="475"/>
      <c r="BN197" s="475"/>
      <c r="BO197" s="476"/>
      <c r="BP197" s="475"/>
      <c r="BQ197" s="475"/>
      <c r="BR197" s="475"/>
      <c r="BS197" s="475"/>
      <c r="BT197" s="476"/>
      <c r="BU197" s="475"/>
      <c r="BV197" s="475"/>
      <c r="BW197" s="475"/>
      <c r="BX197" s="475"/>
      <c r="BY197" s="476"/>
      <c r="BZ197" s="475"/>
      <c r="CA197" s="475"/>
      <c r="CB197" s="475"/>
      <c r="CC197" s="475"/>
      <c r="CD197" s="476"/>
      <c r="CE197" s="475"/>
      <c r="CF197" s="475"/>
      <c r="CG197" s="475"/>
      <c r="CH197" s="475"/>
      <c r="CI197" s="476"/>
      <c r="CJ197" s="475"/>
      <c r="CK197" s="475"/>
      <c r="CL197" s="475"/>
      <c r="CM197" s="475"/>
      <c r="CN197" s="476"/>
      <c r="CO197" s="475"/>
      <c r="CP197" s="475"/>
      <c r="CQ197" s="475"/>
      <c r="CR197" s="475"/>
      <c r="CS197" s="476"/>
      <c r="CT197" s="475"/>
      <c r="CU197" s="475"/>
      <c r="CV197" s="475"/>
      <c r="CW197" s="475"/>
      <c r="CX197" s="476"/>
      <c r="CY197" s="475"/>
      <c r="DA197" s="1146"/>
      <c r="DB197" s="469"/>
      <c r="DC197" s="469"/>
    </row>
    <row r="198" spans="1:107" ht="11.25" hidden="1" customHeight="1" outlineLevel="1">
      <c r="A198" s="457" t="s">
        <v>215</v>
      </c>
      <c r="B198" s="479"/>
      <c r="C198" s="480"/>
      <c r="D198" s="481"/>
      <c r="E198" s="481"/>
      <c r="F198" s="482"/>
      <c r="G198" s="483"/>
      <c r="H198" s="480"/>
      <c r="I198" s="481"/>
      <c r="J198" s="481"/>
      <c r="K198" s="482"/>
      <c r="L198" s="480"/>
      <c r="M198" s="480"/>
      <c r="N198" s="481"/>
      <c r="O198" s="481"/>
      <c r="P198" s="482"/>
      <c r="Q198" s="483"/>
      <c r="R198" s="481"/>
      <c r="S198" s="481"/>
      <c r="T198" s="481"/>
      <c r="U198" s="481"/>
      <c r="V198" s="463"/>
      <c r="W198" s="485"/>
      <c r="X198" s="485"/>
      <c r="Y198" s="485"/>
      <c r="Z198" s="479"/>
      <c r="AA198" s="463">
        <f t="shared" ref="AA198:AZ198" si="227">AA192+AA195</f>
        <v>46.353000000000002</v>
      </c>
      <c r="AB198" s="485">
        <f t="shared" si="227"/>
        <v>22.015000000000001</v>
      </c>
      <c r="AC198" s="485">
        <f t="shared" si="227"/>
        <v>21.527000000000001</v>
      </c>
      <c r="AD198" s="485">
        <f t="shared" si="227"/>
        <v>22.597999999999999</v>
      </c>
      <c r="AE198" s="485">
        <f t="shared" si="227"/>
        <v>24.757000000000001</v>
      </c>
      <c r="AF198" s="465">
        <f t="shared" si="227"/>
        <v>90.896999999999991</v>
      </c>
      <c r="AG198" s="479">
        <f t="shared" si="227"/>
        <v>24.673999999999999</v>
      </c>
      <c r="AH198" s="479">
        <f t="shared" si="227"/>
        <v>41.831000000000003</v>
      </c>
      <c r="AI198" s="479">
        <f t="shared" si="227"/>
        <v>31.668999999999997</v>
      </c>
      <c r="AJ198" s="479">
        <f t="shared" si="227"/>
        <v>25.909000000000002</v>
      </c>
      <c r="AK198" s="465">
        <f t="shared" si="227"/>
        <v>124.083</v>
      </c>
      <c r="AL198" s="479">
        <f t="shared" si="227"/>
        <v>28.7</v>
      </c>
      <c r="AM198" s="479">
        <f t="shared" si="227"/>
        <v>30.599999999999998</v>
      </c>
      <c r="AN198" s="479">
        <f t="shared" si="227"/>
        <v>36.5</v>
      </c>
      <c r="AO198" s="479">
        <f t="shared" si="227"/>
        <v>33</v>
      </c>
      <c r="AP198" s="465">
        <f t="shared" si="227"/>
        <v>128.80000000000001</v>
      </c>
      <c r="AQ198" s="479">
        <f t="shared" si="227"/>
        <v>23.2</v>
      </c>
      <c r="AR198" s="479">
        <f t="shared" si="227"/>
        <v>22.2</v>
      </c>
      <c r="AS198" s="479">
        <f t="shared" si="227"/>
        <v>20.9</v>
      </c>
      <c r="AT198" s="479">
        <f t="shared" si="227"/>
        <v>21.9</v>
      </c>
      <c r="AU198" s="465">
        <f t="shared" si="227"/>
        <v>88.2</v>
      </c>
      <c r="AV198" s="479">
        <f t="shared" si="227"/>
        <v>19.799999999999997</v>
      </c>
      <c r="AW198" s="479">
        <f t="shared" si="227"/>
        <v>19.2</v>
      </c>
      <c r="AX198" s="479">
        <f t="shared" si="227"/>
        <v>18.399999999999999</v>
      </c>
      <c r="AY198" s="479">
        <v>44.6</v>
      </c>
      <c r="AZ198" s="465">
        <f t="shared" si="227"/>
        <v>81.8</v>
      </c>
      <c r="BA198" s="487">
        <f t="shared" ref="BA198:BJ198" si="228">BA192+BA195</f>
        <v>33.730672684851115</v>
      </c>
      <c r="BB198" s="487">
        <f t="shared" si="228"/>
        <v>33.017317348909593</v>
      </c>
      <c r="BC198" s="479">
        <f t="shared" si="228"/>
        <v>34.675698772351851</v>
      </c>
      <c r="BD198" s="479">
        <f t="shared" si="228"/>
        <v>39.09639438908853</v>
      </c>
      <c r="BE198" s="465">
        <f t="shared" si="228"/>
        <v>140.52008319520107</v>
      </c>
      <c r="BF198" s="479">
        <f t="shared" si="228"/>
        <v>38.492078964038939</v>
      </c>
      <c r="BG198" s="487">
        <f t="shared" si="228"/>
        <v>37.116070596588855</v>
      </c>
      <c r="BH198" s="487">
        <f t="shared" si="228"/>
        <v>38.92038781718032</v>
      </c>
      <c r="BI198" s="479">
        <f t="shared" si="228"/>
        <v>43.256849596810596</v>
      </c>
      <c r="BJ198" s="465">
        <f t="shared" si="228"/>
        <v>157.78538697461869</v>
      </c>
      <c r="BK198" s="487">
        <f t="shared" ref="BK198:BT198" si="229">BK192+BK195</f>
        <v>42.374023829976139</v>
      </c>
      <c r="BL198" s="487">
        <f t="shared" si="229"/>
        <v>40.54352625928874</v>
      </c>
      <c r="BM198" s="487">
        <f t="shared" si="229"/>
        <v>42.28884036749821</v>
      </c>
      <c r="BN198" s="487">
        <f t="shared" si="229"/>
        <v>46.767821818764205</v>
      </c>
      <c r="BO198" s="467">
        <f t="shared" si="229"/>
        <v>171.97421227552729</v>
      </c>
      <c r="BP198" s="487">
        <f t="shared" si="229"/>
        <v>45.410778461474813</v>
      </c>
      <c r="BQ198" s="487">
        <f t="shared" si="229"/>
        <v>43.061938906504963</v>
      </c>
      <c r="BR198" s="487">
        <f t="shared" si="229"/>
        <v>44.546811667984514</v>
      </c>
      <c r="BS198" s="487">
        <f t="shared" si="229"/>
        <v>48.880263376929584</v>
      </c>
      <c r="BT198" s="467">
        <f t="shared" si="229"/>
        <v>181.89979241289387</v>
      </c>
      <c r="BU198" s="487">
        <f t="shared" ref="BU198:CD198" si="230">BU192+BU195</f>
        <v>47.035418940487702</v>
      </c>
      <c r="BV198" s="487">
        <f t="shared" si="230"/>
        <v>44.21448738425206</v>
      </c>
      <c r="BW198" s="487">
        <f t="shared" si="230"/>
        <v>45.351095541678859</v>
      </c>
      <c r="BX198" s="487">
        <f t="shared" si="230"/>
        <v>49.350986332916044</v>
      </c>
      <c r="BY198" s="467">
        <f t="shared" si="230"/>
        <v>185.95198819933466</v>
      </c>
      <c r="BZ198" s="487">
        <f t="shared" si="230"/>
        <v>47.058719906991222</v>
      </c>
      <c r="CA198" s="487">
        <f t="shared" si="230"/>
        <v>43.86657250995566</v>
      </c>
      <c r="CB198" s="487">
        <f t="shared" si="230"/>
        <v>44.60665844299939</v>
      </c>
      <c r="CC198" s="487">
        <f t="shared" si="230"/>
        <v>48.122518816278408</v>
      </c>
      <c r="CD198" s="467">
        <f t="shared" si="230"/>
        <v>183.65446967622469</v>
      </c>
      <c r="CE198" s="487">
        <f t="shared" ref="CE198:CN198" si="231">CE192+CE195</f>
        <v>45.475973469849947</v>
      </c>
      <c r="CF198" s="487">
        <f t="shared" si="231"/>
        <v>42.058599506094495</v>
      </c>
      <c r="CG198" s="487">
        <f t="shared" si="231"/>
        <v>42.40034455900404</v>
      </c>
      <c r="CH198" s="487">
        <f t="shared" si="231"/>
        <v>45.337311122861067</v>
      </c>
      <c r="CI198" s="467">
        <f t="shared" si="231"/>
        <v>175.27222865780953</v>
      </c>
      <c r="CJ198" s="487">
        <f t="shared" si="231"/>
        <v>42.470919698922565</v>
      </c>
      <c r="CK198" s="487">
        <f t="shared" si="231"/>
        <v>39.000949582532314</v>
      </c>
      <c r="CL198" s="487">
        <f t="shared" si="231"/>
        <v>38.986907052863977</v>
      </c>
      <c r="CM198" s="487">
        <f t="shared" si="231"/>
        <v>41.313277574809369</v>
      </c>
      <c r="CN198" s="467">
        <f t="shared" si="231"/>
        <v>161.7720539091282</v>
      </c>
      <c r="CO198" s="487">
        <f t="shared" ref="CO198:CX198" si="232">CO192+CO195</f>
        <v>38.38321114253727</v>
      </c>
      <c r="CP198" s="487">
        <f t="shared" si="232"/>
        <v>35.036213844069565</v>
      </c>
      <c r="CQ198" s="487">
        <f t="shared" si="232"/>
        <v>34.743025235502635</v>
      </c>
      <c r="CR198" s="487">
        <f t="shared" si="232"/>
        <v>36.486405403119448</v>
      </c>
      <c r="CS198" s="467">
        <f t="shared" si="232"/>
        <v>144.64885562522892</v>
      </c>
      <c r="CT198" s="487">
        <f t="shared" si="232"/>
        <v>33.647342560268442</v>
      </c>
      <c r="CU198" s="487">
        <f t="shared" si="232"/>
        <v>30.578059654251707</v>
      </c>
      <c r="CV198" s="487">
        <f t="shared" si="232"/>
        <v>30.100807826438505</v>
      </c>
      <c r="CW198" s="487">
        <f t="shared" si="232"/>
        <v>31.33481165073529</v>
      </c>
      <c r="CX198" s="467">
        <f t="shared" si="232"/>
        <v>125.66102169169395</v>
      </c>
      <c r="CY198" s="466"/>
      <c r="DA198" s="1146"/>
      <c r="DB198" s="481"/>
      <c r="DC198" s="481"/>
    </row>
    <row r="199" spans="1:107" ht="11.25" hidden="1" customHeight="1" outlineLevel="1">
      <c r="A199" s="468" t="s">
        <v>275</v>
      </c>
      <c r="B199" s="469"/>
      <c r="C199" s="470"/>
      <c r="D199" s="469"/>
      <c r="E199" s="469"/>
      <c r="F199" s="471"/>
      <c r="G199" s="472"/>
      <c r="H199" s="470"/>
      <c r="I199" s="469"/>
      <c r="J199" s="469"/>
      <c r="K199" s="471"/>
      <c r="L199" s="470"/>
      <c r="M199" s="470"/>
      <c r="N199" s="469"/>
      <c r="O199" s="469"/>
      <c r="P199" s="471"/>
      <c r="Q199" s="472"/>
      <c r="R199" s="469"/>
      <c r="S199" s="469"/>
      <c r="T199" s="469"/>
      <c r="U199" s="469"/>
      <c r="V199" s="506"/>
      <c r="W199" s="469"/>
      <c r="X199" s="469"/>
      <c r="Y199" s="469"/>
      <c r="Z199" s="469"/>
      <c r="AA199" s="474">
        <f t="shared" ref="AA199:AZ199" si="233">AA198/AA163</f>
        <v>6.5607298852689663E-2</v>
      </c>
      <c r="AB199" s="469">
        <f t="shared" si="233"/>
        <v>0.10786379225869672</v>
      </c>
      <c r="AC199" s="469">
        <f t="shared" si="233"/>
        <v>0.10971967380224262</v>
      </c>
      <c r="AD199" s="469">
        <f t="shared" si="233"/>
        <v>0.11819037656903764</v>
      </c>
      <c r="AE199" s="469">
        <f t="shared" si="233"/>
        <v>0.11017801513128617</v>
      </c>
      <c r="AF199" s="472">
        <f t="shared" si="233"/>
        <v>0.11136608674344521</v>
      </c>
      <c r="AG199" s="469">
        <f t="shared" si="233"/>
        <v>0.1135480901978831</v>
      </c>
      <c r="AH199" s="469">
        <f t="shared" si="233"/>
        <v>0.18282779720279721</v>
      </c>
      <c r="AI199" s="469">
        <f t="shared" si="233"/>
        <v>0.13926561125769568</v>
      </c>
      <c r="AJ199" s="469">
        <f t="shared" si="233"/>
        <v>0.10515016233766236</v>
      </c>
      <c r="AK199" s="472">
        <f t="shared" si="233"/>
        <v>0.13488748777040982</v>
      </c>
      <c r="AL199" s="469">
        <f>AL198/AL163</f>
        <v>0.11493792551061274</v>
      </c>
      <c r="AM199" s="469">
        <f>AM198/AM163</f>
        <v>0.12104430379746835</v>
      </c>
      <c r="AN199" s="469">
        <f t="shared" si="233"/>
        <v>0.12874779541446207</v>
      </c>
      <c r="AO199" s="469">
        <f t="shared" si="233"/>
        <v>0.11870503597122302</v>
      </c>
      <c r="AP199" s="472">
        <f t="shared" si="233"/>
        <v>0.12105263157894738</v>
      </c>
      <c r="AQ199" s="469">
        <f t="shared" si="233"/>
        <v>0.10220264317180616</v>
      </c>
      <c r="AR199" s="469">
        <f t="shared" si="233"/>
        <v>0.10586552217453504</v>
      </c>
      <c r="AS199" s="469">
        <f t="shared" si="233"/>
        <v>9.9523809523809514E-2</v>
      </c>
      <c r="AT199" s="469">
        <f t="shared" si="233"/>
        <v>0.10339943342776203</v>
      </c>
      <c r="AU199" s="472">
        <f t="shared" si="233"/>
        <v>0.10273733255678509</v>
      </c>
      <c r="AV199" s="469">
        <f>AV198/AV163</f>
        <v>8.0553295362082986E-2</v>
      </c>
      <c r="AW199" s="469">
        <f>AW198/AW163</f>
        <v>8.2509669101847871E-2</v>
      </c>
      <c r="AX199" s="469">
        <f>AX198/AX163</f>
        <v>7.1651090342679122E-2</v>
      </c>
      <c r="AY199" s="469">
        <f>AY198/AY163</f>
        <v>0.1627143378329077</v>
      </c>
      <c r="AZ199" s="472">
        <f t="shared" si="233"/>
        <v>8.103824053893402E-2</v>
      </c>
      <c r="BA199" s="475">
        <f t="shared" ref="BA199:BJ199" si="234">BA198/BA163</f>
        <v>0.12062242032070376</v>
      </c>
      <c r="BB199" s="475">
        <f t="shared" si="234"/>
        <v>0.11319791483576581</v>
      </c>
      <c r="BC199" s="469">
        <f t="shared" si="234"/>
        <v>0.11521565869804117</v>
      </c>
      <c r="BD199" s="469">
        <f t="shared" si="234"/>
        <v>0.12109437490575023</v>
      </c>
      <c r="BE199" s="472">
        <f t="shared" si="234"/>
        <v>0.11757639192734701</v>
      </c>
      <c r="BF199" s="469">
        <f t="shared" si="234"/>
        <v>0.12345981706420636</v>
      </c>
      <c r="BG199" s="475">
        <f t="shared" si="234"/>
        <v>0.11728171963298591</v>
      </c>
      <c r="BH199" s="475">
        <f t="shared" si="234"/>
        <v>0.12160759202328526</v>
      </c>
      <c r="BI199" s="469">
        <f t="shared" si="234"/>
        <v>0.13031868225408708</v>
      </c>
      <c r="BJ199" s="472">
        <f t="shared" si="234"/>
        <v>0.12324789442894205</v>
      </c>
      <c r="BK199" s="475">
        <f t="shared" ref="BK199:BT199" si="235">BK198/BK163</f>
        <v>0.13102293915705071</v>
      </c>
      <c r="BL199" s="475">
        <f t="shared" si="235"/>
        <v>0.12324612672918141</v>
      </c>
      <c r="BM199" s="475">
        <f t="shared" si="235"/>
        <v>0.12645941046445938</v>
      </c>
      <c r="BN199" s="475">
        <f t="shared" si="235"/>
        <v>0.13413929168318675</v>
      </c>
      <c r="BO199" s="476">
        <f t="shared" si="235"/>
        <v>0.12877808744439667</v>
      </c>
      <c r="BP199" s="475">
        <f t="shared" si="235"/>
        <v>0.13427528350471857</v>
      </c>
      <c r="BQ199" s="475">
        <f t="shared" si="235"/>
        <v>0.12572658842724627</v>
      </c>
      <c r="BR199" s="475">
        <f t="shared" si="235"/>
        <v>0.12848911592291151</v>
      </c>
      <c r="BS199" s="475">
        <f t="shared" si="235"/>
        <v>0.13576396868187879</v>
      </c>
      <c r="BT199" s="476">
        <f t="shared" si="235"/>
        <v>0.13110537571793637</v>
      </c>
      <c r="BU199" s="475">
        <f t="shared" ref="BU199:CD199" si="236">BU198/BU163</f>
        <v>0.13531722810959868</v>
      </c>
      <c r="BV199" s="475">
        <f t="shared" si="236"/>
        <v>0.12616823196496579</v>
      </c>
      <c r="BW199" s="475">
        <f t="shared" si="236"/>
        <v>0.1284165451795605</v>
      </c>
      <c r="BX199" s="475">
        <f t="shared" si="236"/>
        <v>0.13515015287284365</v>
      </c>
      <c r="BY199" s="476">
        <f t="shared" si="236"/>
        <v>0.13128982033069214</v>
      </c>
      <c r="BZ199" s="475">
        <f t="shared" si="236"/>
        <v>0.13411335442097119</v>
      </c>
      <c r="CA199" s="475">
        <f t="shared" si="236"/>
        <v>0.12454481793090946</v>
      </c>
      <c r="CB199" s="475">
        <f t="shared" si="236"/>
        <v>0.12622164547457229</v>
      </c>
      <c r="CC199" s="475">
        <f t="shared" si="236"/>
        <v>0.13228277956080994</v>
      </c>
      <c r="CD199" s="476">
        <f t="shared" si="236"/>
        <v>0.12930795737890052</v>
      </c>
      <c r="CE199" s="475">
        <f t="shared" ref="CE199:CN199" si="237">CE198/CE163</f>
        <v>0.13065688729017713</v>
      </c>
      <c r="CF199" s="475">
        <f t="shared" si="237"/>
        <v>0.12085921122203531</v>
      </c>
      <c r="CG199" s="475">
        <f t="shared" si="237"/>
        <v>0.1219170948943369</v>
      </c>
      <c r="CH199" s="475">
        <f t="shared" si="237"/>
        <v>0.12718242855551637</v>
      </c>
      <c r="CI199" s="476">
        <f t="shared" si="237"/>
        <v>0.12516692246355987</v>
      </c>
      <c r="CJ199" s="475">
        <f t="shared" si="237"/>
        <v>0.12498463163671236</v>
      </c>
      <c r="CK199" s="475">
        <f t="shared" si="237"/>
        <v>0.11516294839952568</v>
      </c>
      <c r="CL199" s="475">
        <f t="shared" si="237"/>
        <v>0.115574266978129</v>
      </c>
      <c r="CM199" s="475">
        <f t="shared" si="237"/>
        <v>0.11993901356096995</v>
      </c>
      <c r="CN199" s="476">
        <f t="shared" si="237"/>
        <v>0.11892796698609348</v>
      </c>
      <c r="CO199" s="475">
        <f t="shared" ref="CO199:CX199" si="238">CO198/CO163</f>
        <v>0.11721664167825659</v>
      </c>
      <c r="CP199" s="475">
        <f t="shared" si="238"/>
        <v>0.1075972548513343</v>
      </c>
      <c r="CQ199" s="475">
        <f t="shared" si="238"/>
        <v>0.10736966995784551</v>
      </c>
      <c r="CR199" s="475">
        <f t="shared" si="238"/>
        <v>0.11076587804829743</v>
      </c>
      <c r="CS199" s="476">
        <f t="shared" si="238"/>
        <v>0.11075179146437966</v>
      </c>
      <c r="CT199" s="475">
        <f t="shared" si="238"/>
        <v>0.1076129681977137</v>
      </c>
      <c r="CU199" s="475">
        <f t="shared" si="238"/>
        <v>9.844585154736922E-2</v>
      </c>
      <c r="CV199" s="475">
        <f t="shared" si="238"/>
        <v>9.7639126272833915E-2</v>
      </c>
      <c r="CW199" s="475">
        <f t="shared" si="238"/>
        <v>0.10005809808068215</v>
      </c>
      <c r="CX199" s="476">
        <f t="shared" si="238"/>
        <v>0.10095441146462433</v>
      </c>
      <c r="CY199" s="475"/>
      <c r="DA199" s="1146"/>
      <c r="DB199" s="469"/>
      <c r="DC199" s="469"/>
    </row>
    <row r="200" spans="1:107" ht="11.25" hidden="1" customHeight="1" outlineLevel="1">
      <c r="A200" s="468"/>
      <c r="B200" s="469"/>
      <c r="C200" s="470"/>
      <c r="D200" s="469"/>
      <c r="E200" s="469"/>
      <c r="F200" s="471"/>
      <c r="G200" s="472"/>
      <c r="H200" s="470"/>
      <c r="I200" s="469"/>
      <c r="J200" s="469"/>
      <c r="K200" s="471"/>
      <c r="L200" s="470"/>
      <c r="M200" s="470"/>
      <c r="N200" s="469"/>
      <c r="O200" s="469"/>
      <c r="P200" s="471"/>
      <c r="Q200" s="472"/>
      <c r="R200" s="469"/>
      <c r="S200" s="469"/>
      <c r="T200" s="469"/>
      <c r="U200" s="469"/>
      <c r="V200" s="506"/>
      <c r="W200" s="469"/>
      <c r="X200" s="469"/>
      <c r="Y200" s="469"/>
      <c r="Z200" s="469"/>
      <c r="AA200" s="472"/>
      <c r="AB200" s="469"/>
      <c r="AC200" s="469"/>
      <c r="AD200" s="469"/>
      <c r="AE200" s="469"/>
      <c r="AF200" s="472"/>
      <c r="AG200" s="469"/>
      <c r="AH200" s="469"/>
      <c r="AI200" s="469"/>
      <c r="AJ200" s="469"/>
      <c r="AK200" s="472"/>
      <c r="AL200" s="469"/>
      <c r="AM200" s="469"/>
      <c r="AN200" s="469"/>
      <c r="AO200" s="469"/>
      <c r="AP200" s="472"/>
      <c r="AQ200" s="469"/>
      <c r="AR200" s="469"/>
      <c r="AS200" s="469"/>
      <c r="AT200" s="469"/>
      <c r="AU200" s="472"/>
      <c r="AV200" s="469"/>
      <c r="AW200" s="469"/>
      <c r="AX200" s="469"/>
      <c r="AY200" s="469"/>
      <c r="AZ200" s="472"/>
      <c r="BA200" s="475"/>
      <c r="BB200" s="475"/>
      <c r="BC200" s="469"/>
      <c r="BD200" s="469"/>
      <c r="BE200" s="472"/>
      <c r="BF200" s="469"/>
      <c r="BG200" s="475"/>
      <c r="BH200" s="475"/>
      <c r="BI200" s="469"/>
      <c r="BJ200" s="472"/>
      <c r="BK200" s="475"/>
      <c r="BL200" s="475"/>
      <c r="BM200" s="475"/>
      <c r="BN200" s="475"/>
      <c r="BO200" s="476"/>
      <c r="BP200" s="475"/>
      <c r="BQ200" s="475"/>
      <c r="BR200" s="475"/>
      <c r="BS200" s="475"/>
      <c r="BT200" s="476"/>
      <c r="BU200" s="475"/>
      <c r="BV200" s="475"/>
      <c r="BW200" s="475"/>
      <c r="BX200" s="475"/>
      <c r="BY200" s="476"/>
      <c r="BZ200" s="475"/>
      <c r="CA200" s="475"/>
      <c r="CB200" s="475"/>
      <c r="CC200" s="475"/>
      <c r="CD200" s="476"/>
      <c r="CE200" s="475"/>
      <c r="CF200" s="475"/>
      <c r="CG200" s="475"/>
      <c r="CH200" s="475"/>
      <c r="CI200" s="476"/>
      <c r="CJ200" s="475"/>
      <c r="CK200" s="475"/>
      <c r="CL200" s="475"/>
      <c r="CM200" s="475"/>
      <c r="CN200" s="476"/>
      <c r="CO200" s="475"/>
      <c r="CP200" s="475"/>
      <c r="CQ200" s="475"/>
      <c r="CR200" s="475"/>
      <c r="CS200" s="476"/>
      <c r="CT200" s="475"/>
      <c r="CU200" s="475"/>
      <c r="CV200" s="475"/>
      <c r="CW200" s="475"/>
      <c r="CX200" s="476"/>
      <c r="CY200" s="475"/>
      <c r="DA200" s="1146"/>
      <c r="DB200" s="469"/>
      <c r="DC200" s="469"/>
    </row>
    <row r="201" spans="1:107" ht="11.25" hidden="1" customHeight="1" outlineLevel="1">
      <c r="A201" s="457" t="s">
        <v>274</v>
      </c>
      <c r="B201" s="479"/>
      <c r="C201" s="480"/>
      <c r="D201" s="481"/>
      <c r="E201" s="481"/>
      <c r="F201" s="482"/>
      <c r="G201" s="483"/>
      <c r="H201" s="480"/>
      <c r="I201" s="481"/>
      <c r="J201" s="481"/>
      <c r="K201" s="482"/>
      <c r="L201" s="480"/>
      <c r="M201" s="480"/>
      <c r="N201" s="481"/>
      <c r="O201" s="481"/>
      <c r="P201" s="482"/>
      <c r="Q201" s="483"/>
      <c r="R201" s="481"/>
      <c r="S201" s="481"/>
      <c r="T201" s="481"/>
      <c r="U201" s="481"/>
      <c r="V201" s="462"/>
      <c r="W201" s="485"/>
      <c r="X201" s="485"/>
      <c r="Y201" s="485"/>
      <c r="Z201" s="481"/>
      <c r="AA201" s="463">
        <f>SUM(W201:Z201)</f>
        <v>0</v>
      </c>
      <c r="AB201" s="485">
        <v>4.7</v>
      </c>
      <c r="AC201" s="485">
        <v>5.3470000000000004</v>
      </c>
      <c r="AD201" s="485">
        <v>5.7</v>
      </c>
      <c r="AE201" s="485">
        <v>6.5190000000000019</v>
      </c>
      <c r="AF201" s="465">
        <f>SUM(AB201:AE201)</f>
        <v>22.266000000000002</v>
      </c>
      <c r="AG201" s="479">
        <v>6.88</v>
      </c>
      <c r="AH201" s="479">
        <v>6.8070000000000004</v>
      </c>
      <c r="AI201" s="479">
        <v>9.5210000000000008</v>
      </c>
      <c r="AJ201" s="479">
        <f>31.274-SUM(AG201:AI201)</f>
        <v>8.0659999999999989</v>
      </c>
      <c r="AK201" s="465">
        <f>SUM(AG201:AJ201)</f>
        <v>31.274000000000001</v>
      </c>
      <c r="AL201" s="479">
        <v>6</v>
      </c>
      <c r="AM201" s="479">
        <v>6.8</v>
      </c>
      <c r="AN201" s="479">
        <v>6.7</v>
      </c>
      <c r="AO201" s="479">
        <v>4.5</v>
      </c>
      <c r="AP201" s="465">
        <f>SUM(AL201:AO201)</f>
        <v>24</v>
      </c>
      <c r="AQ201" s="479">
        <v>6.1</v>
      </c>
      <c r="AR201" s="479">
        <v>5.4</v>
      </c>
      <c r="AS201" s="479">
        <v>4.9000000000000004</v>
      </c>
      <c r="AT201" s="479">
        <v>4.8</v>
      </c>
      <c r="AU201" s="465">
        <f>SUM(AQ201:AT201)</f>
        <v>21.2</v>
      </c>
      <c r="AV201" s="479">
        <f>AV167*AV202</f>
        <v>0</v>
      </c>
      <c r="AW201" s="479">
        <v>0</v>
      </c>
      <c r="AX201" s="479">
        <v>0</v>
      </c>
      <c r="AY201" s="479">
        <v>0</v>
      </c>
      <c r="AZ201" s="465">
        <f>SUM(AV201:AY201)</f>
        <v>0</v>
      </c>
      <c r="BA201" s="487">
        <f>BA167*BA202</f>
        <v>0</v>
      </c>
      <c r="BB201" s="487">
        <f>BB167*BB202</f>
        <v>0</v>
      </c>
      <c r="BC201" s="479">
        <f>BC167*BC202</f>
        <v>0</v>
      </c>
      <c r="BD201" s="479">
        <f>BD167*BD202</f>
        <v>0</v>
      </c>
      <c r="BE201" s="465">
        <f>SUM(BA201:BD201)</f>
        <v>0</v>
      </c>
      <c r="BF201" s="479">
        <f>BF167*BF202</f>
        <v>0</v>
      </c>
      <c r="BG201" s="487">
        <f>BG167*BG202</f>
        <v>0</v>
      </c>
      <c r="BH201" s="487">
        <f>BH167*BH202</f>
        <v>0</v>
      </c>
      <c r="BI201" s="479">
        <f>BI167*BI202</f>
        <v>0</v>
      </c>
      <c r="BJ201" s="465">
        <f>SUM(BF201:BI201)</f>
        <v>0</v>
      </c>
      <c r="BK201" s="487">
        <f>BK167*BK202</f>
        <v>0</v>
      </c>
      <c r="BL201" s="487">
        <f>BL167*BL202</f>
        <v>0</v>
      </c>
      <c r="BM201" s="487">
        <f>BM167*BM202</f>
        <v>0</v>
      </c>
      <c r="BN201" s="487">
        <f>BN167*BN202</f>
        <v>0</v>
      </c>
      <c r="BO201" s="467">
        <f>SUM(BK201:BN201)</f>
        <v>0</v>
      </c>
      <c r="BP201" s="487">
        <f>BP167*BP202</f>
        <v>0</v>
      </c>
      <c r="BQ201" s="487">
        <f>BQ167*BQ202</f>
        <v>0</v>
      </c>
      <c r="BR201" s="487">
        <f>BR167*BR202</f>
        <v>0</v>
      </c>
      <c r="BS201" s="487">
        <f>BS167*BS202</f>
        <v>0</v>
      </c>
      <c r="BT201" s="467">
        <f>SUM(BP201:BS201)</f>
        <v>0</v>
      </c>
      <c r="BU201" s="487">
        <f>BU167*BU202</f>
        <v>0</v>
      </c>
      <c r="BV201" s="487">
        <f>BV167*BV202</f>
        <v>0</v>
      </c>
      <c r="BW201" s="487">
        <f>BW167*BW202</f>
        <v>0</v>
      </c>
      <c r="BX201" s="487">
        <f>BX167*BX202</f>
        <v>0</v>
      </c>
      <c r="BY201" s="467">
        <f>SUM(BU201:BX201)</f>
        <v>0</v>
      </c>
      <c r="BZ201" s="487">
        <f>BZ167*BZ202</f>
        <v>0</v>
      </c>
      <c r="CA201" s="487">
        <f>CA167*CA202</f>
        <v>0</v>
      </c>
      <c r="CB201" s="487">
        <f>CB167*CB202</f>
        <v>0</v>
      </c>
      <c r="CC201" s="487">
        <f>CC167*CC202</f>
        <v>0</v>
      </c>
      <c r="CD201" s="467">
        <f>SUM(BZ201:CC201)</f>
        <v>0</v>
      </c>
      <c r="CE201" s="487">
        <f>CE167*CE202</f>
        <v>0</v>
      </c>
      <c r="CF201" s="487">
        <f>CF167*CF202</f>
        <v>0</v>
      </c>
      <c r="CG201" s="487">
        <f>CG167*CG202</f>
        <v>0</v>
      </c>
      <c r="CH201" s="487">
        <f>CH167*CH202</f>
        <v>0</v>
      </c>
      <c r="CI201" s="467">
        <f>SUM(CE201:CH201)</f>
        <v>0</v>
      </c>
      <c r="CJ201" s="487">
        <f>CJ167*CJ202</f>
        <v>0</v>
      </c>
      <c r="CK201" s="487">
        <f>CK167*CK202</f>
        <v>0</v>
      </c>
      <c r="CL201" s="487">
        <f>CL167*CL202</f>
        <v>0</v>
      </c>
      <c r="CM201" s="487">
        <f>CM167*CM202</f>
        <v>0</v>
      </c>
      <c r="CN201" s="467">
        <f>SUM(CJ201:CM201)</f>
        <v>0</v>
      </c>
      <c r="CO201" s="487">
        <f>CO167*CO202</f>
        <v>0</v>
      </c>
      <c r="CP201" s="487">
        <f>CP167*CP202</f>
        <v>0</v>
      </c>
      <c r="CQ201" s="487">
        <f>CQ167*CQ202</f>
        <v>0</v>
      </c>
      <c r="CR201" s="487">
        <f>CR167*CR202</f>
        <v>0</v>
      </c>
      <c r="CS201" s="467">
        <f>SUM(CO201:CR201)</f>
        <v>0</v>
      </c>
      <c r="CT201" s="487">
        <f>CT167*CT202</f>
        <v>0</v>
      </c>
      <c r="CU201" s="487">
        <f>CU167*CU202</f>
        <v>0</v>
      </c>
      <c r="CV201" s="487">
        <f>CV167*CV202</f>
        <v>0</v>
      </c>
      <c r="CW201" s="487">
        <f>CW167*CW202</f>
        <v>0</v>
      </c>
      <c r="CX201" s="467">
        <f>SUM(CT201:CW201)</f>
        <v>0</v>
      </c>
      <c r="CY201" s="466"/>
      <c r="DA201" s="1146"/>
      <c r="DB201" s="481"/>
      <c r="DC201" s="481"/>
    </row>
    <row r="202" spans="1:107" ht="11.25" hidden="1" customHeight="1" outlineLevel="1">
      <c r="A202" s="468" t="s">
        <v>275</v>
      </c>
      <c r="B202" s="469"/>
      <c r="C202" s="470"/>
      <c r="D202" s="469"/>
      <c r="E202" s="469"/>
      <c r="F202" s="471"/>
      <c r="G202" s="472"/>
      <c r="H202" s="470"/>
      <c r="I202" s="469"/>
      <c r="J202" s="469"/>
      <c r="K202" s="471"/>
      <c r="L202" s="470"/>
      <c r="M202" s="470"/>
      <c r="N202" s="469"/>
      <c r="O202" s="469"/>
      <c r="P202" s="471"/>
      <c r="Q202" s="472"/>
      <c r="R202" s="469"/>
      <c r="S202" s="469"/>
      <c r="T202" s="469"/>
      <c r="U202" s="469"/>
      <c r="V202" s="506"/>
      <c r="W202" s="469"/>
      <c r="X202" s="469"/>
      <c r="Y202" s="469"/>
      <c r="Z202" s="469"/>
      <c r="AA202" s="474"/>
      <c r="AB202" s="469">
        <f t="shared" ref="AB202:AK202" si="239">AB201/AB167</f>
        <v>0.54810495626822164</v>
      </c>
      <c r="AC202" s="469">
        <f t="shared" si="239"/>
        <v>0.70355263157894743</v>
      </c>
      <c r="AD202" s="469">
        <f t="shared" si="239"/>
        <v>0.61956521739130443</v>
      </c>
      <c r="AE202" s="469">
        <f t="shared" si="239"/>
        <v>0.53876033057851258</v>
      </c>
      <c r="AF202" s="472">
        <f t="shared" si="239"/>
        <v>0.59415610406937969</v>
      </c>
      <c r="AG202" s="469">
        <f t="shared" si="239"/>
        <v>0.50218978102189782</v>
      </c>
      <c r="AH202" s="469">
        <f t="shared" si="239"/>
        <v>0.55418057477814875</v>
      </c>
      <c r="AI202" s="469">
        <f t="shared" si="239"/>
        <v>0.73238461538461541</v>
      </c>
      <c r="AJ202" s="469">
        <f t="shared" si="239"/>
        <v>0.59748148148148139</v>
      </c>
      <c r="AK202" s="472">
        <f t="shared" si="239"/>
        <v>0.59588819236705226</v>
      </c>
      <c r="AL202" s="469">
        <f t="shared" ref="AL202:AT202" si="240">AL201/AL167</f>
        <v>0.39473684210526316</v>
      </c>
      <c r="AM202" s="469">
        <f t="shared" si="240"/>
        <v>0.30630630630630629</v>
      </c>
      <c r="AN202" s="469">
        <f t="shared" si="240"/>
        <v>0.24363636363636365</v>
      </c>
      <c r="AO202" s="469">
        <f t="shared" si="240"/>
        <v>9.3360995850622408E-2</v>
      </c>
      <c r="AP202" s="472">
        <f t="shared" si="240"/>
        <v>0.21220159151193632</v>
      </c>
      <c r="AQ202" s="469">
        <f t="shared" si="240"/>
        <v>0.23371647509578541</v>
      </c>
      <c r="AR202" s="469">
        <f t="shared" si="240"/>
        <v>0.6428571428571429</v>
      </c>
      <c r="AS202" s="469">
        <f t="shared" si="240"/>
        <v>0.58333333333333337</v>
      </c>
      <c r="AT202" s="469">
        <f t="shared" si="240"/>
        <v>0.57831325301204817</v>
      </c>
      <c r="AU202" s="472">
        <f>AU201/AU167</f>
        <v>0.41406249999999994</v>
      </c>
      <c r="AV202" s="469">
        <v>0</v>
      </c>
      <c r="AW202" s="469">
        <v>0</v>
      </c>
      <c r="AX202" s="469">
        <v>0</v>
      </c>
      <c r="AY202" s="469">
        <v>0</v>
      </c>
      <c r="AZ202" s="472" t="s">
        <v>719</v>
      </c>
      <c r="BA202" s="475">
        <v>0.48</v>
      </c>
      <c r="BB202" s="475">
        <v>0.47499999999999998</v>
      </c>
      <c r="BC202" s="469">
        <v>0.45</v>
      </c>
      <c r="BD202" s="469">
        <v>0.44</v>
      </c>
      <c r="BE202" s="472" t="s">
        <v>719</v>
      </c>
      <c r="BF202" s="469">
        <v>0.48</v>
      </c>
      <c r="BG202" s="475">
        <v>0.47499999999999998</v>
      </c>
      <c r="BH202" s="475">
        <v>0.45</v>
      </c>
      <c r="BI202" s="469">
        <v>0.44</v>
      </c>
      <c r="BJ202" s="472" t="s">
        <v>719</v>
      </c>
      <c r="BK202" s="475">
        <v>0.48</v>
      </c>
      <c r="BL202" s="475">
        <v>0.47499999999999998</v>
      </c>
      <c r="BM202" s="475">
        <v>0.45</v>
      </c>
      <c r="BN202" s="475">
        <v>0.44</v>
      </c>
      <c r="BO202" s="476" t="s">
        <v>719</v>
      </c>
      <c r="BP202" s="475">
        <v>0.48</v>
      </c>
      <c r="BQ202" s="475">
        <v>0.47499999999999998</v>
      </c>
      <c r="BR202" s="475">
        <v>0.45</v>
      </c>
      <c r="BS202" s="475">
        <v>0.44</v>
      </c>
      <c r="BT202" s="476" t="s">
        <v>719</v>
      </c>
      <c r="BU202" s="475">
        <v>0.48</v>
      </c>
      <c r="BV202" s="475">
        <v>0.47499999999999998</v>
      </c>
      <c r="BW202" s="475">
        <v>0.45</v>
      </c>
      <c r="BX202" s="475">
        <v>0.44</v>
      </c>
      <c r="BY202" s="476" t="s">
        <v>719</v>
      </c>
      <c r="BZ202" s="475">
        <v>0.48</v>
      </c>
      <c r="CA202" s="475">
        <v>0.47499999999999998</v>
      </c>
      <c r="CB202" s="475">
        <v>0.45</v>
      </c>
      <c r="CC202" s="475">
        <v>0.44</v>
      </c>
      <c r="CD202" s="476" t="s">
        <v>719</v>
      </c>
      <c r="CE202" s="475">
        <v>0.48</v>
      </c>
      <c r="CF202" s="475">
        <v>0.47499999999999998</v>
      </c>
      <c r="CG202" s="475">
        <v>0.45</v>
      </c>
      <c r="CH202" s="475">
        <v>0.44</v>
      </c>
      <c r="CI202" s="476" t="s">
        <v>719</v>
      </c>
      <c r="CJ202" s="475">
        <v>0.48</v>
      </c>
      <c r="CK202" s="475">
        <v>0.47499999999999998</v>
      </c>
      <c r="CL202" s="475">
        <v>0.45</v>
      </c>
      <c r="CM202" s="475">
        <v>0.44</v>
      </c>
      <c r="CN202" s="476" t="s">
        <v>719</v>
      </c>
      <c r="CO202" s="475">
        <v>0.48</v>
      </c>
      <c r="CP202" s="475">
        <v>0.47499999999999998</v>
      </c>
      <c r="CQ202" s="475">
        <v>0.45</v>
      </c>
      <c r="CR202" s="475">
        <v>0.44</v>
      </c>
      <c r="CS202" s="476" t="s">
        <v>719</v>
      </c>
      <c r="CT202" s="475">
        <v>0.48</v>
      </c>
      <c r="CU202" s="475">
        <v>0.47499999999999998</v>
      </c>
      <c r="CV202" s="475">
        <v>0.45</v>
      </c>
      <c r="CW202" s="475">
        <v>0.44</v>
      </c>
      <c r="CX202" s="476" t="s">
        <v>719</v>
      </c>
      <c r="CY202" s="475"/>
      <c r="DA202" s="1146"/>
      <c r="DB202" s="469"/>
      <c r="DC202" s="469"/>
    </row>
    <row r="203" spans="1:107" ht="11.25" hidden="1" customHeight="1" outlineLevel="1">
      <c r="A203" s="468"/>
      <c r="B203" s="469"/>
      <c r="C203" s="470"/>
      <c r="D203" s="469"/>
      <c r="E203" s="469"/>
      <c r="F203" s="471"/>
      <c r="G203" s="472"/>
      <c r="H203" s="470"/>
      <c r="I203" s="469"/>
      <c r="J203" s="469"/>
      <c r="K203" s="471"/>
      <c r="L203" s="470"/>
      <c r="M203" s="470"/>
      <c r="N203" s="469"/>
      <c r="O203" s="469"/>
      <c r="P203" s="471"/>
      <c r="Q203" s="472"/>
      <c r="R203" s="469"/>
      <c r="S203" s="469"/>
      <c r="T203" s="469"/>
      <c r="U203" s="469"/>
      <c r="V203" s="506"/>
      <c r="W203" s="469"/>
      <c r="X203" s="469"/>
      <c r="Y203" s="469"/>
      <c r="Z203" s="469"/>
      <c r="AA203" s="474"/>
      <c r="AB203" s="469"/>
      <c r="AC203" s="469"/>
      <c r="AD203" s="469"/>
      <c r="AE203" s="469"/>
      <c r="AF203" s="472"/>
      <c r="AG203" s="469"/>
      <c r="AH203" s="469"/>
      <c r="AI203" s="469"/>
      <c r="AJ203" s="469"/>
      <c r="AK203" s="472"/>
      <c r="AL203" s="469"/>
      <c r="AM203" s="469"/>
      <c r="AN203" s="469"/>
      <c r="AO203" s="469"/>
      <c r="AP203" s="472"/>
      <c r="AQ203" s="469"/>
      <c r="AR203" s="469"/>
      <c r="AS203" s="469"/>
      <c r="AT203" s="469"/>
      <c r="AU203" s="472"/>
      <c r="AV203" s="469"/>
      <c r="AW203" s="469"/>
      <c r="AX203" s="469"/>
      <c r="AY203" s="469"/>
      <c r="AZ203" s="472"/>
      <c r="BA203" s="475"/>
      <c r="BB203" s="475"/>
      <c r="BC203" s="469"/>
      <c r="BD203" s="469"/>
      <c r="BE203" s="472"/>
      <c r="BF203" s="469"/>
      <c r="BG203" s="475"/>
      <c r="BH203" s="475"/>
      <c r="BI203" s="469"/>
      <c r="BJ203" s="472"/>
      <c r="BK203" s="475"/>
      <c r="BL203" s="475"/>
      <c r="BM203" s="475"/>
      <c r="BN203" s="475"/>
      <c r="BO203" s="476"/>
      <c r="BP203" s="475"/>
      <c r="BQ203" s="475"/>
      <c r="BR203" s="475"/>
      <c r="BS203" s="475"/>
      <c r="BT203" s="476"/>
      <c r="BU203" s="475"/>
      <c r="BV203" s="475"/>
      <c r="BW203" s="475"/>
      <c r="BX203" s="475"/>
      <c r="BY203" s="476"/>
      <c r="BZ203" s="475"/>
      <c r="CA203" s="475"/>
      <c r="CB203" s="475"/>
      <c r="CC203" s="475"/>
      <c r="CD203" s="476"/>
      <c r="CE203" s="475"/>
      <c r="CF203" s="475"/>
      <c r="CG203" s="475"/>
      <c r="CH203" s="475"/>
      <c r="CI203" s="476"/>
      <c r="CJ203" s="475"/>
      <c r="CK203" s="475"/>
      <c r="CL203" s="475"/>
      <c r="CM203" s="475"/>
      <c r="CN203" s="476"/>
      <c r="CO203" s="475"/>
      <c r="CP203" s="475"/>
      <c r="CQ203" s="475"/>
      <c r="CR203" s="475"/>
      <c r="CS203" s="476"/>
      <c r="CT203" s="475"/>
      <c r="CU203" s="475"/>
      <c r="CV203" s="475"/>
      <c r="CW203" s="475"/>
      <c r="CX203" s="476"/>
      <c r="CY203" s="475"/>
      <c r="DA203" s="1146"/>
      <c r="DB203" s="469"/>
      <c r="DC203" s="469"/>
    </row>
    <row r="204" spans="1:107" ht="11.25" hidden="1" customHeight="1" outlineLevel="1">
      <c r="A204" s="478" t="s">
        <v>153</v>
      </c>
      <c r="B204" s="479"/>
      <c r="C204" s="480"/>
      <c r="D204" s="481"/>
      <c r="E204" s="481"/>
      <c r="F204" s="482"/>
      <c r="G204" s="483"/>
      <c r="H204" s="480"/>
      <c r="I204" s="481"/>
      <c r="J204" s="481"/>
      <c r="K204" s="482"/>
      <c r="L204" s="480"/>
      <c r="M204" s="480"/>
      <c r="N204" s="481"/>
      <c r="O204" s="481"/>
      <c r="P204" s="482"/>
      <c r="Q204" s="483"/>
      <c r="R204" s="481"/>
      <c r="S204" s="481"/>
      <c r="T204" s="481"/>
      <c r="U204" s="481"/>
      <c r="V204" s="484"/>
      <c r="W204" s="485"/>
      <c r="X204" s="485"/>
      <c r="Y204" s="485"/>
      <c r="Z204" s="479"/>
      <c r="AA204" s="484" t="s">
        <v>31</v>
      </c>
      <c r="AB204" s="485">
        <v>3.4</v>
      </c>
      <c r="AC204" s="485">
        <v>3.4</v>
      </c>
      <c r="AD204" s="485">
        <v>3.4</v>
      </c>
      <c r="AE204" s="485">
        <v>3.8</v>
      </c>
      <c r="AF204" s="486">
        <f>SUM(AB204:AE204)</f>
        <v>14</v>
      </c>
      <c r="AG204" s="479">
        <v>2.9</v>
      </c>
      <c r="AH204" s="479">
        <v>3.7</v>
      </c>
      <c r="AI204" s="479">
        <v>3.2</v>
      </c>
      <c r="AJ204" s="479">
        <v>3</v>
      </c>
      <c r="AK204" s="486">
        <f>SUM(AG204:AJ204)</f>
        <v>12.8</v>
      </c>
      <c r="AL204" s="479">
        <v>4</v>
      </c>
      <c r="AM204" s="479">
        <v>4.5</v>
      </c>
      <c r="AN204" s="479">
        <v>7.4</v>
      </c>
      <c r="AO204" s="479">
        <v>4.5</v>
      </c>
      <c r="AP204" s="486">
        <f>SUM(AL204:AO204)</f>
        <v>20.399999999999999</v>
      </c>
      <c r="AQ204" s="479"/>
      <c r="AR204" s="479"/>
      <c r="AS204" s="479"/>
      <c r="AT204" s="479"/>
      <c r="AU204" s="486">
        <f>SUM(AQ204:AT204)</f>
        <v>0</v>
      </c>
      <c r="AV204" s="479">
        <v>2.2000000000000002</v>
      </c>
      <c r="AW204" s="479">
        <v>2.9</v>
      </c>
      <c r="AX204" s="479">
        <v>2.2000000000000002</v>
      </c>
      <c r="AY204" s="479">
        <v>2.6</v>
      </c>
      <c r="AZ204" s="486">
        <f>SUM(AV204:AY204)</f>
        <v>9.9</v>
      </c>
      <c r="BA204" s="487">
        <f>BA205*BA171</f>
        <v>4.0037849999999997</v>
      </c>
      <c r="BB204" s="487">
        <f>BB205*BB171</f>
        <v>4.0238039249999993</v>
      </c>
      <c r="BC204" s="479">
        <f>BC205*BC171</f>
        <v>3.9956372975249996</v>
      </c>
      <c r="BD204" s="479">
        <f>BD205*BD171</f>
        <v>4.0955282299631248</v>
      </c>
      <c r="BE204" s="486">
        <f>SUM(BA204:BD204)</f>
        <v>16.118754452488126</v>
      </c>
      <c r="BF204" s="479">
        <f>BF205*BF171</f>
        <v>3.8907518184649681</v>
      </c>
      <c r="BG204" s="487">
        <f>BG205*BG171</f>
        <v>4.0269281321112418</v>
      </c>
      <c r="BH204" s="487">
        <f>BH205*BH171</f>
        <v>4.0067934914506855</v>
      </c>
      <c r="BI204" s="479">
        <f>BI205*BI171</f>
        <v>4.1870991985659662</v>
      </c>
      <c r="BJ204" s="486">
        <f>SUM(BF204:BI204)</f>
        <v>16.111572640592861</v>
      </c>
      <c r="BK204" s="487">
        <f>BK205*BK171</f>
        <v>3.9777442386376682</v>
      </c>
      <c r="BL204" s="487">
        <f>BL205*BL171</f>
        <v>4.116965286989986</v>
      </c>
      <c r="BM204" s="487">
        <f>BM205*BM171</f>
        <v>4.0963804605550367</v>
      </c>
      <c r="BN204" s="487">
        <f>BN205*BN171</f>
        <v>4.2807175812800127</v>
      </c>
      <c r="BO204" s="488">
        <f>SUM(BK204:BN204)</f>
        <v>16.471807567462701</v>
      </c>
      <c r="BP204" s="487">
        <f>BP205*BP171</f>
        <v>4.0666817022160116</v>
      </c>
      <c r="BQ204" s="487">
        <f>BQ205*BQ171</f>
        <v>4.2090155617935716</v>
      </c>
      <c r="BR204" s="487">
        <f>BR205*BR171</f>
        <v>4.1879704839846035</v>
      </c>
      <c r="BS204" s="487">
        <f>BS205*BS171</f>
        <v>4.3764291557639101</v>
      </c>
      <c r="BT204" s="488">
        <f>SUM(BP204:BS204)</f>
        <v>16.840096903758095</v>
      </c>
      <c r="BU204" s="487">
        <f>BU205*BU171</f>
        <v>4.1576076979757151</v>
      </c>
      <c r="BV204" s="487">
        <f>BV205*BV171</f>
        <v>4.3031239674048649</v>
      </c>
      <c r="BW204" s="487">
        <f>BW205*BW171</f>
        <v>4.2816083475678406</v>
      </c>
      <c r="BX204" s="487">
        <f>BX205*BX171</f>
        <v>4.474280723208393</v>
      </c>
      <c r="BY204" s="488">
        <f>SUM(BU204:BX204)</f>
        <v>17.216620736156813</v>
      </c>
      <c r="BZ204" s="487">
        <f>BZ205*BZ171</f>
        <v>4.2505666870479732</v>
      </c>
      <c r="CA204" s="487">
        <f>CA205*CA171</f>
        <v>4.3993365210946527</v>
      </c>
      <c r="CB204" s="487">
        <f>CB205*CB171</f>
        <v>4.3773398384891786</v>
      </c>
      <c r="CC204" s="487">
        <f>CC205*CC171</f>
        <v>4.5743201312211923</v>
      </c>
      <c r="CD204" s="488">
        <f>SUM(BZ204:CC204)</f>
        <v>17.601563177852995</v>
      </c>
      <c r="CE204" s="487">
        <f>CE205*CE171</f>
        <v>4.3456041246601318</v>
      </c>
      <c r="CF204" s="487">
        <f>CF205*CF171</f>
        <v>4.4977002690232366</v>
      </c>
      <c r="CG204" s="487">
        <f>CG205*CG171</f>
        <v>4.4752117676781209</v>
      </c>
      <c r="CH204" s="487">
        <f>CH205*CH171</f>
        <v>4.6765962972236359</v>
      </c>
      <c r="CI204" s="488">
        <f>SUM(CE204:CH204)</f>
        <v>17.995112458585126</v>
      </c>
      <c r="CJ204" s="487">
        <f>CJ205*CJ171</f>
        <v>4.4427664823624538</v>
      </c>
      <c r="CK204" s="487">
        <f>CK205*CK171</f>
        <v>4.5982633092451399</v>
      </c>
      <c r="CL204" s="487">
        <f>CL205*CL171</f>
        <v>4.575271992698914</v>
      </c>
      <c r="CM204" s="487">
        <f>CM205*CM171</f>
        <v>4.7811592323703644</v>
      </c>
      <c r="CN204" s="488">
        <f>SUM(CJ204:CM204)</f>
        <v>18.397461016676871</v>
      </c>
      <c r="CO204" s="487">
        <f>CO205*CO171</f>
        <v>4.5421012707518464</v>
      </c>
      <c r="CP204" s="487">
        <f>CP205*CP171</f>
        <v>4.7010748152281607</v>
      </c>
      <c r="CQ204" s="487">
        <f>CQ205*CQ171</f>
        <v>4.6775694411520199</v>
      </c>
      <c r="CR204" s="487">
        <f>CR205*CR171</f>
        <v>4.8880600660038604</v>
      </c>
      <c r="CS204" s="488">
        <f>SUM(CO204:CR204)</f>
        <v>18.808805593135887</v>
      </c>
      <c r="CT204" s="487">
        <f>CT205*CT171</f>
        <v>4.6436570627036673</v>
      </c>
      <c r="CU204" s="487">
        <f>CU205*CU171</f>
        <v>4.8061850598982954</v>
      </c>
      <c r="CV204" s="487">
        <f>CV205*CV171</f>
        <v>4.7821541345988035</v>
      </c>
      <c r="CW204" s="487">
        <f>CW205*CW171</f>
        <v>4.9973510706557498</v>
      </c>
      <c r="CX204" s="488">
        <f>SUM(CT204:CW204)</f>
        <v>19.229347327856516</v>
      </c>
      <c r="CY204" s="487"/>
      <c r="DA204" s="1146"/>
      <c r="DB204" s="481"/>
      <c r="DC204" s="481"/>
    </row>
    <row r="205" spans="1:107" ht="11.25" hidden="1" customHeight="1" outlineLevel="1">
      <c r="A205" s="489" t="s">
        <v>275</v>
      </c>
      <c r="B205" s="469"/>
      <c r="C205" s="470"/>
      <c r="D205" s="469"/>
      <c r="E205" s="469"/>
      <c r="F205" s="471"/>
      <c r="G205" s="472"/>
      <c r="H205" s="470"/>
      <c r="I205" s="469"/>
      <c r="J205" s="469"/>
      <c r="K205" s="471"/>
      <c r="L205" s="470"/>
      <c r="M205" s="470"/>
      <c r="N205" s="469"/>
      <c r="O205" s="469"/>
      <c r="P205" s="471"/>
      <c r="Q205" s="472"/>
      <c r="R205" s="469"/>
      <c r="S205" s="469"/>
      <c r="T205" s="469"/>
      <c r="U205" s="469"/>
      <c r="V205" s="506"/>
      <c r="W205" s="469"/>
      <c r="X205" s="469"/>
      <c r="Y205" s="469"/>
      <c r="Z205" s="469"/>
      <c r="AA205" s="474"/>
      <c r="AB205" s="507">
        <f t="shared" ref="AB205:AK205" si="241">AB204/AB171</f>
        <v>0.24817518248175183</v>
      </c>
      <c r="AC205" s="507">
        <f t="shared" si="241"/>
        <v>0.18784530386740331</v>
      </c>
      <c r="AD205" s="507">
        <f t="shared" si="241"/>
        <v>0.19101123595505617</v>
      </c>
      <c r="AE205" s="507">
        <f t="shared" si="241"/>
        <v>0.20540540540540539</v>
      </c>
      <c r="AF205" s="508">
        <f t="shared" si="241"/>
        <v>0.20558002936857564</v>
      </c>
      <c r="AG205" s="507">
        <f t="shared" si="241"/>
        <v>0.18354430379746833</v>
      </c>
      <c r="AH205" s="507">
        <f t="shared" si="241"/>
        <v>0.19576719576719578</v>
      </c>
      <c r="AI205" s="507">
        <f t="shared" si="241"/>
        <v>0.17112299465240643</v>
      </c>
      <c r="AJ205" s="507">
        <f t="shared" si="241"/>
        <v>0.10909090909090909</v>
      </c>
      <c r="AK205" s="508">
        <f t="shared" si="241"/>
        <v>0.15822002472187885</v>
      </c>
      <c r="AL205" s="507">
        <f t="shared" ref="AL205:AQ205" si="242">AL204/AL171</f>
        <v>0.14234875444839856</v>
      </c>
      <c r="AM205" s="507">
        <f t="shared" si="242"/>
        <v>0.1480263157894737</v>
      </c>
      <c r="AN205" s="507">
        <f t="shared" si="242"/>
        <v>0.23417721518987342</v>
      </c>
      <c r="AO205" s="507">
        <f t="shared" si="242"/>
        <v>0.15845070422535212</v>
      </c>
      <c r="AP205" s="508">
        <f t="shared" si="242"/>
        <v>0.17215189873417722</v>
      </c>
      <c r="AQ205" s="507">
        <f t="shared" si="242"/>
        <v>0</v>
      </c>
      <c r="AR205" s="469">
        <v>0</v>
      </c>
      <c r="AS205" s="469">
        <v>0</v>
      </c>
      <c r="AT205" s="469">
        <v>0</v>
      </c>
      <c r="AU205" s="472">
        <f t="shared" ref="AU205:AZ205" si="243">AU204/AU171</f>
        <v>0</v>
      </c>
      <c r="AV205" s="507">
        <f t="shared" si="243"/>
        <v>4.7210300429184553E-2</v>
      </c>
      <c r="AW205" s="507">
        <f t="shared" si="243"/>
        <v>6.3876651982378851E-2</v>
      </c>
      <c r="AX205" s="507">
        <f t="shared" si="243"/>
        <v>5.4054054054054057E-2</v>
      </c>
      <c r="AY205" s="507">
        <f t="shared" si="243"/>
        <v>5.6399132321041212E-2</v>
      </c>
      <c r="AZ205" s="472">
        <f t="shared" si="243"/>
        <v>5.5369127516778534E-2</v>
      </c>
      <c r="BA205" s="475">
        <v>0.09</v>
      </c>
      <c r="BB205" s="475">
        <v>0.09</v>
      </c>
      <c r="BC205" s="469">
        <v>0.09</v>
      </c>
      <c r="BD205" s="507">
        <v>0.09</v>
      </c>
      <c r="BE205" s="472">
        <f>BE204/BE171</f>
        <v>9.0000000000000011E-2</v>
      </c>
      <c r="BF205" s="469">
        <v>0.09</v>
      </c>
      <c r="BG205" s="475">
        <v>0.09</v>
      </c>
      <c r="BH205" s="475">
        <v>0.09</v>
      </c>
      <c r="BI205" s="507">
        <v>0.09</v>
      </c>
      <c r="BJ205" s="472">
        <f>BJ204/BJ171</f>
        <v>0.09</v>
      </c>
      <c r="BK205" s="475">
        <v>0.09</v>
      </c>
      <c r="BL205" s="475">
        <v>0.09</v>
      </c>
      <c r="BM205" s="475">
        <v>0.09</v>
      </c>
      <c r="BN205" s="475">
        <v>0.09</v>
      </c>
      <c r="BO205" s="476">
        <f>BO204/BO171</f>
        <v>0.09</v>
      </c>
      <c r="BP205" s="475">
        <v>0.09</v>
      </c>
      <c r="BQ205" s="475">
        <v>0.09</v>
      </c>
      <c r="BR205" s="475">
        <v>0.09</v>
      </c>
      <c r="BS205" s="475">
        <v>0.09</v>
      </c>
      <c r="BT205" s="476">
        <f>BT204/BT171</f>
        <v>8.9999999999999983E-2</v>
      </c>
      <c r="BU205" s="475">
        <v>0.09</v>
      </c>
      <c r="BV205" s="475">
        <v>0.09</v>
      </c>
      <c r="BW205" s="475">
        <v>0.09</v>
      </c>
      <c r="BX205" s="475">
        <v>0.09</v>
      </c>
      <c r="BY205" s="476">
        <f>BY204/BY171</f>
        <v>0.09</v>
      </c>
      <c r="BZ205" s="475">
        <v>0.09</v>
      </c>
      <c r="CA205" s="475">
        <v>0.09</v>
      </c>
      <c r="CB205" s="475">
        <v>0.09</v>
      </c>
      <c r="CC205" s="475">
        <v>0.09</v>
      </c>
      <c r="CD205" s="476">
        <f>CD204/CD171</f>
        <v>8.9999999999999983E-2</v>
      </c>
      <c r="CE205" s="475">
        <v>0.09</v>
      </c>
      <c r="CF205" s="475">
        <v>0.09</v>
      </c>
      <c r="CG205" s="475">
        <v>0.09</v>
      </c>
      <c r="CH205" s="475">
        <v>0.09</v>
      </c>
      <c r="CI205" s="476">
        <f>CI204/CI171</f>
        <v>9.0000000000000011E-2</v>
      </c>
      <c r="CJ205" s="475">
        <v>0.09</v>
      </c>
      <c r="CK205" s="475">
        <v>0.09</v>
      </c>
      <c r="CL205" s="475">
        <v>0.09</v>
      </c>
      <c r="CM205" s="475">
        <v>0.09</v>
      </c>
      <c r="CN205" s="476">
        <f>CN204/CN171</f>
        <v>8.9999999999999983E-2</v>
      </c>
      <c r="CO205" s="475">
        <v>0.09</v>
      </c>
      <c r="CP205" s="475">
        <v>0.09</v>
      </c>
      <c r="CQ205" s="475">
        <v>0.09</v>
      </c>
      <c r="CR205" s="475">
        <v>0.09</v>
      </c>
      <c r="CS205" s="476">
        <f>CS204/CS171</f>
        <v>8.9999999999999983E-2</v>
      </c>
      <c r="CT205" s="475">
        <v>0.09</v>
      </c>
      <c r="CU205" s="475">
        <v>0.09</v>
      </c>
      <c r="CV205" s="475">
        <v>0.09</v>
      </c>
      <c r="CW205" s="475">
        <v>0.09</v>
      </c>
      <c r="CX205" s="476">
        <f>CX204/CX171</f>
        <v>0.09</v>
      </c>
      <c r="CY205" s="475"/>
      <c r="DA205" s="1146"/>
      <c r="DB205" s="469"/>
      <c r="DC205" s="469"/>
    </row>
    <row r="206" spans="1:107" ht="11.25" hidden="1" customHeight="1" outlineLevel="1">
      <c r="A206" s="489"/>
      <c r="B206" s="469"/>
      <c r="C206" s="470"/>
      <c r="D206" s="469"/>
      <c r="E206" s="469"/>
      <c r="F206" s="471"/>
      <c r="G206" s="472"/>
      <c r="H206" s="470"/>
      <c r="I206" s="469"/>
      <c r="J206" s="469"/>
      <c r="K206" s="471"/>
      <c r="L206" s="470"/>
      <c r="M206" s="470"/>
      <c r="N206" s="469"/>
      <c r="O206" s="469"/>
      <c r="P206" s="471"/>
      <c r="Q206" s="472"/>
      <c r="R206" s="469"/>
      <c r="S206" s="469"/>
      <c r="T206" s="469"/>
      <c r="U206" s="469"/>
      <c r="V206" s="506"/>
      <c r="W206" s="469"/>
      <c r="X206" s="469"/>
      <c r="Y206" s="469"/>
      <c r="Z206" s="469"/>
      <c r="AA206" s="472"/>
      <c r="AB206" s="469"/>
      <c r="AC206" s="469"/>
      <c r="AD206" s="469"/>
      <c r="AE206" s="469"/>
      <c r="AF206" s="472"/>
      <c r="AG206" s="469"/>
      <c r="AH206" s="469"/>
      <c r="AI206" s="469"/>
      <c r="AJ206" s="469"/>
      <c r="AK206" s="472"/>
      <c r="AL206" s="469"/>
      <c r="AM206" s="469"/>
      <c r="AN206" s="469"/>
      <c r="AO206" s="469"/>
      <c r="AP206" s="472"/>
      <c r="AQ206" s="469"/>
      <c r="AR206" s="469"/>
      <c r="AS206" s="469"/>
      <c r="AT206" s="469"/>
      <c r="AU206" s="472"/>
      <c r="AV206" s="469"/>
      <c r="AW206" s="469"/>
      <c r="AX206" s="469"/>
      <c r="AY206" s="469"/>
      <c r="AZ206" s="472"/>
      <c r="BA206" s="475"/>
      <c r="BB206" s="475"/>
      <c r="BC206" s="469"/>
      <c r="BD206" s="469"/>
      <c r="BE206" s="472"/>
      <c r="BF206" s="469"/>
      <c r="BG206" s="475"/>
      <c r="BH206" s="475"/>
      <c r="BI206" s="469"/>
      <c r="BJ206" s="472"/>
      <c r="BK206" s="475"/>
      <c r="BL206" s="475"/>
      <c r="BM206" s="475"/>
      <c r="BN206" s="475"/>
      <c r="BO206" s="476"/>
      <c r="BP206" s="475"/>
      <c r="BQ206" s="475"/>
      <c r="BR206" s="475"/>
      <c r="BS206" s="475"/>
      <c r="BT206" s="476"/>
      <c r="BU206" s="475"/>
      <c r="BV206" s="475"/>
      <c r="BW206" s="475"/>
      <c r="BX206" s="475"/>
      <c r="BY206" s="476"/>
      <c r="BZ206" s="475"/>
      <c r="CA206" s="475"/>
      <c r="CB206" s="475"/>
      <c r="CC206" s="475"/>
      <c r="CD206" s="476"/>
      <c r="CE206" s="475"/>
      <c r="CF206" s="475"/>
      <c r="CG206" s="475"/>
      <c r="CH206" s="475"/>
      <c r="CI206" s="476"/>
      <c r="CJ206" s="475"/>
      <c r="CK206" s="475"/>
      <c r="CL206" s="475"/>
      <c r="CM206" s="475"/>
      <c r="CN206" s="476"/>
      <c r="CO206" s="475"/>
      <c r="CP206" s="475"/>
      <c r="CQ206" s="475"/>
      <c r="CR206" s="475"/>
      <c r="CS206" s="476"/>
      <c r="CT206" s="475"/>
      <c r="CU206" s="475"/>
      <c r="CV206" s="475"/>
      <c r="CW206" s="475"/>
      <c r="CX206" s="476"/>
      <c r="CY206" s="475"/>
      <c r="DA206" s="1146"/>
      <c r="DB206" s="469"/>
      <c r="DC206" s="469"/>
    </row>
    <row r="207" spans="1:107" ht="11.25" hidden="1" customHeight="1" outlineLevel="1">
      <c r="A207" s="478" t="s">
        <v>659</v>
      </c>
      <c r="B207" s="479"/>
      <c r="C207" s="480"/>
      <c r="D207" s="481"/>
      <c r="E207" s="481"/>
      <c r="F207" s="482"/>
      <c r="G207" s="483"/>
      <c r="H207" s="480"/>
      <c r="I207" s="481"/>
      <c r="J207" s="481"/>
      <c r="K207" s="482"/>
      <c r="L207" s="480"/>
      <c r="M207" s="480"/>
      <c r="N207" s="481"/>
      <c r="O207" s="481"/>
      <c r="P207" s="482"/>
      <c r="Q207" s="483"/>
      <c r="R207" s="481"/>
      <c r="S207" s="481"/>
      <c r="T207" s="481"/>
      <c r="U207" s="481"/>
      <c r="V207" s="484"/>
      <c r="W207" s="485"/>
      <c r="X207" s="485"/>
      <c r="Y207" s="485"/>
      <c r="Z207" s="479"/>
      <c r="AA207" s="484" t="s">
        <v>31</v>
      </c>
      <c r="AB207" s="485">
        <v>10.1</v>
      </c>
      <c r="AC207" s="485">
        <v>2.4</v>
      </c>
      <c r="AD207" s="485">
        <v>6.5</v>
      </c>
      <c r="AE207" s="485">
        <v>8</v>
      </c>
      <c r="AF207" s="486">
        <f>SUM(AB207:AE207)</f>
        <v>27</v>
      </c>
      <c r="AG207" s="479">
        <v>7.7</v>
      </c>
      <c r="AH207" s="479">
        <v>6.1</v>
      </c>
      <c r="AI207" s="479">
        <v>8.1</v>
      </c>
      <c r="AJ207" s="479">
        <v>17.5</v>
      </c>
      <c r="AK207" s="486">
        <f>SUM(AG207:AJ207)</f>
        <v>39.4</v>
      </c>
      <c r="AL207" s="479">
        <v>7.8</v>
      </c>
      <c r="AM207" s="479">
        <v>6.7</v>
      </c>
      <c r="AN207" s="479">
        <v>6.5</v>
      </c>
      <c r="AO207" s="479">
        <v>7.9</v>
      </c>
      <c r="AP207" s="486">
        <f>SUM(AL207:AO207)</f>
        <v>28.9</v>
      </c>
      <c r="AQ207" s="479">
        <v>5.3</v>
      </c>
      <c r="AR207" s="479">
        <v>4.8</v>
      </c>
      <c r="AS207" s="479">
        <v>4.3</v>
      </c>
      <c r="AT207" s="479">
        <v>4.0999999999999996</v>
      </c>
      <c r="AU207" s="486">
        <f>SUM(AQ207:AT207)</f>
        <v>18.5</v>
      </c>
      <c r="AV207" s="479">
        <v>2.5</v>
      </c>
      <c r="AW207" s="479">
        <v>2.8</v>
      </c>
      <c r="AX207" s="479">
        <v>3.4</v>
      </c>
      <c r="AY207" s="479">
        <v>3</v>
      </c>
      <c r="AZ207" s="486">
        <f>SUM(AV207:AY207)</f>
        <v>11.7</v>
      </c>
      <c r="BA207" s="487">
        <f>BA208*BA174</f>
        <v>3.2864039999999997</v>
      </c>
      <c r="BB207" s="487">
        <f>BB208*BB174</f>
        <v>3.4975189799999997</v>
      </c>
      <c r="BC207" s="479">
        <f>BC208*BC174</f>
        <v>3.585522825675</v>
      </c>
      <c r="BD207" s="479">
        <f>BD208*BD174</f>
        <v>3.7889459886206254</v>
      </c>
      <c r="BE207" s="486">
        <f>SUM(BA207:BD207)</f>
        <v>14.158391794295625</v>
      </c>
      <c r="BF207" s="479">
        <f>BF208*BF174</f>
        <v>3.7023415088807248</v>
      </c>
      <c r="BG207" s="487">
        <f>BG208*BG174</f>
        <v>3.6956246024184956</v>
      </c>
      <c r="BH207" s="487">
        <f>BH208*BH174</f>
        <v>3.6019036159544218</v>
      </c>
      <c r="BI207" s="479">
        <f>BI208*BI174</f>
        <v>3.5288488292911424</v>
      </c>
      <c r="BJ207" s="486">
        <f>SUM(BF207:BI207)</f>
        <v>14.528718556544785</v>
      </c>
      <c r="BK207" s="487">
        <f>BK208*BK174</f>
        <v>3.5877764762869599</v>
      </c>
      <c r="BL207" s="487">
        <f>BL208*BL174</f>
        <v>3.6794987936210184</v>
      </c>
      <c r="BM207" s="487">
        <f>BM208*BM174</f>
        <v>3.6610946604177443</v>
      </c>
      <c r="BN207" s="487">
        <f>BN208*BN174</f>
        <v>3.7231363948571352</v>
      </c>
      <c r="BO207" s="488">
        <f>SUM(BK207:BN207)</f>
        <v>14.651506325182858</v>
      </c>
      <c r="BP207" s="487">
        <f>BP208*BP174</f>
        <v>3.7831178501122271</v>
      </c>
      <c r="BQ207" s="487">
        <f>BQ208*BQ174</f>
        <v>3.8803446588067305</v>
      </c>
      <c r="BR207" s="487">
        <f>BR208*BR174</f>
        <v>3.8593880617992018</v>
      </c>
      <c r="BS207" s="487">
        <f>BS208*BS174</f>
        <v>3.926310048006691</v>
      </c>
      <c r="BT207" s="488">
        <f>SUM(BP207:BS207)</f>
        <v>15.44916061872485</v>
      </c>
      <c r="BU207" s="487">
        <f>BU208*BU174</f>
        <v>3.9873584915320404</v>
      </c>
      <c r="BV207" s="487">
        <f>BV208*BV174</f>
        <v>4.0903488154860987</v>
      </c>
      <c r="BW207" s="487">
        <f>BW208*BW174</f>
        <v>4.0666984081595459</v>
      </c>
      <c r="BX207" s="487">
        <f>BX208*BX174</f>
        <v>4.1387472630160413</v>
      </c>
      <c r="BY207" s="488">
        <f>SUM(BU207:BX207)</f>
        <v>16.283152978193726</v>
      </c>
      <c r="BZ207" s="487">
        <f>BZ208*BZ174</f>
        <v>4.2008757608433376</v>
      </c>
      <c r="CA207" s="487">
        <f>CA208*CA174</f>
        <v>4.309899766920446</v>
      </c>
      <c r="CB207" s="487">
        <f>CB208*CB174</f>
        <v>4.2834077249860423</v>
      </c>
      <c r="CC207" s="487">
        <f>CC208*CC174</f>
        <v>4.3608409919532507</v>
      </c>
      <c r="CD207" s="488">
        <f>SUM(BZ207:CC207)</f>
        <v>17.155024244703075</v>
      </c>
      <c r="CE207" s="487">
        <f>CE208*CE174</f>
        <v>4.4240624774997537</v>
      </c>
      <c r="CF207" s="487">
        <f>CF208*CF174</f>
        <v>4.5394019353261061</v>
      </c>
      <c r="CG207" s="487">
        <f>CG208*CG174</f>
        <v>4.5099136812991008</v>
      </c>
      <c r="CH207" s="487">
        <f>CH208*CH174</f>
        <v>4.5930002877818286</v>
      </c>
      <c r="CI207" s="488">
        <f>SUM(CE207:CH207)</f>
        <v>18.066378381906787</v>
      </c>
      <c r="CJ207" s="487">
        <f>CJ208*CJ174</f>
        <v>4.6573275421653326</v>
      </c>
      <c r="CK207" s="487">
        <f>CK208*CK174</f>
        <v>4.7792763025008442</v>
      </c>
      <c r="CL207" s="487">
        <f>CL208*CL174</f>
        <v>4.7466302189802168</v>
      </c>
      <c r="CM207" s="487">
        <f>CM208*CM174</f>
        <v>4.8356509523014699</v>
      </c>
      <c r="CN207" s="488">
        <f>SUM(CJ207:CM207)</f>
        <v>19.018885015947863</v>
      </c>
      <c r="CO207" s="487">
        <f>CO208*CO174</f>
        <v>4.901096583556992</v>
      </c>
      <c r="CP207" s="487">
        <f>CP208*CP174</f>
        <v>5.0299610759806939</v>
      </c>
      <c r="CQ207" s="487">
        <f>CQ208*CQ174</f>
        <v>4.9939882071753727</v>
      </c>
      <c r="CR207" s="487">
        <f>CR208*CR174</f>
        <v>5.0892362099105286</v>
      </c>
      <c r="CS207" s="488">
        <f>SUM(CO207:CR207)</f>
        <v>20.014282076623587</v>
      </c>
      <c r="CT207" s="487">
        <f>CT208*CT174</f>
        <v>5.1558126310582217</v>
      </c>
      <c r="CU207" s="487">
        <f>CU208*CU174</f>
        <v>5.291912381739154</v>
      </c>
      <c r="CV207" s="487">
        <f>CV208*CV174</f>
        <v>5.2524361227676781</v>
      </c>
      <c r="CW207" s="487">
        <f>CW208*CW174</f>
        <v>5.3542174082137226</v>
      </c>
      <c r="CX207" s="488">
        <f>SUM(CT207:CW207)</f>
        <v>21.054378543778775</v>
      </c>
      <c r="CY207" s="487"/>
      <c r="DA207" s="1146"/>
      <c r="DB207" s="481"/>
      <c r="DC207" s="481"/>
    </row>
    <row r="208" spans="1:107" ht="11.25" hidden="1" customHeight="1" outlineLevel="1">
      <c r="A208" s="489" t="s">
        <v>275</v>
      </c>
      <c r="B208" s="469"/>
      <c r="C208" s="470"/>
      <c r="D208" s="469"/>
      <c r="E208" s="469"/>
      <c r="F208" s="471"/>
      <c r="G208" s="472"/>
      <c r="H208" s="470"/>
      <c r="I208" s="469"/>
      <c r="J208" s="469"/>
      <c r="K208" s="471"/>
      <c r="L208" s="470"/>
      <c r="M208" s="470"/>
      <c r="N208" s="469"/>
      <c r="O208" s="469"/>
      <c r="P208" s="471"/>
      <c r="Q208" s="472"/>
      <c r="R208" s="469"/>
      <c r="S208" s="469"/>
      <c r="T208" s="469"/>
      <c r="U208" s="469"/>
      <c r="V208" s="506"/>
      <c r="W208" s="469"/>
      <c r="X208" s="469"/>
      <c r="Y208" s="469"/>
      <c r="Z208" s="469"/>
      <c r="AA208" s="474"/>
      <c r="AB208" s="469">
        <f t="shared" ref="AB208:AK208" si="244">AB207/AB174</f>
        <v>0.2148936170212766</v>
      </c>
      <c r="AC208" s="469">
        <f t="shared" si="244"/>
        <v>4.49438202247191E-2</v>
      </c>
      <c r="AD208" s="469">
        <f t="shared" si="244"/>
        <v>0.12404580152671756</v>
      </c>
      <c r="AE208" s="469">
        <f t="shared" si="244"/>
        <v>0.12738853503184713</v>
      </c>
      <c r="AF208" s="472">
        <f t="shared" si="244"/>
        <v>0.12523191094619665</v>
      </c>
      <c r="AG208" s="469">
        <f t="shared" si="244"/>
        <v>0.13701067615658363</v>
      </c>
      <c r="AH208" s="469">
        <f t="shared" si="244"/>
        <v>0.12448979591836734</v>
      </c>
      <c r="AI208" s="469">
        <f t="shared" si="244"/>
        <v>0.17197452229299362</v>
      </c>
      <c r="AJ208" s="469">
        <f t="shared" si="244"/>
        <v>0.32833020637898691</v>
      </c>
      <c r="AK208" s="472">
        <f t="shared" si="244"/>
        <v>0.19163424124513617</v>
      </c>
      <c r="AL208" s="469">
        <f t="shared" ref="AL208:AY208" si="245">AL207/AL174</f>
        <v>0.14471243042671614</v>
      </c>
      <c r="AM208" s="469">
        <f t="shared" si="245"/>
        <v>0.12338858195211787</v>
      </c>
      <c r="AN208" s="469">
        <f t="shared" si="245"/>
        <v>0.12720156555772993</v>
      </c>
      <c r="AO208" s="469">
        <f t="shared" si="245"/>
        <v>0.15192307692307694</v>
      </c>
      <c r="AP208" s="472">
        <f t="shared" si="245"/>
        <v>0.13677236157122574</v>
      </c>
      <c r="AQ208" s="469">
        <f t="shared" si="245"/>
        <v>0.11422413793103449</v>
      </c>
      <c r="AR208" s="469">
        <f t="shared" si="245"/>
        <v>0.1032258064516129</v>
      </c>
      <c r="AS208" s="469">
        <f t="shared" si="245"/>
        <v>0.10189573459715638</v>
      </c>
      <c r="AT208" s="469">
        <f t="shared" si="245"/>
        <v>9.5571095571095568E-2</v>
      </c>
      <c r="AU208" s="472">
        <f>AU207/AU174</f>
        <v>0.10393258426966291</v>
      </c>
      <c r="AV208" s="469">
        <f t="shared" si="245"/>
        <v>5.3648068669527899E-2</v>
      </c>
      <c r="AW208" s="469">
        <f t="shared" si="245"/>
        <v>5.7494866529774119E-2</v>
      </c>
      <c r="AX208" s="469">
        <f t="shared" si="245"/>
        <v>6.5259117082533583E-2</v>
      </c>
      <c r="AY208" s="469">
        <f t="shared" si="245"/>
        <v>6.3424947145877389E-2</v>
      </c>
      <c r="AZ208" s="472">
        <f>AZ207/AZ174</f>
        <v>6.0092449922958396E-2</v>
      </c>
      <c r="BA208" s="475">
        <v>7.1999999999999995E-2</v>
      </c>
      <c r="BB208" s="475">
        <v>7.1999999999999995E-2</v>
      </c>
      <c r="BC208" s="469">
        <v>7.0000000000000007E-2</v>
      </c>
      <c r="BD208" s="469">
        <v>7.0000000000000007E-2</v>
      </c>
      <c r="BE208" s="472">
        <f>BE207/BE174</f>
        <v>7.0944238299509063E-2</v>
      </c>
      <c r="BF208" s="469">
        <v>7.1999999999999995E-2</v>
      </c>
      <c r="BG208" s="475">
        <v>7.1999999999999995E-2</v>
      </c>
      <c r="BH208" s="475">
        <v>7.0000000000000007E-2</v>
      </c>
      <c r="BI208" s="469">
        <v>7.0000000000000007E-2</v>
      </c>
      <c r="BJ208" s="472">
        <f>BJ207/BJ174</f>
        <v>7.1004308710581138E-2</v>
      </c>
      <c r="BK208" s="475">
        <v>7.1999999999999995E-2</v>
      </c>
      <c r="BL208" s="475">
        <v>7.1999999999999995E-2</v>
      </c>
      <c r="BM208" s="475">
        <v>7.0000000000000007E-2</v>
      </c>
      <c r="BN208" s="475">
        <v>7.0000000000000007E-2</v>
      </c>
      <c r="BO208" s="476">
        <f>BO207/BO174</f>
        <v>7.0977935464376127E-2</v>
      </c>
      <c r="BP208" s="475">
        <v>7.1999999999999995E-2</v>
      </c>
      <c r="BQ208" s="475">
        <v>7.1999999999999995E-2</v>
      </c>
      <c r="BR208" s="475">
        <v>7.0000000000000007E-2</v>
      </c>
      <c r="BS208" s="475">
        <v>7.0000000000000007E-2</v>
      </c>
      <c r="BT208" s="476">
        <f>BT207/BT174</f>
        <v>7.0978005824716819E-2</v>
      </c>
      <c r="BU208" s="475">
        <v>7.1999999999999995E-2</v>
      </c>
      <c r="BV208" s="475">
        <v>7.1999999999999995E-2</v>
      </c>
      <c r="BW208" s="475">
        <v>7.0000000000000007E-2</v>
      </c>
      <c r="BX208" s="475">
        <v>7.0000000000000007E-2</v>
      </c>
      <c r="BY208" s="476">
        <f>BY207/BY174</f>
        <v>7.0978073098125496E-2</v>
      </c>
      <c r="BZ208" s="475">
        <v>7.1999999999999995E-2</v>
      </c>
      <c r="CA208" s="475">
        <v>7.1999999999999995E-2</v>
      </c>
      <c r="CB208" s="475">
        <v>7.0000000000000007E-2</v>
      </c>
      <c r="CC208" s="475">
        <v>7.0000000000000007E-2</v>
      </c>
      <c r="CD208" s="476">
        <f>CD207/CD174</f>
        <v>7.097813747482018E-2</v>
      </c>
      <c r="CE208" s="475">
        <v>7.1999999999999995E-2</v>
      </c>
      <c r="CF208" s="475">
        <v>7.1999999999999995E-2</v>
      </c>
      <c r="CG208" s="475">
        <v>7.0000000000000007E-2</v>
      </c>
      <c r="CH208" s="475">
        <v>7.0000000000000007E-2</v>
      </c>
      <c r="CI208" s="476">
        <f>CI207/CI174</f>
        <v>7.0978199129739114E-2</v>
      </c>
      <c r="CJ208" s="475">
        <v>7.1999999999999995E-2</v>
      </c>
      <c r="CK208" s="475">
        <v>7.1999999999999995E-2</v>
      </c>
      <c r="CL208" s="475">
        <v>7.0000000000000007E-2</v>
      </c>
      <c r="CM208" s="475">
        <v>7.0000000000000007E-2</v>
      </c>
      <c r="CN208" s="476">
        <f>CN207/CN174</f>
        <v>7.0978258224045146E-2</v>
      </c>
      <c r="CO208" s="475">
        <v>7.1999999999999995E-2</v>
      </c>
      <c r="CP208" s="475">
        <v>7.1999999999999995E-2</v>
      </c>
      <c r="CQ208" s="475">
        <v>7.0000000000000007E-2</v>
      </c>
      <c r="CR208" s="475">
        <v>7.0000000000000007E-2</v>
      </c>
      <c r="CS208" s="476">
        <f>CS207/CS174</f>
        <v>7.0978314906456147E-2</v>
      </c>
      <c r="CT208" s="475">
        <v>7.1999999999999995E-2</v>
      </c>
      <c r="CU208" s="475">
        <v>7.1999999999999995E-2</v>
      </c>
      <c r="CV208" s="475">
        <v>7.0000000000000007E-2</v>
      </c>
      <c r="CW208" s="475">
        <v>7.0000000000000007E-2</v>
      </c>
      <c r="CX208" s="476">
        <f>CX207/CX174</f>
        <v>7.097836931442382E-2</v>
      </c>
      <c r="CY208" s="475"/>
      <c r="DA208" s="1146"/>
      <c r="DB208" s="469"/>
      <c r="DC208" s="469"/>
    </row>
    <row r="209" spans="1:107" ht="11.25" hidden="1" customHeight="1" outlineLevel="1">
      <c r="A209" s="468"/>
      <c r="B209" s="469"/>
      <c r="C209" s="470"/>
      <c r="D209" s="469"/>
      <c r="E209" s="469"/>
      <c r="F209" s="471"/>
      <c r="G209" s="472"/>
      <c r="H209" s="470"/>
      <c r="I209" s="469"/>
      <c r="J209" s="469"/>
      <c r="K209" s="471"/>
      <c r="L209" s="470"/>
      <c r="M209" s="470"/>
      <c r="N209" s="469"/>
      <c r="O209" s="469"/>
      <c r="P209" s="471"/>
      <c r="Q209" s="472"/>
      <c r="R209" s="469"/>
      <c r="S209" s="469"/>
      <c r="T209" s="469"/>
      <c r="U209" s="469"/>
      <c r="V209" s="506"/>
      <c r="W209" s="469"/>
      <c r="X209" s="469"/>
      <c r="Y209" s="469"/>
      <c r="Z209" s="469"/>
      <c r="AA209" s="472"/>
      <c r="AB209" s="469"/>
      <c r="AC209" s="469"/>
      <c r="AD209" s="469"/>
      <c r="AE209" s="469"/>
      <c r="AF209" s="472"/>
      <c r="AG209" s="469"/>
      <c r="AH209" s="469"/>
      <c r="AI209" s="469"/>
      <c r="AJ209" s="469"/>
      <c r="AK209" s="472"/>
      <c r="AL209" s="469"/>
      <c r="AM209" s="469"/>
      <c r="AN209" s="469"/>
      <c r="AO209" s="469"/>
      <c r="AP209" s="472"/>
      <c r="AQ209" s="469"/>
      <c r="AR209" s="469"/>
      <c r="AS209" s="469"/>
      <c r="AT209" s="469"/>
      <c r="AU209" s="472"/>
      <c r="AV209" s="469"/>
      <c r="AW209" s="469"/>
      <c r="AX209" s="469"/>
      <c r="AY209" s="469"/>
      <c r="AZ209" s="472"/>
      <c r="BA209" s="475"/>
      <c r="BB209" s="475"/>
      <c r="BC209" s="469"/>
      <c r="BD209" s="469"/>
      <c r="BE209" s="472"/>
      <c r="BF209" s="469"/>
      <c r="BG209" s="475"/>
      <c r="BH209" s="475"/>
      <c r="BI209" s="469"/>
      <c r="BJ209" s="472"/>
      <c r="BK209" s="475"/>
      <c r="BL209" s="475"/>
      <c r="BM209" s="475"/>
      <c r="BN209" s="475"/>
      <c r="BO209" s="476"/>
      <c r="BP209" s="475"/>
      <c r="BQ209" s="475"/>
      <c r="BR209" s="475"/>
      <c r="BS209" s="475"/>
      <c r="BT209" s="476"/>
      <c r="BU209" s="475"/>
      <c r="BV209" s="475"/>
      <c r="BW209" s="475"/>
      <c r="BX209" s="475"/>
      <c r="BY209" s="476"/>
      <c r="BZ209" s="475"/>
      <c r="CA209" s="475"/>
      <c r="CB209" s="475"/>
      <c r="CC209" s="475"/>
      <c r="CD209" s="476"/>
      <c r="CE209" s="475"/>
      <c r="CF209" s="475"/>
      <c r="CG209" s="475"/>
      <c r="CH209" s="475"/>
      <c r="CI209" s="476"/>
      <c r="CJ209" s="475"/>
      <c r="CK209" s="475"/>
      <c r="CL209" s="475"/>
      <c r="CM209" s="475"/>
      <c r="CN209" s="476"/>
      <c r="CO209" s="475"/>
      <c r="CP209" s="475"/>
      <c r="CQ209" s="475"/>
      <c r="CR209" s="475"/>
      <c r="CS209" s="476"/>
      <c r="CT209" s="475"/>
      <c r="CU209" s="475"/>
      <c r="CV209" s="475"/>
      <c r="CW209" s="475"/>
      <c r="CX209" s="476"/>
      <c r="CY209" s="475"/>
      <c r="DA209" s="1146"/>
      <c r="DB209" s="469"/>
      <c r="DC209" s="469"/>
    </row>
    <row r="210" spans="1:107" ht="11.25" hidden="1" customHeight="1" outlineLevel="1">
      <c r="A210" s="457" t="s">
        <v>427</v>
      </c>
      <c r="B210" s="479"/>
      <c r="C210" s="480"/>
      <c r="D210" s="481"/>
      <c r="E210" s="481"/>
      <c r="F210" s="482"/>
      <c r="G210" s="483"/>
      <c r="H210" s="480"/>
      <c r="I210" s="481"/>
      <c r="J210" s="481"/>
      <c r="K210" s="482"/>
      <c r="L210" s="480"/>
      <c r="M210" s="480"/>
      <c r="N210" s="481"/>
      <c r="O210" s="481"/>
      <c r="P210" s="482"/>
      <c r="Q210" s="483"/>
      <c r="R210" s="481"/>
      <c r="S210" s="481"/>
      <c r="T210" s="481"/>
      <c r="U210" s="481"/>
      <c r="V210" s="463"/>
      <c r="W210" s="485"/>
      <c r="X210" s="485"/>
      <c r="Y210" s="485"/>
      <c r="Z210" s="479"/>
      <c r="AA210" s="463"/>
      <c r="AB210" s="485"/>
      <c r="AC210" s="485"/>
      <c r="AD210" s="485"/>
      <c r="AE210" s="485"/>
      <c r="AF210" s="465"/>
      <c r="AG210" s="479"/>
      <c r="AH210" s="479"/>
      <c r="AI210" s="479"/>
      <c r="AJ210" s="479"/>
      <c r="AK210" s="465"/>
      <c r="AL210" s="479"/>
      <c r="AM210" s="479"/>
      <c r="AN210" s="479"/>
      <c r="AO210" s="479"/>
      <c r="AP210" s="465"/>
      <c r="AQ210" s="479"/>
      <c r="AR210" s="479"/>
      <c r="AS210" s="479"/>
      <c r="AT210" s="479"/>
      <c r="AU210" s="465"/>
      <c r="AV210" s="479">
        <v>42.1</v>
      </c>
      <c r="AW210" s="479">
        <v>46</v>
      </c>
      <c r="AX210" s="479">
        <v>46.7</v>
      </c>
      <c r="AY210" s="479">
        <v>44.6</v>
      </c>
      <c r="AZ210" s="486">
        <f>SUM(AV210:AY210)</f>
        <v>179.4</v>
      </c>
      <c r="BA210" s="487"/>
      <c r="BB210" s="487"/>
      <c r="BC210" s="479"/>
      <c r="BD210" s="479"/>
      <c r="BE210" s="486"/>
      <c r="BF210" s="479"/>
      <c r="BG210" s="487"/>
      <c r="BH210" s="487"/>
      <c r="BI210" s="479"/>
      <c r="BJ210" s="486"/>
      <c r="BK210" s="487"/>
      <c r="BL210" s="487"/>
      <c r="BM210" s="487"/>
      <c r="BN210" s="487"/>
      <c r="BO210" s="467"/>
      <c r="BP210" s="487"/>
      <c r="BQ210" s="487"/>
      <c r="BR210" s="487"/>
      <c r="BS210" s="487"/>
      <c r="BT210" s="467"/>
      <c r="BU210" s="487"/>
      <c r="BV210" s="487"/>
      <c r="BW210" s="487"/>
      <c r="BX210" s="487"/>
      <c r="BY210" s="467"/>
      <c r="BZ210" s="487"/>
      <c r="CA210" s="487"/>
      <c r="CB210" s="487"/>
      <c r="CC210" s="487"/>
      <c r="CD210" s="467"/>
      <c r="CE210" s="487"/>
      <c r="CF210" s="487"/>
      <c r="CG210" s="487"/>
      <c r="CH210" s="487"/>
      <c r="CI210" s="467"/>
      <c r="CJ210" s="487"/>
      <c r="CK210" s="487"/>
      <c r="CL210" s="487"/>
      <c r="CM210" s="487"/>
      <c r="CN210" s="467"/>
      <c r="CO210" s="487"/>
      <c r="CP210" s="487"/>
      <c r="CQ210" s="487"/>
      <c r="CR210" s="487"/>
      <c r="CS210" s="467"/>
      <c r="CT210" s="487"/>
      <c r="CU210" s="487"/>
      <c r="CV210" s="487"/>
      <c r="CW210" s="487"/>
      <c r="CX210" s="467"/>
      <c r="CY210" s="466"/>
      <c r="DA210" s="1146"/>
      <c r="DB210" s="481"/>
      <c r="DC210" s="481"/>
    </row>
    <row r="211" spans="1:107" ht="11.25" hidden="1" customHeight="1" outlineLevel="1">
      <c r="A211" s="468" t="s">
        <v>275</v>
      </c>
      <c r="B211" s="469"/>
      <c r="C211" s="470"/>
      <c r="D211" s="469"/>
      <c r="E211" s="469"/>
      <c r="F211" s="471"/>
      <c r="G211" s="472"/>
      <c r="H211" s="470"/>
      <c r="I211" s="469"/>
      <c r="J211" s="469"/>
      <c r="K211" s="471"/>
      <c r="L211" s="470"/>
      <c r="M211" s="470"/>
      <c r="N211" s="469"/>
      <c r="O211" s="469"/>
      <c r="P211" s="471"/>
      <c r="Q211" s="472"/>
      <c r="R211" s="469"/>
      <c r="S211" s="469"/>
      <c r="T211" s="469"/>
      <c r="U211" s="469"/>
      <c r="V211" s="472"/>
      <c r="W211" s="469"/>
      <c r="X211" s="469"/>
      <c r="Y211" s="469"/>
      <c r="Z211" s="469"/>
      <c r="AA211" s="474"/>
      <c r="AB211" s="469"/>
      <c r="AC211" s="469"/>
      <c r="AD211" s="469"/>
      <c r="AE211" s="469"/>
      <c r="AF211" s="472"/>
      <c r="AG211" s="469"/>
      <c r="AH211" s="469"/>
      <c r="AI211" s="469"/>
      <c r="AJ211" s="469"/>
      <c r="AK211" s="472"/>
      <c r="AL211" s="469"/>
      <c r="AM211" s="469"/>
      <c r="AN211" s="469"/>
      <c r="AO211" s="469"/>
      <c r="AP211" s="472"/>
      <c r="AQ211" s="469"/>
      <c r="AR211" s="469"/>
      <c r="AS211" s="469"/>
      <c r="AT211" s="469"/>
      <c r="AU211" s="472"/>
      <c r="AV211" s="469">
        <f>AV210/AV178</f>
        <v>0.48004561003420754</v>
      </c>
      <c r="AW211" s="469">
        <f>AW210/AW178</f>
        <v>0.55089820359281438</v>
      </c>
      <c r="AX211" s="469">
        <f>AX210/AX178</f>
        <v>0.51318681318681325</v>
      </c>
      <c r="AY211" s="469">
        <f>AY210/AY178</f>
        <v>0.4532520325203252</v>
      </c>
      <c r="AZ211" s="469">
        <f>AZ210/AZ178</f>
        <v>0.49750415973377704</v>
      </c>
      <c r="BA211" s="475">
        <f>AV211</f>
        <v>0.48004561003420754</v>
      </c>
      <c r="BB211" s="475">
        <f>AW211</f>
        <v>0.55089820359281438</v>
      </c>
      <c r="BC211" s="469">
        <f>AX211</f>
        <v>0.51318681318681325</v>
      </c>
      <c r="BD211" s="469">
        <f>AY211</f>
        <v>0.4532520325203252</v>
      </c>
      <c r="BE211" s="469"/>
      <c r="BF211" s="469">
        <f>BA211</f>
        <v>0.48004561003420754</v>
      </c>
      <c r="BG211" s="475">
        <f>BB211</f>
        <v>0.55089820359281438</v>
      </c>
      <c r="BH211" s="475">
        <f>BC211</f>
        <v>0.51318681318681325</v>
      </c>
      <c r="BI211" s="469">
        <f>BD211</f>
        <v>0.4532520325203252</v>
      </c>
      <c r="BJ211" s="469"/>
      <c r="BK211" s="475">
        <f>BF211</f>
        <v>0.48004561003420754</v>
      </c>
      <c r="BL211" s="475">
        <f>BG211</f>
        <v>0.55089820359281438</v>
      </c>
      <c r="BM211" s="475">
        <f>BH211</f>
        <v>0.51318681318681325</v>
      </c>
      <c r="BN211" s="475">
        <f>BI211</f>
        <v>0.4532520325203252</v>
      </c>
      <c r="BO211" s="476"/>
      <c r="BP211" s="475">
        <f>BK211</f>
        <v>0.48004561003420754</v>
      </c>
      <c r="BQ211" s="475">
        <f>BL211</f>
        <v>0.55089820359281438</v>
      </c>
      <c r="BR211" s="475">
        <f>BM211</f>
        <v>0.51318681318681325</v>
      </c>
      <c r="BS211" s="475">
        <f>BN211</f>
        <v>0.4532520325203252</v>
      </c>
      <c r="BT211" s="476"/>
      <c r="BU211" s="475">
        <f>BP211</f>
        <v>0.48004561003420754</v>
      </c>
      <c r="BV211" s="475">
        <f>BQ211</f>
        <v>0.55089820359281438</v>
      </c>
      <c r="BW211" s="475">
        <f>BR211</f>
        <v>0.51318681318681325</v>
      </c>
      <c r="BX211" s="475">
        <f>BS211</f>
        <v>0.4532520325203252</v>
      </c>
      <c r="BY211" s="476"/>
      <c r="BZ211" s="475">
        <f>BU211</f>
        <v>0.48004561003420754</v>
      </c>
      <c r="CA211" s="475">
        <f>BV211</f>
        <v>0.55089820359281438</v>
      </c>
      <c r="CB211" s="475">
        <f>BW211</f>
        <v>0.51318681318681325</v>
      </c>
      <c r="CC211" s="475">
        <f>BX211</f>
        <v>0.4532520325203252</v>
      </c>
      <c r="CD211" s="476"/>
      <c r="CE211" s="475">
        <f>BZ211</f>
        <v>0.48004561003420754</v>
      </c>
      <c r="CF211" s="475">
        <f>CA211</f>
        <v>0.55089820359281438</v>
      </c>
      <c r="CG211" s="475">
        <f>CB211</f>
        <v>0.51318681318681325</v>
      </c>
      <c r="CH211" s="475">
        <f>CC211</f>
        <v>0.4532520325203252</v>
      </c>
      <c r="CI211" s="476"/>
      <c r="CJ211" s="475">
        <f>CE211</f>
        <v>0.48004561003420754</v>
      </c>
      <c r="CK211" s="475">
        <f>CF211</f>
        <v>0.55089820359281438</v>
      </c>
      <c r="CL211" s="475">
        <f>CG211</f>
        <v>0.51318681318681325</v>
      </c>
      <c r="CM211" s="475">
        <f>CH211</f>
        <v>0.4532520325203252</v>
      </c>
      <c r="CN211" s="476"/>
      <c r="CO211" s="475">
        <f>CJ211</f>
        <v>0.48004561003420754</v>
      </c>
      <c r="CP211" s="475">
        <f>CK211</f>
        <v>0.55089820359281438</v>
      </c>
      <c r="CQ211" s="475">
        <f>CL211</f>
        <v>0.51318681318681325</v>
      </c>
      <c r="CR211" s="475">
        <f>CM211</f>
        <v>0.4532520325203252</v>
      </c>
      <c r="CS211" s="476"/>
      <c r="CT211" s="475">
        <f>CO211</f>
        <v>0.48004561003420754</v>
      </c>
      <c r="CU211" s="475">
        <f>CP211</f>
        <v>0.55089820359281438</v>
      </c>
      <c r="CV211" s="475">
        <f>CQ211</f>
        <v>0.51318681318681325</v>
      </c>
      <c r="CW211" s="475">
        <f>CR211</f>
        <v>0.4532520325203252</v>
      </c>
      <c r="CX211" s="476"/>
      <c r="CY211" s="475"/>
      <c r="DA211" s="1146"/>
      <c r="DB211" s="469"/>
      <c r="DC211" s="469"/>
    </row>
    <row r="212" spans="1:107" ht="11.25" hidden="1" customHeight="1" outlineLevel="1">
      <c r="A212" s="468"/>
      <c r="B212" s="469"/>
      <c r="C212" s="470"/>
      <c r="D212" s="469"/>
      <c r="E212" s="469"/>
      <c r="F212" s="471"/>
      <c r="G212" s="472"/>
      <c r="H212" s="470"/>
      <c r="I212" s="469"/>
      <c r="J212" s="469"/>
      <c r="K212" s="471"/>
      <c r="L212" s="470"/>
      <c r="M212" s="470"/>
      <c r="N212" s="469"/>
      <c r="O212" s="469"/>
      <c r="P212" s="471"/>
      <c r="Q212" s="472"/>
      <c r="R212" s="469"/>
      <c r="S212" s="469"/>
      <c r="T212" s="469"/>
      <c r="U212" s="469"/>
      <c r="V212" s="472"/>
      <c r="W212" s="469"/>
      <c r="X212" s="469"/>
      <c r="Y212" s="469"/>
      <c r="Z212" s="469"/>
      <c r="AA212" s="472"/>
      <c r="AB212" s="469"/>
      <c r="AC212" s="469"/>
      <c r="AD212" s="469"/>
      <c r="AE212" s="469"/>
      <c r="AF212" s="472"/>
      <c r="AG212" s="469"/>
      <c r="AH212" s="469"/>
      <c r="AI212" s="469"/>
      <c r="AJ212" s="469"/>
      <c r="AK212" s="472"/>
      <c r="AL212" s="469"/>
      <c r="AM212" s="469"/>
      <c r="AN212" s="469"/>
      <c r="AO212" s="469"/>
      <c r="AP212" s="472"/>
      <c r="AQ212" s="469"/>
      <c r="AR212" s="469"/>
      <c r="AS212" s="469"/>
      <c r="AT212" s="469"/>
      <c r="AU212" s="472"/>
      <c r="AV212" s="469"/>
      <c r="AW212" s="469"/>
      <c r="AX212" s="469"/>
      <c r="AY212" s="469"/>
      <c r="AZ212" s="472"/>
      <c r="BA212" s="475"/>
      <c r="BB212" s="475"/>
      <c r="BC212" s="469"/>
      <c r="BD212" s="469"/>
      <c r="BE212" s="472"/>
      <c r="BF212" s="469"/>
      <c r="BG212" s="475"/>
      <c r="BH212" s="475"/>
      <c r="BI212" s="469"/>
      <c r="BJ212" s="472"/>
      <c r="BK212" s="475"/>
      <c r="BL212" s="475"/>
      <c r="BM212" s="475"/>
      <c r="BN212" s="475"/>
      <c r="BO212" s="476"/>
      <c r="BP212" s="475"/>
      <c r="BQ212" s="475"/>
      <c r="BR212" s="475"/>
      <c r="BS212" s="475"/>
      <c r="BT212" s="476"/>
      <c r="BU212" s="475"/>
      <c r="BV212" s="475"/>
      <c r="BW212" s="475"/>
      <c r="BX212" s="475"/>
      <c r="BY212" s="476"/>
      <c r="BZ212" s="475"/>
      <c r="CA212" s="475"/>
      <c r="CB212" s="475"/>
      <c r="CC212" s="475"/>
      <c r="CD212" s="476"/>
      <c r="CE212" s="475"/>
      <c r="CF212" s="475"/>
      <c r="CG212" s="475"/>
      <c r="CH212" s="475"/>
      <c r="CI212" s="476"/>
      <c r="CJ212" s="475"/>
      <c r="CK212" s="475"/>
      <c r="CL212" s="475"/>
      <c r="CM212" s="475"/>
      <c r="CN212" s="476"/>
      <c r="CO212" s="475"/>
      <c r="CP212" s="475"/>
      <c r="CQ212" s="475"/>
      <c r="CR212" s="475"/>
      <c r="CS212" s="476"/>
      <c r="CT212" s="475"/>
      <c r="CU212" s="475"/>
      <c r="CV212" s="475"/>
      <c r="CW212" s="475"/>
      <c r="CX212" s="476"/>
      <c r="CY212" s="475"/>
      <c r="DA212" s="1146"/>
      <c r="DB212" s="469"/>
      <c r="DC212" s="469"/>
    </row>
    <row r="213" spans="1:107" ht="11.25" hidden="1" customHeight="1" outlineLevel="1">
      <c r="A213" s="457" t="s">
        <v>631</v>
      </c>
      <c r="B213" s="479"/>
      <c r="C213" s="480"/>
      <c r="D213" s="481"/>
      <c r="E213" s="481"/>
      <c r="F213" s="482"/>
      <c r="G213" s="483"/>
      <c r="H213" s="480"/>
      <c r="I213" s="481"/>
      <c r="J213" s="481"/>
      <c r="K213" s="482"/>
      <c r="L213" s="480"/>
      <c r="M213" s="480"/>
      <c r="N213" s="481"/>
      <c r="O213" s="481"/>
      <c r="P213" s="482"/>
      <c r="Q213" s="483"/>
      <c r="R213" s="481"/>
      <c r="S213" s="481"/>
      <c r="T213" s="481"/>
      <c r="U213" s="481"/>
      <c r="V213" s="463">
        <v>9.3659999999999997</v>
      </c>
      <c r="W213" s="485">
        <v>2.5390000000000001</v>
      </c>
      <c r="X213" s="485">
        <v>2.383</v>
      </c>
      <c r="Y213" s="485">
        <v>2.2200000000000002</v>
      </c>
      <c r="Z213" s="479">
        <f>AA213-SUM(W213:Y213)</f>
        <v>3.7619999999999987</v>
      </c>
      <c r="AA213" s="463">
        <v>10.904</v>
      </c>
      <c r="AB213" s="485">
        <f t="shared" ref="AB213:AZ213" si="246">AB204+AB207</f>
        <v>13.5</v>
      </c>
      <c r="AC213" s="485">
        <f t="shared" si="246"/>
        <v>5.8</v>
      </c>
      <c r="AD213" s="485">
        <f t="shared" si="246"/>
        <v>9.9</v>
      </c>
      <c r="AE213" s="485">
        <f t="shared" si="246"/>
        <v>11.8</v>
      </c>
      <c r="AF213" s="465">
        <f t="shared" si="246"/>
        <v>41</v>
      </c>
      <c r="AG213" s="479">
        <f t="shared" si="246"/>
        <v>10.6</v>
      </c>
      <c r="AH213" s="479">
        <f t="shared" si="246"/>
        <v>9.8000000000000007</v>
      </c>
      <c r="AI213" s="479">
        <f t="shared" si="246"/>
        <v>11.3</v>
      </c>
      <c r="AJ213" s="479">
        <f t="shared" si="246"/>
        <v>20.5</v>
      </c>
      <c r="AK213" s="465">
        <f t="shared" si="246"/>
        <v>52.2</v>
      </c>
      <c r="AL213" s="479">
        <f t="shared" si="246"/>
        <v>11.8</v>
      </c>
      <c r="AM213" s="479">
        <f t="shared" si="246"/>
        <v>11.2</v>
      </c>
      <c r="AN213" s="479">
        <f t="shared" si="246"/>
        <v>13.9</v>
      </c>
      <c r="AO213" s="479">
        <f t="shared" si="246"/>
        <v>12.4</v>
      </c>
      <c r="AP213" s="465">
        <f t="shared" si="246"/>
        <v>49.3</v>
      </c>
      <c r="AQ213" s="479">
        <f t="shared" si="246"/>
        <v>5.3</v>
      </c>
      <c r="AR213" s="479">
        <f t="shared" si="246"/>
        <v>4.8</v>
      </c>
      <c r="AS213" s="479">
        <f t="shared" si="246"/>
        <v>4.3</v>
      </c>
      <c r="AT213" s="479">
        <f t="shared" si="246"/>
        <v>4.0999999999999996</v>
      </c>
      <c r="AU213" s="465">
        <f t="shared" si="246"/>
        <v>18.5</v>
      </c>
      <c r="AV213" s="479">
        <f t="shared" si="246"/>
        <v>4.7</v>
      </c>
      <c r="AW213" s="479">
        <f t="shared" si="246"/>
        <v>5.6999999999999993</v>
      </c>
      <c r="AX213" s="479">
        <f>AX204+AX207</f>
        <v>5.6</v>
      </c>
      <c r="AY213" s="479">
        <f>AY204+AY207</f>
        <v>5.6</v>
      </c>
      <c r="AZ213" s="465">
        <f t="shared" si="246"/>
        <v>21.6</v>
      </c>
      <c r="BA213" s="487">
        <f t="shared" ref="BA213:BJ213" si="247">BA204+BA207</f>
        <v>7.2901889999999998</v>
      </c>
      <c r="BB213" s="487">
        <f t="shared" si="247"/>
        <v>7.521322904999999</v>
      </c>
      <c r="BC213" s="479">
        <f t="shared" si="247"/>
        <v>7.5811601232000001</v>
      </c>
      <c r="BD213" s="479">
        <f t="shared" si="247"/>
        <v>7.8844742185837502</v>
      </c>
      <c r="BE213" s="465">
        <f t="shared" si="247"/>
        <v>30.277146246783751</v>
      </c>
      <c r="BF213" s="479">
        <f t="shared" si="247"/>
        <v>7.5930933273456933</v>
      </c>
      <c r="BG213" s="487">
        <f t="shared" si="247"/>
        <v>7.7225527345297369</v>
      </c>
      <c r="BH213" s="487">
        <f t="shared" si="247"/>
        <v>7.6086971074051073</v>
      </c>
      <c r="BI213" s="479">
        <f t="shared" si="247"/>
        <v>7.7159480278571086</v>
      </c>
      <c r="BJ213" s="465">
        <f t="shared" si="247"/>
        <v>30.640291197137646</v>
      </c>
      <c r="BK213" s="487">
        <f t="shared" ref="BK213:BT213" si="248">BK204+BK207</f>
        <v>7.5655207149246282</v>
      </c>
      <c r="BL213" s="487">
        <f t="shared" si="248"/>
        <v>7.7964640806110044</v>
      </c>
      <c r="BM213" s="487">
        <f t="shared" si="248"/>
        <v>7.7574751209727815</v>
      </c>
      <c r="BN213" s="487">
        <f t="shared" si="248"/>
        <v>8.0038539761371474</v>
      </c>
      <c r="BO213" s="467">
        <f t="shared" si="248"/>
        <v>31.123313892645559</v>
      </c>
      <c r="BP213" s="487">
        <f t="shared" si="248"/>
        <v>7.8497995523282391</v>
      </c>
      <c r="BQ213" s="487">
        <f t="shared" si="248"/>
        <v>8.0893602206003017</v>
      </c>
      <c r="BR213" s="487">
        <f t="shared" si="248"/>
        <v>8.0473585457838048</v>
      </c>
      <c r="BS213" s="487">
        <f t="shared" si="248"/>
        <v>8.3027392037706012</v>
      </c>
      <c r="BT213" s="467">
        <f t="shared" si="248"/>
        <v>32.289257522482941</v>
      </c>
      <c r="BU213" s="487">
        <f t="shared" ref="BU213:CD213" si="249">BU204+BU207</f>
        <v>8.1449661895077554</v>
      </c>
      <c r="BV213" s="487">
        <f t="shared" si="249"/>
        <v>8.3934727828909637</v>
      </c>
      <c r="BW213" s="487">
        <f t="shared" si="249"/>
        <v>8.3483067557273856</v>
      </c>
      <c r="BX213" s="487">
        <f t="shared" si="249"/>
        <v>8.6130279862244343</v>
      </c>
      <c r="BY213" s="467">
        <f t="shared" si="249"/>
        <v>33.499773714350539</v>
      </c>
      <c r="BZ213" s="487">
        <f t="shared" si="249"/>
        <v>8.4514424478913099</v>
      </c>
      <c r="CA213" s="487">
        <f t="shared" si="249"/>
        <v>8.7092362880150986</v>
      </c>
      <c r="CB213" s="487">
        <f t="shared" si="249"/>
        <v>8.6607475634752209</v>
      </c>
      <c r="CC213" s="487">
        <f t="shared" si="249"/>
        <v>8.9351611231744421</v>
      </c>
      <c r="CD213" s="467">
        <f t="shared" si="249"/>
        <v>34.756587422556066</v>
      </c>
      <c r="CE213" s="487">
        <f t="shared" ref="CE213:CN213" si="250">CE204+CE207</f>
        <v>8.7696666021598855</v>
      </c>
      <c r="CF213" s="487">
        <f t="shared" si="250"/>
        <v>9.0371022043493419</v>
      </c>
      <c r="CG213" s="487">
        <f t="shared" si="250"/>
        <v>8.9851254489772217</v>
      </c>
      <c r="CH213" s="487">
        <f t="shared" si="250"/>
        <v>9.2695965850054645</v>
      </c>
      <c r="CI213" s="467">
        <f t="shared" si="250"/>
        <v>36.061490840491913</v>
      </c>
      <c r="CJ213" s="487">
        <f t="shared" si="250"/>
        <v>9.1000940245277864</v>
      </c>
      <c r="CK213" s="487">
        <f t="shared" si="250"/>
        <v>9.3775396117459842</v>
      </c>
      <c r="CL213" s="487">
        <f t="shared" si="250"/>
        <v>9.3219022116791308</v>
      </c>
      <c r="CM213" s="487">
        <f t="shared" si="250"/>
        <v>9.6168101846718343</v>
      </c>
      <c r="CN213" s="467">
        <f t="shared" si="250"/>
        <v>37.41634603262473</v>
      </c>
      <c r="CO213" s="487">
        <f t="shared" ref="CO213:CX213" si="251">CO204+CO207</f>
        <v>9.4431978543088384</v>
      </c>
      <c r="CP213" s="487">
        <f t="shared" si="251"/>
        <v>9.7310358912088546</v>
      </c>
      <c r="CQ213" s="487">
        <f t="shared" si="251"/>
        <v>9.6715576483273935</v>
      </c>
      <c r="CR213" s="487">
        <f t="shared" si="251"/>
        <v>9.9772962759143891</v>
      </c>
      <c r="CS213" s="467">
        <f t="shared" si="251"/>
        <v>38.823087669759474</v>
      </c>
      <c r="CT213" s="487">
        <f t="shared" si="251"/>
        <v>9.799469693761889</v>
      </c>
      <c r="CU213" s="487">
        <f t="shared" si="251"/>
        <v>10.098097441637449</v>
      </c>
      <c r="CV213" s="487">
        <f t="shared" si="251"/>
        <v>10.034590257366482</v>
      </c>
      <c r="CW213" s="487">
        <f t="shared" si="251"/>
        <v>10.351568478869472</v>
      </c>
      <c r="CX213" s="467">
        <f t="shared" si="251"/>
        <v>40.283725871635291</v>
      </c>
      <c r="CY213" s="466"/>
      <c r="DA213" s="1146"/>
      <c r="DB213" s="481"/>
      <c r="DC213" s="481"/>
    </row>
    <row r="214" spans="1:107" ht="11.25" hidden="1" customHeight="1" outlineLevel="1">
      <c r="A214" s="468" t="s">
        <v>275</v>
      </c>
      <c r="B214" s="469"/>
      <c r="C214" s="470"/>
      <c r="D214" s="469"/>
      <c r="E214" s="469"/>
      <c r="F214" s="471"/>
      <c r="G214" s="472"/>
      <c r="H214" s="470"/>
      <c r="I214" s="469"/>
      <c r="J214" s="469"/>
      <c r="K214" s="471"/>
      <c r="L214" s="470"/>
      <c r="M214" s="470"/>
      <c r="N214" s="469"/>
      <c r="O214" s="469"/>
      <c r="P214" s="471"/>
      <c r="Q214" s="472"/>
      <c r="R214" s="469"/>
      <c r="S214" s="469"/>
      <c r="T214" s="469"/>
      <c r="U214" s="469"/>
      <c r="V214" s="472"/>
      <c r="W214" s="469">
        <f t="shared" ref="W214:AZ214" si="252">W213/W182</f>
        <v>7.61364999400264E-2</v>
      </c>
      <c r="X214" s="469">
        <f t="shared" si="252"/>
        <v>7.677190721649485E-2</v>
      </c>
      <c r="Y214" s="469">
        <f t="shared" si="252"/>
        <v>7.3267326732673277E-2</v>
      </c>
      <c r="Z214" s="469">
        <f t="shared" si="252"/>
        <v>0.10230610246927005</v>
      </c>
      <c r="AA214" s="474">
        <f t="shared" si="252"/>
        <v>8.2945382625893807E-2</v>
      </c>
      <c r="AB214" s="469">
        <f t="shared" si="252"/>
        <v>0.22240527182866557</v>
      </c>
      <c r="AC214" s="469">
        <f t="shared" si="252"/>
        <v>8.1118881118881117E-2</v>
      </c>
      <c r="AD214" s="469">
        <f t="shared" si="252"/>
        <v>0.14102564102564102</v>
      </c>
      <c r="AE214" s="469">
        <f t="shared" si="252"/>
        <v>0.14514145141451415</v>
      </c>
      <c r="AF214" s="472">
        <f t="shared" si="252"/>
        <v>0.14451885794853719</v>
      </c>
      <c r="AG214" s="469">
        <f t="shared" si="252"/>
        <v>0.14722222222222223</v>
      </c>
      <c r="AH214" s="469">
        <f t="shared" si="252"/>
        <v>0.14432989690721648</v>
      </c>
      <c r="AI214" s="469">
        <f t="shared" si="252"/>
        <v>0.17173252279635259</v>
      </c>
      <c r="AJ214" s="469">
        <f t="shared" si="252"/>
        <v>0.25371287128712872</v>
      </c>
      <c r="AK214" s="472">
        <f t="shared" si="252"/>
        <v>0.18219895287958116</v>
      </c>
      <c r="AL214" s="469">
        <f t="shared" si="252"/>
        <v>0.14390243902439026</v>
      </c>
      <c r="AM214" s="469">
        <f t="shared" si="252"/>
        <v>0.13223140495867766</v>
      </c>
      <c r="AN214" s="469">
        <f t="shared" si="252"/>
        <v>0.16807738814993953</v>
      </c>
      <c r="AO214" s="469">
        <f t="shared" si="252"/>
        <v>0.15422885572139303</v>
      </c>
      <c r="AP214" s="472">
        <f t="shared" si="252"/>
        <v>0.14948453608247425</v>
      </c>
      <c r="AQ214" s="469">
        <f t="shared" si="252"/>
        <v>7.3002754820936641E-2</v>
      </c>
      <c r="AR214" s="469">
        <f t="shared" si="252"/>
        <v>6.4085447263017348E-2</v>
      </c>
      <c r="AS214" s="469">
        <f t="shared" si="252"/>
        <v>5.4637865311308764E-2</v>
      </c>
      <c r="AT214" s="469">
        <f t="shared" si="252"/>
        <v>5.0245098039215688E-2</v>
      </c>
      <c r="AU214" s="472">
        <f t="shared" si="252"/>
        <v>6.0103963612735532E-2</v>
      </c>
      <c r="AV214" s="469">
        <f t="shared" si="252"/>
        <v>5.0429184549356222E-2</v>
      </c>
      <c r="AW214" s="469">
        <f t="shared" si="252"/>
        <v>6.0573857598299675E-2</v>
      </c>
      <c r="AX214" s="469">
        <f t="shared" si="252"/>
        <v>6.0344827586206885E-2</v>
      </c>
      <c r="AY214" s="469">
        <f t="shared" si="252"/>
        <v>5.9957173447537468E-2</v>
      </c>
      <c r="AZ214" s="472">
        <f t="shared" si="252"/>
        <v>5.7831325301204821E-2</v>
      </c>
      <c r="BA214" s="475">
        <f t="shared" ref="BA214:BJ214" si="253">BA213/BA182</f>
        <v>8.0884368308351176E-2</v>
      </c>
      <c r="BB214" s="475">
        <f t="shared" si="253"/>
        <v>8.0626850386369978E-2</v>
      </c>
      <c r="BC214" s="469">
        <f t="shared" si="253"/>
        <v>7.9286138139474688E-2</v>
      </c>
      <c r="BD214" s="469">
        <f t="shared" si="253"/>
        <v>7.913463684545255E-2</v>
      </c>
      <c r="BE214" s="472">
        <f t="shared" si="253"/>
        <v>7.9956975374540884E-2</v>
      </c>
      <c r="BF214" s="469">
        <f t="shared" si="253"/>
        <v>8.022117316090728E-2</v>
      </c>
      <c r="BG214" s="475">
        <f t="shared" si="253"/>
        <v>8.0383166720728108E-2</v>
      </c>
      <c r="BH214" s="475">
        <f t="shared" si="253"/>
        <v>7.9277333875124548E-2</v>
      </c>
      <c r="BI214" s="469">
        <f t="shared" si="253"/>
        <v>7.9598825643074411E-2</v>
      </c>
      <c r="BJ214" s="472">
        <f t="shared" si="253"/>
        <v>7.9868363336785514E-2</v>
      </c>
      <c r="BK214" s="475">
        <f t="shared" ref="BK214:BT214" si="254">BK213/BK182</f>
        <v>8.0460820541060435E-2</v>
      </c>
      <c r="BL214" s="475">
        <f t="shared" si="254"/>
        <v>8.0501892485434504E-2</v>
      </c>
      <c r="BM214" s="475">
        <f t="shared" si="254"/>
        <v>7.9306251950503129E-2</v>
      </c>
      <c r="BN214" s="475">
        <f t="shared" si="254"/>
        <v>7.9441779891529868E-2</v>
      </c>
      <c r="BO214" s="476">
        <f t="shared" si="254"/>
        <v>7.9917409478553858E-2</v>
      </c>
      <c r="BP214" s="475">
        <f t="shared" si="254"/>
        <v>8.0322393615729931E-2</v>
      </c>
      <c r="BQ214" s="475">
        <f t="shared" si="254"/>
        <v>8.0362793584738329E-2</v>
      </c>
      <c r="BR214" s="475">
        <f t="shared" si="254"/>
        <v>7.915399297779388E-2</v>
      </c>
      <c r="BS214" s="475">
        <f t="shared" si="254"/>
        <v>7.9287303555140395E-2</v>
      </c>
      <c r="BT214" s="476">
        <f t="shared" si="254"/>
        <v>7.9771189170691897E-2</v>
      </c>
      <c r="BU214" s="475">
        <f t="shared" ref="BU214:CD214" si="255">BU213/BU182</f>
        <v>8.0186231484170145E-2</v>
      </c>
      <c r="BV214" s="475">
        <f t="shared" si="255"/>
        <v>8.022597047195737E-2</v>
      </c>
      <c r="BW214" s="475">
        <f t="shared" si="255"/>
        <v>7.9004225104067752E-2</v>
      </c>
      <c r="BX214" s="475">
        <f t="shared" si="255"/>
        <v>7.9135354595874563E-2</v>
      </c>
      <c r="BY214" s="476">
        <f t="shared" si="255"/>
        <v>7.9627361163616878E-2</v>
      </c>
      <c r="BZ214" s="475">
        <f t="shared" si="255"/>
        <v>8.0052297092239932E-2</v>
      </c>
      <c r="CA214" s="475">
        <f t="shared" si="255"/>
        <v>8.009138591307606E-2</v>
      </c>
      <c r="CB214" s="475">
        <f t="shared" si="255"/>
        <v>7.8856907572619012E-2</v>
      </c>
      <c r="CC214" s="475">
        <f t="shared" si="255"/>
        <v>7.8985891663482397E-2</v>
      </c>
      <c r="CD214" s="476">
        <f t="shared" si="255"/>
        <v>7.9485886317053764E-2</v>
      </c>
      <c r="CE214" s="475">
        <f t="shared" ref="CE214:CN214" si="256">CE213/CE182</f>
        <v>7.9920553992038595E-2</v>
      </c>
      <c r="CF214" s="475">
        <f t="shared" si="256"/>
        <v>7.9959003283262081E-2</v>
      </c>
      <c r="CG214" s="475">
        <f t="shared" si="256"/>
        <v>7.8712000293559722E-2</v>
      </c>
      <c r="CH214" s="475">
        <f t="shared" si="256"/>
        <v>7.883887408424263E-2</v>
      </c>
      <c r="CI214" s="476">
        <f t="shared" si="256"/>
        <v>7.934672613109911E-2</v>
      </c>
      <c r="CJ214" s="475">
        <f t="shared" si="256"/>
        <v>7.9790966331987054E-2</v>
      </c>
      <c r="CK214" s="475">
        <f t="shared" si="256"/>
        <v>7.9828786556899622E-2</v>
      </c>
      <c r="CL214" s="475">
        <f t="shared" si="256"/>
        <v>7.8569463832909928E-2</v>
      </c>
      <c r="CM214" s="475">
        <f t="shared" si="256"/>
        <v>7.8694261849894045E-2</v>
      </c>
      <c r="CN214" s="476">
        <f t="shared" si="256"/>
        <v>7.9209842735743705E-2</v>
      </c>
      <c r="CO214" s="475">
        <f t="shared" ref="CO214:CX214" si="257">CO213/CO182</f>
        <v>7.9663498847071565E-2</v>
      </c>
      <c r="CP214" s="475">
        <f t="shared" si="257"/>
        <v>7.970070029778549E-2</v>
      </c>
      <c r="CQ214" s="475">
        <f t="shared" si="257"/>
        <v>7.8429259401866416E-2</v>
      </c>
      <c r="CR214" s="475">
        <f t="shared" si="257"/>
        <v>7.8552015606747974E-2</v>
      </c>
      <c r="CS214" s="476">
        <f t="shared" si="257"/>
        <v>7.9075198880567188E-2</v>
      </c>
      <c r="CT214" s="475">
        <f t="shared" si="257"/>
        <v>7.9538116849246901E-2</v>
      </c>
      <c r="CU214" s="475">
        <f t="shared" si="257"/>
        <v>7.9574709649485972E-2</v>
      </c>
      <c r="CV214" s="475">
        <f t="shared" si="257"/>
        <v>7.8291348846247028E-2</v>
      </c>
      <c r="CW214" s="475">
        <f t="shared" si="257"/>
        <v>7.8412096644978779E-2</v>
      </c>
      <c r="CX214" s="476">
        <f t="shared" si="257"/>
        <v>7.8942757924600773E-2</v>
      </c>
      <c r="CY214" s="475"/>
      <c r="DA214" s="477"/>
      <c r="DB214" s="469"/>
      <c r="DC214" s="469"/>
    </row>
    <row r="215" spans="1:107" ht="11.25" hidden="1" customHeight="1" outlineLevel="1">
      <c r="A215" s="468"/>
      <c r="B215" s="469"/>
      <c r="C215" s="470"/>
      <c r="D215" s="469"/>
      <c r="E215" s="469"/>
      <c r="F215" s="471"/>
      <c r="G215" s="472"/>
      <c r="H215" s="470"/>
      <c r="I215" s="469"/>
      <c r="J215" s="469"/>
      <c r="K215" s="471"/>
      <c r="L215" s="470"/>
      <c r="M215" s="470"/>
      <c r="N215" s="469"/>
      <c r="O215" s="469"/>
      <c r="P215" s="471"/>
      <c r="Q215" s="472"/>
      <c r="R215" s="469"/>
      <c r="S215" s="469"/>
      <c r="T215" s="469"/>
      <c r="U215" s="469"/>
      <c r="V215" s="472"/>
      <c r="W215" s="469"/>
      <c r="X215" s="469"/>
      <c r="Y215" s="469"/>
      <c r="Z215" s="469"/>
      <c r="AA215" s="472"/>
      <c r="AB215" s="469"/>
      <c r="AC215" s="469"/>
      <c r="AD215" s="469"/>
      <c r="AE215" s="469"/>
      <c r="AF215" s="472"/>
      <c r="AG215" s="469"/>
      <c r="AH215" s="469"/>
      <c r="AI215" s="469"/>
      <c r="AJ215" s="469"/>
      <c r="AK215" s="472"/>
      <c r="AL215" s="469"/>
      <c r="AM215" s="469"/>
      <c r="AN215" s="469"/>
      <c r="AO215" s="469"/>
      <c r="AP215" s="472"/>
      <c r="AQ215" s="469"/>
      <c r="AR215" s="469"/>
      <c r="AS215" s="469"/>
      <c r="AT215" s="469"/>
      <c r="AU215" s="472"/>
      <c r="AV215" s="469"/>
      <c r="AW215" s="469"/>
      <c r="AX215" s="469"/>
      <c r="AY215" s="469"/>
      <c r="AZ215" s="472"/>
      <c r="BA215" s="475"/>
      <c r="BB215" s="475"/>
      <c r="BC215" s="469"/>
      <c r="BD215" s="469"/>
      <c r="BE215" s="472"/>
      <c r="BF215" s="469"/>
      <c r="BG215" s="475"/>
      <c r="BH215" s="475"/>
      <c r="BI215" s="469"/>
      <c r="BJ215" s="472"/>
      <c r="BK215" s="475"/>
      <c r="BL215" s="475"/>
      <c r="BM215" s="475"/>
      <c r="BN215" s="475"/>
      <c r="BO215" s="476"/>
      <c r="BP215" s="475"/>
      <c r="BQ215" s="475"/>
      <c r="BR215" s="475"/>
      <c r="BS215" s="475"/>
      <c r="BT215" s="476"/>
      <c r="BU215" s="475"/>
      <c r="BV215" s="475"/>
      <c r="BW215" s="475"/>
      <c r="BX215" s="475"/>
      <c r="BY215" s="476"/>
      <c r="BZ215" s="475"/>
      <c r="CA215" s="475"/>
      <c r="CB215" s="475"/>
      <c r="CC215" s="475"/>
      <c r="CD215" s="476"/>
      <c r="CE215" s="475"/>
      <c r="CF215" s="475"/>
      <c r="CG215" s="475"/>
      <c r="CH215" s="475"/>
      <c r="CI215" s="476"/>
      <c r="CJ215" s="475"/>
      <c r="CK215" s="475"/>
      <c r="CL215" s="475"/>
      <c r="CM215" s="475"/>
      <c r="CN215" s="476"/>
      <c r="CO215" s="475"/>
      <c r="CP215" s="475"/>
      <c r="CQ215" s="475"/>
      <c r="CR215" s="475"/>
      <c r="CS215" s="476"/>
      <c r="CT215" s="475"/>
      <c r="CU215" s="475"/>
      <c r="CV215" s="475"/>
      <c r="CW215" s="475"/>
      <c r="CX215" s="476"/>
      <c r="CY215" s="475"/>
      <c r="DA215" s="477"/>
      <c r="DB215" s="469"/>
      <c r="DC215" s="469"/>
    </row>
    <row r="216" spans="1:107" ht="11.25" hidden="1" customHeight="1" outlineLevel="1">
      <c r="A216" s="495" t="s">
        <v>276</v>
      </c>
      <c r="B216" s="509"/>
      <c r="C216" s="510"/>
      <c r="D216" s="511"/>
      <c r="E216" s="511"/>
      <c r="F216" s="512"/>
      <c r="G216" s="513"/>
      <c r="H216" s="510"/>
      <c r="I216" s="511"/>
      <c r="J216" s="511"/>
      <c r="K216" s="512"/>
      <c r="L216" s="510"/>
      <c r="M216" s="510"/>
      <c r="N216" s="511"/>
      <c r="O216" s="511"/>
      <c r="P216" s="512"/>
      <c r="Q216" s="513"/>
      <c r="R216" s="511"/>
      <c r="S216" s="511"/>
      <c r="T216" s="511"/>
      <c r="U216" s="511"/>
      <c r="V216" s="513"/>
      <c r="W216" s="509">
        <f>W189+W192+W195+W201+W213</f>
        <v>26.969000000000001</v>
      </c>
      <c r="X216" s="509">
        <f>X189+X192+X195+X201+X213</f>
        <v>27.437000000000001</v>
      </c>
      <c r="Y216" s="509">
        <f>Y189+Y192+Y195+Y201+Y213</f>
        <v>27.48</v>
      </c>
      <c r="Z216" s="509">
        <f>Z189+Z192+Z195+Z201+Z213</f>
        <v>30.691999999999993</v>
      </c>
      <c r="AA216" s="514">
        <f>SUM(W216:Z216)</f>
        <v>112.578</v>
      </c>
      <c r="AB216" s="509">
        <f>AB189+AB192+AB195+AB201+AB213</f>
        <v>77.715000000000003</v>
      </c>
      <c r="AC216" s="509">
        <f>AC189+AC192+AC195+AC201+AC213</f>
        <v>65.674000000000007</v>
      </c>
      <c r="AD216" s="509">
        <f>AD189+AD192+AD195+AD201+AD213</f>
        <v>69.598000000000013</v>
      </c>
      <c r="AE216" s="509">
        <f>AE189+AE192+AE195+AE201+AE213</f>
        <v>79.593000000000004</v>
      </c>
      <c r="AF216" s="498">
        <f>SUM(AB216:AE216)</f>
        <v>292.58000000000004</v>
      </c>
      <c r="AG216" s="509">
        <f>AG189+AG192+AG195+AG201+AG213</f>
        <v>72.254000000000005</v>
      </c>
      <c r="AH216" s="509">
        <f>AH189+AH192+AH195+AH201+AH213</f>
        <v>91.247</v>
      </c>
      <c r="AI216" s="509">
        <f>AI189+AI192+AI195+AI201+AI213</f>
        <v>92.603999999999999</v>
      </c>
      <c r="AJ216" s="509">
        <f>AJ189+AJ192+AJ195+AJ201+AJ213</f>
        <v>98.613000000000014</v>
      </c>
      <c r="AK216" s="498">
        <f>SUM(AG216:AJ216)</f>
        <v>354.71800000000002</v>
      </c>
      <c r="AL216" s="509">
        <f>AL189+AL192+AL195+AL201+AL213</f>
        <v>82.547999999999988</v>
      </c>
      <c r="AM216" s="509">
        <f>AM189+AM192+AM195+AM201+AM213</f>
        <v>82.9</v>
      </c>
      <c r="AN216" s="509">
        <f>AN189+AN192+AN195+AN201+AN213</f>
        <v>110.80000000000001</v>
      </c>
      <c r="AO216" s="509">
        <f>AO189+AO192+AO195+AO201+AO213</f>
        <v>86.4</v>
      </c>
      <c r="AP216" s="498">
        <f>SUM(AL216:AO216)</f>
        <v>362.64800000000002</v>
      </c>
      <c r="AQ216" s="509">
        <f>AQ189+AQ192+AQ195+AQ201+AQ213</f>
        <v>77.399999999999991</v>
      </c>
      <c r="AR216" s="509">
        <f>AR189+AR192+AR195+AR201+AR213</f>
        <v>72</v>
      </c>
      <c r="AS216" s="509">
        <f>AS189+AS192+AS195+AS201+AS213</f>
        <v>65</v>
      </c>
      <c r="AT216" s="509">
        <f>AT189+AT192+AT195+AT201+AT213</f>
        <v>66.5</v>
      </c>
      <c r="AU216" s="498">
        <f>SUM(AQ216:AT216)</f>
        <v>280.89999999999998</v>
      </c>
      <c r="AV216" s="509">
        <f>AV189+AV192+AV195+AV201+AV213+AV210</f>
        <v>89.4</v>
      </c>
      <c r="AW216" s="509">
        <f>AW189+AW192+AW195+AW201+AW213+AW210</f>
        <v>107.8</v>
      </c>
      <c r="AX216" s="509">
        <f>AX189+AX192+AX195+AX201+AX213+AX210</f>
        <v>99.1</v>
      </c>
      <c r="AY216" s="509">
        <f>AY189+AY192+AY195+AY201+AY213</f>
        <v>62.6</v>
      </c>
      <c r="AZ216" s="498">
        <f>SUM(AV216:AY216)</f>
        <v>358.9</v>
      </c>
      <c r="BA216" s="515">
        <f>BA189+BA192+BA195+BA201+BA213</f>
        <v>70.985439184851117</v>
      </c>
      <c r="BB216" s="515">
        <f>BB189+BB192+BB195+BB201+BB213</f>
        <v>70.529368657909586</v>
      </c>
      <c r="BC216" s="509">
        <f>BC189+BC192+BC195+BC201+BC213</f>
        <v>71.497819089451838</v>
      </c>
      <c r="BD216" s="509">
        <f>BD189+BD192+BD195+BD201+BD213</f>
        <v>75.680871037985128</v>
      </c>
      <c r="BE216" s="498">
        <f>SUM(BA216:BD216)</f>
        <v>288.69349797019765</v>
      </c>
      <c r="BF216" s="509">
        <f>BF189+BF192+BF195+BF201+BF213</f>
        <v>79.172963554793384</v>
      </c>
      <c r="BG216" s="515">
        <f>BG189+BG192+BG195+BG201+BG213</f>
        <v>79.505003035894333</v>
      </c>
      <c r="BH216" s="515">
        <f>BH189+BH192+BH195+BH201+BH213</f>
        <v>81.542128426408937</v>
      </c>
      <c r="BI216" s="509">
        <f>BI189+BI192+BI195+BI201+BI213</f>
        <v>84.362736467013804</v>
      </c>
      <c r="BJ216" s="498">
        <f>SUM(BF216:BI216)</f>
        <v>324.58283148411044</v>
      </c>
      <c r="BK216" s="515">
        <f>BK189+BK192+BK195+BK201+BK213</f>
        <v>88.081128530196125</v>
      </c>
      <c r="BL216" s="515">
        <f>BL189+BL192+BL195+BL201+BL213</f>
        <v>87.912923949661462</v>
      </c>
      <c r="BM216" s="515">
        <f>BM189+BM192+BM195+BM201+BM213</f>
        <v>89.619249098232714</v>
      </c>
      <c r="BN216" s="515">
        <f>BN189+BN192+BN195+BN201+BN213</f>
        <v>92.142658313091331</v>
      </c>
      <c r="BO216" s="499">
        <f>SUM(BK216:BN216)</f>
        <v>357.75595989118165</v>
      </c>
      <c r="BP216" s="515">
        <f>BP189+BP192+BP195+BP201+BP213</f>
        <v>95.55446880602382</v>
      </c>
      <c r="BQ216" s="515">
        <f>BQ189+BQ192+BQ195+BQ201+BQ213</f>
        <v>94.601735587535131</v>
      </c>
      <c r="BR216" s="515">
        <f>BR189+BR192+BR195+BR201+BR213</f>
        <v>95.610102309593884</v>
      </c>
      <c r="BS216" s="515">
        <f>BS189+BS192+BS195+BS201+BS213</f>
        <v>97.405971656875352</v>
      </c>
      <c r="BT216" s="499">
        <f>SUM(BP216:BS216)</f>
        <v>383.1722783600282</v>
      </c>
      <c r="BU216" s="515">
        <f>BU189+BU192+BU195+BU201+BU213</f>
        <v>100.27652161347646</v>
      </c>
      <c r="BV216" s="515">
        <f>BV189+BV192+BV195+BV201+BV213</f>
        <v>98.478110338631424</v>
      </c>
      <c r="BW216" s="515">
        <f>BW189+BW192+BW195+BW201+BW213</f>
        <v>98.652149465464873</v>
      </c>
      <c r="BX216" s="515">
        <f>BX189+BX192+BX195+BX201+BX213</f>
        <v>99.580625465226746</v>
      </c>
      <c r="BY216" s="499">
        <f>SUM(BU216:BX216)</f>
        <v>396.98740688279952</v>
      </c>
      <c r="BZ216" s="515">
        <f>BZ189+BZ192+BZ195+BZ201+BZ213</f>
        <v>101.72861031039182</v>
      </c>
      <c r="CA216" s="515">
        <f>CA189+CA192+CA195+CA201+CA213</f>
        <v>99.116945553751236</v>
      </c>
      <c r="CB216" s="515">
        <f>CB189+CB192+CB195+CB201+CB213</f>
        <v>98.412308659581683</v>
      </c>
      <c r="CC216" s="515">
        <f>CC189+CC192+CC195+CC201+CC213</f>
        <v>98.432983221025452</v>
      </c>
      <c r="CD216" s="499">
        <f>SUM(BZ216:CC216)</f>
        <v>397.69084774475016</v>
      </c>
      <c r="CE216" s="515">
        <f>CE189+CE192+CE195+CE201+CE213</f>
        <v>99.758473681739716</v>
      </c>
      <c r="CF216" s="515">
        <f>CF189+CF192+CF195+CF201+CF213</f>
        <v>96.46289425262259</v>
      </c>
      <c r="CG216" s="515">
        <f>CG189+CG192+CG195+CG201+CG213</f>
        <v>94.937974848472862</v>
      </c>
      <c r="CH216" s="515">
        <f>CH189+CH192+CH195+CH201+CH213</f>
        <v>94.118362277801069</v>
      </c>
      <c r="CI216" s="499">
        <f>SUM(CE216:CH216)</f>
        <v>385.27770506063626</v>
      </c>
      <c r="CJ216" s="515">
        <f>CJ189+CJ192+CJ195+CJ201+CJ213</f>
        <v>94.615704134734827</v>
      </c>
      <c r="CK216" s="515">
        <f>CK189+CK192+CK195+CK201+CK213</f>
        <v>90.847163384786313</v>
      </c>
      <c r="CL216" s="515">
        <f>CL189+CL192+CL195+CL201+CL213</f>
        <v>88.654049745525711</v>
      </c>
      <c r="CM216" s="515">
        <f>CM189+CM192+CM195+CM201+CM213</f>
        <v>87.157231908512088</v>
      </c>
      <c r="CN216" s="499">
        <f>SUM(CJ216:CM216)</f>
        <v>361.2741491735589</v>
      </c>
      <c r="CO216" s="515">
        <f>CO189+CO192+CO195+CO201+CO213</f>
        <v>86.909924126858272</v>
      </c>
      <c r="CP216" s="515">
        <f>CP189+CP192+CP195+CP201+CP213</f>
        <v>82.92981512695431</v>
      </c>
      <c r="CQ216" s="515">
        <f>CQ189+CQ192+CQ195+CQ201+CQ213</f>
        <v>80.28739435200535</v>
      </c>
      <c r="CR216" s="515">
        <f>CR189+CR192+CR195+CR201+CR213</f>
        <v>78.34181935586021</v>
      </c>
      <c r="CS216" s="499">
        <f>SUM(CO216:CR216)</f>
        <v>328.46895296167816</v>
      </c>
      <c r="CT216" s="515">
        <f>CT189+CT192+CT195+CT201+CT213</f>
        <v>77.501224503024659</v>
      </c>
      <c r="CU216" s="515">
        <f>CU189+CU192+CU195+CU201+CU213</f>
        <v>73.581387724262868</v>
      </c>
      <c r="CV216" s="515">
        <f>CV189+CV192+CV195+CV201+CV213</f>
        <v>70.737262568192534</v>
      </c>
      <c r="CW216" s="515">
        <f>CW189+CW192+CW195+CW201+CW213</f>
        <v>68.596348248697268</v>
      </c>
      <c r="CX216" s="499">
        <f>SUM(CT216:CW216)</f>
        <v>290.41622304417734</v>
      </c>
      <c r="CY216" s="466"/>
      <c r="DA216" s="513"/>
      <c r="DB216" s="511"/>
      <c r="DC216" s="511"/>
    </row>
    <row r="217" spans="1:107" ht="11.25" hidden="1" customHeight="1" outlineLevel="1">
      <c r="A217" s="468" t="s">
        <v>277</v>
      </c>
      <c r="B217" s="469"/>
      <c r="C217" s="470"/>
      <c r="D217" s="469"/>
      <c r="E217" s="469"/>
      <c r="F217" s="471"/>
      <c r="G217" s="472"/>
      <c r="H217" s="470"/>
      <c r="I217" s="469"/>
      <c r="J217" s="469"/>
      <c r="K217" s="471"/>
      <c r="L217" s="470"/>
      <c r="M217" s="470"/>
      <c r="N217" s="469"/>
      <c r="O217" s="469"/>
      <c r="P217" s="471"/>
      <c r="Q217" s="472"/>
      <c r="R217" s="469"/>
      <c r="S217" s="469"/>
      <c r="T217" s="469"/>
      <c r="U217" s="469"/>
      <c r="V217" s="472"/>
      <c r="W217" s="469">
        <f t="shared" ref="W217:AZ217" si="258">W216/W185</f>
        <v>5.703114096117002E-2</v>
      </c>
      <c r="X217" s="469">
        <f t="shared" si="258"/>
        <v>5.5313298214418917E-2</v>
      </c>
      <c r="Y217" s="469">
        <f t="shared" si="258"/>
        <v>5.6427104722792609E-2</v>
      </c>
      <c r="Z217" s="469">
        <f t="shared" si="258"/>
        <v>6.0089315605954097E-2</v>
      </c>
      <c r="AA217" s="472">
        <f t="shared" si="258"/>
        <v>5.7242546336879738E-2</v>
      </c>
      <c r="AB217" s="469">
        <f t="shared" si="258"/>
        <v>0.118562874251497</v>
      </c>
      <c r="AC217" s="469">
        <f t="shared" si="258"/>
        <v>0.10335851432168713</v>
      </c>
      <c r="AD217" s="469">
        <f t="shared" si="258"/>
        <v>0.11557289936898039</v>
      </c>
      <c r="AE217" s="469">
        <f t="shared" si="258"/>
        <v>0.11667106420404573</v>
      </c>
      <c r="AF217" s="472">
        <f t="shared" si="258"/>
        <v>0.11361116773936764</v>
      </c>
      <c r="AG217" s="469">
        <f t="shared" si="258"/>
        <v>0.11126270403449337</v>
      </c>
      <c r="AH217" s="469">
        <f t="shared" si="258"/>
        <v>0.12238030477386057</v>
      </c>
      <c r="AI217" s="469">
        <f t="shared" si="258"/>
        <v>0.10872842550193731</v>
      </c>
      <c r="AJ217" s="469">
        <f t="shared" si="258"/>
        <v>0.10822322212467078</v>
      </c>
      <c r="AK217" s="472">
        <f t="shared" si="258"/>
        <v>0.11232710831431755</v>
      </c>
      <c r="AL217" s="469">
        <f t="shared" si="258"/>
        <v>9.2708894878706177E-2</v>
      </c>
      <c r="AM217" s="469">
        <f t="shared" si="258"/>
        <v>9.3471642800766711E-2</v>
      </c>
      <c r="AN217" s="469">
        <f t="shared" si="258"/>
        <v>0.12487321086442016</v>
      </c>
      <c r="AO217" s="469">
        <f t="shared" si="258"/>
        <v>9.4395280235988199E-2</v>
      </c>
      <c r="AP217" s="472">
        <f t="shared" si="258"/>
        <v>0.10130115366351017</v>
      </c>
      <c r="AQ217" s="469">
        <f t="shared" si="258"/>
        <v>9.8423194303153591E-2</v>
      </c>
      <c r="AR217" s="469">
        <f t="shared" si="258"/>
        <v>0.10217113665389528</v>
      </c>
      <c r="AS217" s="469">
        <f t="shared" si="258"/>
        <v>9.3189964157706098E-2</v>
      </c>
      <c r="AT217" s="469">
        <f t="shared" si="258"/>
        <v>8.7811963554733932E-2</v>
      </c>
      <c r="AU217" s="472">
        <f t="shared" si="258"/>
        <v>9.5352863301537721E-2</v>
      </c>
      <c r="AV217" s="469">
        <f t="shared" si="258"/>
        <v>0.10411086526144171</v>
      </c>
      <c r="AW217" s="469">
        <f t="shared" si="258"/>
        <v>0.11431601272534463</v>
      </c>
      <c r="AX217" s="469">
        <f t="shared" si="258"/>
        <v>0.10007068565081285</v>
      </c>
      <c r="AY217" s="469">
        <f t="shared" si="258"/>
        <v>6.2103174603174605E-2</v>
      </c>
      <c r="AZ217" s="472">
        <f t="shared" si="258"/>
        <v>9.4447368421052627E-2</v>
      </c>
      <c r="BA217" s="475">
        <f t="shared" ref="BA217:BJ217" si="259">BA216/BA185</f>
        <v>6.9268413744941512E-2</v>
      </c>
      <c r="BB217" s="475">
        <f t="shared" si="259"/>
        <v>6.8735954267640939E-2</v>
      </c>
      <c r="BC217" s="469">
        <f t="shared" si="259"/>
        <v>6.967815590498587E-2</v>
      </c>
      <c r="BD217" s="469">
        <f t="shared" si="259"/>
        <v>6.9737444544454436E-2</v>
      </c>
      <c r="BE217" s="472">
        <f t="shared" si="259"/>
        <v>6.9360454743485275E-2</v>
      </c>
      <c r="BF217" s="469">
        <f t="shared" si="259"/>
        <v>6.9975603608460793E-2</v>
      </c>
      <c r="BG217" s="475">
        <f t="shared" si="259"/>
        <v>6.9178191773172679E-2</v>
      </c>
      <c r="BH217" s="475">
        <f t="shared" si="259"/>
        <v>7.0180303452238552E-2</v>
      </c>
      <c r="BI217" s="469">
        <f t="shared" si="259"/>
        <v>7.044732244088675E-2</v>
      </c>
      <c r="BJ217" s="472">
        <f t="shared" si="259"/>
        <v>6.9951097579414909E-2</v>
      </c>
      <c r="BK217" s="475">
        <f t="shared" ref="BK217:BT217" si="260">BK216/BK185</f>
        <v>7.0431510503073655E-2</v>
      </c>
      <c r="BL217" s="475">
        <f t="shared" si="260"/>
        <v>6.9536016445421636E-2</v>
      </c>
      <c r="BM217" s="475">
        <f t="shared" si="260"/>
        <v>7.0418453170971132E-2</v>
      </c>
      <c r="BN217" s="475">
        <f t="shared" si="260"/>
        <v>7.049519442693554E-2</v>
      </c>
      <c r="BO217" s="476">
        <f t="shared" si="260"/>
        <v>7.0222361830560964E-2</v>
      </c>
      <c r="BP217" s="475">
        <f t="shared" si="260"/>
        <v>7.0419702627488076E-2</v>
      </c>
      <c r="BQ217" s="475">
        <f t="shared" si="260"/>
        <v>6.9508361530103563E-2</v>
      </c>
      <c r="BR217" s="475">
        <f t="shared" si="260"/>
        <v>7.034488196917936E-2</v>
      </c>
      <c r="BS217" s="475">
        <f t="shared" si="260"/>
        <v>7.0325788862433319E-2</v>
      </c>
      <c r="BT217" s="476">
        <f t="shared" si="260"/>
        <v>7.0150191290144687E-2</v>
      </c>
      <c r="BU217" s="475">
        <f t="shared" ref="BU217:CD217" si="261">BU216/BU185</f>
        <v>7.0212783284024444E-2</v>
      </c>
      <c r="BV217" s="475">
        <f t="shared" si="261"/>
        <v>6.9296378604337877E-2</v>
      </c>
      <c r="BW217" s="475">
        <f t="shared" si="261"/>
        <v>7.0077412817236062E-2</v>
      </c>
      <c r="BX217" s="475">
        <f t="shared" si="261"/>
        <v>6.9964609835436536E-2</v>
      </c>
      <c r="BY217" s="476">
        <f t="shared" si="261"/>
        <v>6.9887784111402354E-2</v>
      </c>
      <c r="BZ217" s="475">
        <f t="shared" si="261"/>
        <v>6.9831941780562679E-2</v>
      </c>
      <c r="CA217" s="475">
        <f t="shared" si="261"/>
        <v>6.8917013499941851E-2</v>
      </c>
      <c r="CB217" s="475">
        <f t="shared" si="261"/>
        <v>6.9630343979475873E-2</v>
      </c>
      <c r="CC217" s="475">
        <f t="shared" si="261"/>
        <v>6.9424114810169857E-2</v>
      </c>
      <c r="CD217" s="476">
        <f t="shared" si="261"/>
        <v>6.9451404475127987E-2</v>
      </c>
      <c r="CE217" s="475">
        <f t="shared" ref="CE217:CN217" si="262">CE216/CE185</f>
        <v>6.9285889960748637E-2</v>
      </c>
      <c r="CF217" s="475">
        <f t="shared" si="262"/>
        <v>6.8375485715996803E-2</v>
      </c>
      <c r="CG217" s="475">
        <f t="shared" si="262"/>
        <v>6.9005673517329627E-2</v>
      </c>
      <c r="CH217" s="475">
        <f t="shared" si="262"/>
        <v>6.8704808489272087E-2</v>
      </c>
      <c r="CI217" s="476">
        <f t="shared" si="262"/>
        <v>6.8845254131781913E-2</v>
      </c>
      <c r="CJ217" s="475">
        <f t="shared" si="262"/>
        <v>6.8571939503599119E-2</v>
      </c>
      <c r="CK217" s="475">
        <f t="shared" si="262"/>
        <v>6.7666325826853183E-2</v>
      </c>
      <c r="CL217" s="475">
        <f t="shared" si="262"/>
        <v>6.819424403517213E-2</v>
      </c>
      <c r="CM217" s="475">
        <f t="shared" si="262"/>
        <v>6.7796686677445789E-2</v>
      </c>
      <c r="CN217" s="476">
        <f t="shared" si="262"/>
        <v>6.806260946781878E-2</v>
      </c>
      <c r="CO217" s="475">
        <f t="shared" ref="CO217:CX217" si="263">CO216/CO185</f>
        <v>6.7677322356182415E-2</v>
      </c>
      <c r="CP217" s="475">
        <f t="shared" si="263"/>
        <v>6.6774869263443046E-2</v>
      </c>
      <c r="CQ217" s="475">
        <f t="shared" si="263"/>
        <v>6.7177653541232701E-2</v>
      </c>
      <c r="CR217" s="475">
        <f t="shared" si="263"/>
        <v>6.6681747706077571E-2</v>
      </c>
      <c r="CS217" s="476">
        <f t="shared" si="263"/>
        <v>6.7087544302341609E-2</v>
      </c>
      <c r="CT217" s="475">
        <f t="shared" si="263"/>
        <v>6.6581609499100317E-2</v>
      </c>
      <c r="CU217" s="475">
        <f t="shared" si="263"/>
        <v>6.5680246117058555E-2</v>
      </c>
      <c r="CV217" s="475">
        <f t="shared" si="263"/>
        <v>6.5932297973570267E-2</v>
      </c>
      <c r="CW217" s="475">
        <f t="shared" si="263"/>
        <v>6.5339128942649691E-2</v>
      </c>
      <c r="CX217" s="476">
        <f t="shared" si="263"/>
        <v>6.5898417737590545E-2</v>
      </c>
      <c r="CY217" s="475"/>
      <c r="DA217" s="477"/>
      <c r="DB217" s="469"/>
      <c r="DC217" s="469"/>
    </row>
    <row r="218" spans="1:107" ht="11.25" hidden="1" customHeight="1" outlineLevel="1">
      <c r="A218" s="114"/>
      <c r="B218" s="114"/>
      <c r="C218" s="116"/>
      <c r="D218" s="117"/>
      <c r="E218" s="117"/>
      <c r="F218" s="118"/>
      <c r="G218" s="119"/>
      <c r="H218" s="116"/>
      <c r="I218" s="117"/>
      <c r="J218" s="117"/>
      <c r="K218" s="118"/>
      <c r="L218" s="116"/>
      <c r="M218" s="116"/>
      <c r="N218" s="117"/>
      <c r="O218" s="117"/>
      <c r="P218" s="118"/>
      <c r="Q218" s="119"/>
      <c r="R218" s="117"/>
      <c r="S218" s="117"/>
      <c r="T218" s="117"/>
      <c r="U218" s="117"/>
      <c r="V218" s="119"/>
      <c r="W218" s="117"/>
      <c r="X218" s="117"/>
      <c r="Y218" s="117"/>
      <c r="Z218" s="117"/>
      <c r="AA218" s="119"/>
      <c r="AB218" s="516"/>
      <c r="AC218" s="516"/>
      <c r="AD218" s="516"/>
      <c r="AE218" s="516"/>
      <c r="AF218" s="517"/>
      <c r="AG218" s="516"/>
      <c r="AH218" s="516"/>
      <c r="AI218" s="516"/>
      <c r="AJ218" s="516"/>
      <c r="AK218" s="517"/>
      <c r="AL218" s="516"/>
      <c r="AM218" s="518"/>
      <c r="AN218" s="518"/>
      <c r="AO218" s="516"/>
      <c r="AP218" s="517"/>
      <c r="AQ218" s="516"/>
      <c r="AR218" s="518"/>
      <c r="AS218" s="518"/>
      <c r="AT218" s="518"/>
      <c r="AU218" s="519"/>
      <c r="AV218" s="516"/>
      <c r="AW218" s="516"/>
      <c r="AX218" s="516"/>
      <c r="AY218" s="518"/>
      <c r="AZ218" s="519"/>
      <c r="BA218" s="518"/>
      <c r="BB218" s="518"/>
      <c r="BC218" s="516"/>
      <c r="BD218" s="518"/>
      <c r="BE218" s="519"/>
      <c r="BF218" s="516"/>
      <c r="BG218" s="518"/>
      <c r="BH218" s="518"/>
      <c r="BI218" s="518"/>
      <c r="BJ218" s="519"/>
      <c r="BK218" s="518"/>
      <c r="BL218" s="518"/>
      <c r="BM218" s="518"/>
      <c r="BN218" s="518"/>
      <c r="BO218" s="519"/>
      <c r="BP218" s="518"/>
      <c r="BQ218" s="518"/>
      <c r="BR218" s="518"/>
      <c r="BS218" s="518"/>
      <c r="BT218" s="519"/>
      <c r="BU218" s="518"/>
      <c r="BV218" s="518"/>
      <c r="BW218" s="518"/>
      <c r="BX218" s="518"/>
      <c r="BY218" s="519"/>
      <c r="BZ218" s="518"/>
      <c r="CA218" s="518"/>
      <c r="CB218" s="518"/>
      <c r="CC218" s="518"/>
      <c r="CD218" s="519"/>
      <c r="CE218" s="518"/>
      <c r="CF218" s="518"/>
      <c r="CG218" s="518"/>
      <c r="CH218" s="518"/>
      <c r="CI218" s="519"/>
      <c r="CJ218" s="518"/>
      <c r="CK218" s="518"/>
      <c r="CL218" s="518"/>
      <c r="CM218" s="518"/>
      <c r="CN218" s="519"/>
      <c r="CO218" s="518"/>
      <c r="CP218" s="518"/>
      <c r="CQ218" s="518"/>
      <c r="CR218" s="518"/>
      <c r="CS218" s="519"/>
      <c r="CT218" s="518"/>
      <c r="CU218" s="518"/>
      <c r="CV218" s="518"/>
      <c r="CW218" s="518"/>
      <c r="CX218" s="519"/>
      <c r="CY218" s="518"/>
      <c r="DA218" s="126"/>
      <c r="DB218" s="117"/>
      <c r="DC218" s="117"/>
    </row>
    <row r="219" spans="1:107" ht="11.25" hidden="1" customHeight="1" outlineLevel="1">
      <c r="A219" s="114"/>
      <c r="B219" s="114"/>
      <c r="C219" s="116"/>
      <c r="D219" s="117"/>
      <c r="E219" s="117"/>
      <c r="F219" s="118"/>
      <c r="G219" s="119"/>
      <c r="H219" s="116"/>
      <c r="I219" s="117"/>
      <c r="J219" s="117"/>
      <c r="K219" s="118"/>
      <c r="L219" s="116"/>
      <c r="M219" s="116"/>
      <c r="N219" s="117"/>
      <c r="O219" s="117"/>
      <c r="P219" s="118"/>
      <c r="Q219" s="119"/>
      <c r="R219" s="117"/>
      <c r="S219" s="117"/>
      <c r="T219" s="117"/>
      <c r="U219" s="117"/>
      <c r="V219" s="119"/>
      <c r="W219" s="117"/>
      <c r="X219" s="117"/>
      <c r="Y219" s="117"/>
      <c r="Z219" s="117"/>
      <c r="AA219" s="119"/>
      <c r="AB219" s="117"/>
      <c r="AC219" s="117"/>
      <c r="AD219" s="117"/>
      <c r="AE219" s="117"/>
      <c r="AF219" s="119"/>
      <c r="AG219" s="121"/>
      <c r="AH219" s="121"/>
      <c r="AI219" s="121"/>
      <c r="AJ219" s="121"/>
      <c r="AK219" s="119"/>
      <c r="AL219" s="121"/>
      <c r="AM219" s="121"/>
      <c r="AN219" s="121"/>
      <c r="AO219" s="121"/>
      <c r="AP219" s="119"/>
      <c r="AQ219" s="121"/>
      <c r="AR219" s="520"/>
      <c r="AS219" s="520"/>
      <c r="AT219" s="520"/>
      <c r="AU219" s="521"/>
      <c r="AV219" s="121"/>
      <c r="AW219" s="121"/>
      <c r="AX219" s="121"/>
      <c r="AY219" s="520"/>
      <c r="AZ219" s="521"/>
      <c r="BA219" s="520"/>
      <c r="BB219" s="520"/>
      <c r="BC219" s="1325"/>
      <c r="BD219" s="520"/>
      <c r="BE219" s="521"/>
      <c r="BF219" s="1325"/>
      <c r="BG219" s="520"/>
      <c r="BH219" s="520"/>
      <c r="BI219" s="520"/>
      <c r="BJ219" s="521"/>
      <c r="BK219" s="520"/>
      <c r="BL219" s="520"/>
      <c r="BM219" s="520"/>
      <c r="BN219" s="520"/>
      <c r="BO219" s="521"/>
      <c r="BP219" s="520"/>
      <c r="BQ219" s="520"/>
      <c r="BR219" s="520"/>
      <c r="BS219" s="520"/>
      <c r="BT219" s="521"/>
      <c r="BU219" s="520"/>
      <c r="BV219" s="520"/>
      <c r="BW219" s="520"/>
      <c r="BX219" s="520"/>
      <c r="BY219" s="521"/>
      <c r="BZ219" s="520"/>
      <c r="CA219" s="520"/>
      <c r="CB219" s="520"/>
      <c r="CC219" s="520"/>
      <c r="CD219" s="521"/>
      <c r="CE219" s="520"/>
      <c r="CF219" s="520"/>
      <c r="CG219" s="520"/>
      <c r="CH219" s="520"/>
      <c r="CI219" s="521"/>
      <c r="CJ219" s="520"/>
      <c r="CK219" s="520"/>
      <c r="CL219" s="520"/>
      <c r="CM219" s="520"/>
      <c r="CN219" s="521"/>
      <c r="CO219" s="520"/>
      <c r="CP219" s="520"/>
      <c r="CQ219" s="520"/>
      <c r="CR219" s="520"/>
      <c r="CS219" s="521"/>
      <c r="CT219" s="520"/>
      <c r="CU219" s="520"/>
      <c r="CV219" s="520"/>
      <c r="CW219" s="520"/>
      <c r="CX219" s="521"/>
      <c r="CY219" s="520"/>
      <c r="DA219" s="126"/>
      <c r="DB219" s="117"/>
      <c r="DC219" s="117"/>
    </row>
    <row r="220" spans="1:107" collapsed="1">
      <c r="A220" s="90"/>
      <c r="B220" s="90"/>
      <c r="C220" s="205"/>
      <c r="D220" s="206"/>
      <c r="E220" s="206"/>
      <c r="F220" s="207"/>
      <c r="G220" s="208"/>
      <c r="H220" s="205"/>
      <c r="I220" s="206"/>
      <c r="J220" s="206"/>
      <c r="K220" s="207"/>
      <c r="L220" s="205"/>
      <c r="M220" s="205"/>
      <c r="N220" s="206"/>
      <c r="O220" s="206"/>
      <c r="P220" s="207"/>
      <c r="Q220" s="208"/>
      <c r="R220" s="90"/>
      <c r="S220" s="90"/>
      <c r="T220" s="90"/>
      <c r="U220" s="90"/>
      <c r="V220" s="208"/>
      <c r="W220" s="90"/>
      <c r="X220" s="90"/>
      <c r="Y220" s="90"/>
      <c r="Z220" s="90"/>
      <c r="AA220" s="208"/>
      <c r="AB220" s="90"/>
      <c r="AC220" s="90"/>
      <c r="AD220" s="90"/>
      <c r="AE220" s="90"/>
      <c r="AF220" s="208"/>
      <c r="AG220" s="200"/>
      <c r="AH220" s="200"/>
      <c r="AI220" s="200"/>
      <c r="AJ220" s="200"/>
      <c r="AK220" s="522"/>
      <c r="AL220" s="200"/>
      <c r="AM220" s="200"/>
      <c r="AN220" s="200"/>
      <c r="AO220" s="200"/>
      <c r="AP220" s="522"/>
      <c r="AQ220" s="200"/>
      <c r="AR220" s="441"/>
      <c r="AS220" s="441"/>
      <c r="AT220" s="441"/>
      <c r="AU220" s="523"/>
      <c r="AV220" s="200"/>
      <c r="AW220" s="200"/>
      <c r="AX220" s="441"/>
      <c r="AY220" s="441"/>
      <c r="AZ220" s="523"/>
      <c r="BA220" s="441"/>
      <c r="BB220" s="441"/>
      <c r="BC220" s="200"/>
      <c r="BD220" s="441"/>
      <c r="BE220" s="523"/>
      <c r="BF220" s="200"/>
      <c r="BG220" s="441"/>
      <c r="BH220" s="441"/>
      <c r="BI220" s="441"/>
      <c r="BJ220" s="523"/>
      <c r="BK220" s="441"/>
      <c r="BL220" s="441"/>
      <c r="BM220" s="441"/>
      <c r="BN220" s="441"/>
      <c r="BO220" s="523"/>
      <c r="BP220" s="441"/>
      <c r="BQ220" s="441"/>
      <c r="BR220" s="441"/>
      <c r="BS220" s="441"/>
      <c r="BT220" s="523"/>
      <c r="BU220" s="441"/>
      <c r="BV220" s="441"/>
      <c r="BW220" s="441"/>
      <c r="BX220" s="441"/>
      <c r="BY220" s="523"/>
      <c r="BZ220" s="441"/>
      <c r="CA220" s="441"/>
      <c r="CB220" s="441"/>
      <c r="CC220" s="441"/>
      <c r="CD220" s="523"/>
      <c r="CE220" s="441"/>
      <c r="CF220" s="441"/>
      <c r="CG220" s="441"/>
      <c r="CH220" s="441"/>
      <c r="CI220" s="523"/>
      <c r="CJ220" s="441"/>
      <c r="CK220" s="441"/>
      <c r="CL220" s="441"/>
      <c r="CM220" s="441"/>
      <c r="CN220" s="523"/>
      <c r="CO220" s="441"/>
      <c r="CP220" s="441"/>
      <c r="CQ220" s="441"/>
      <c r="CR220" s="441"/>
      <c r="CS220" s="523"/>
      <c r="CT220" s="441"/>
      <c r="CU220" s="441"/>
      <c r="CV220" s="441"/>
      <c r="CW220" s="441"/>
      <c r="CX220" s="523"/>
      <c r="CY220" s="1348"/>
      <c r="DA220" s="201"/>
      <c r="DB220" s="200"/>
      <c r="DC220" s="200"/>
    </row>
    <row r="221" spans="1:107">
      <c r="A221" s="90"/>
      <c r="B221" s="90"/>
      <c r="C221" s="205"/>
      <c r="D221" s="206"/>
      <c r="E221" s="206"/>
      <c r="F221" s="207"/>
      <c r="G221" s="208"/>
      <c r="H221" s="205"/>
      <c r="I221" s="206"/>
      <c r="J221" s="206"/>
      <c r="K221" s="207"/>
      <c r="L221" s="205"/>
      <c r="M221" s="205"/>
      <c r="N221" s="206"/>
      <c r="O221" s="206"/>
      <c r="P221" s="207"/>
      <c r="Q221" s="208"/>
      <c r="R221" s="90"/>
      <c r="S221" s="90"/>
      <c r="T221" s="90"/>
      <c r="U221" s="90"/>
      <c r="V221" s="208"/>
      <c r="W221" s="90"/>
      <c r="X221" s="90"/>
      <c r="Y221" s="90"/>
      <c r="Z221" s="90"/>
      <c r="AA221" s="208"/>
      <c r="AB221" s="90"/>
      <c r="AC221" s="90"/>
      <c r="AD221" s="90"/>
      <c r="AE221" s="90"/>
      <c r="AF221" s="208"/>
      <c r="AG221" s="200"/>
      <c r="AH221" s="200"/>
      <c r="AI221" s="200"/>
      <c r="AJ221" s="200"/>
      <c r="AK221" s="522"/>
      <c r="AL221" s="200"/>
      <c r="AM221" s="200"/>
      <c r="AN221" s="200"/>
      <c r="AO221" s="200"/>
      <c r="AP221" s="522"/>
      <c r="AQ221" s="200"/>
      <c r="AR221" s="441"/>
      <c r="AS221" s="441"/>
      <c r="AT221" s="441"/>
      <c r="AU221" s="523"/>
      <c r="AV221" s="200"/>
      <c r="AW221" s="200"/>
      <c r="AX221" s="441"/>
      <c r="AY221" s="441"/>
      <c r="AZ221" s="523"/>
      <c r="BA221" s="441"/>
      <c r="BB221" s="441"/>
      <c r="BC221" s="200"/>
      <c r="BD221" s="441"/>
      <c r="BE221" s="523"/>
      <c r="BF221" s="200"/>
      <c r="BG221" s="441"/>
      <c r="BH221" s="441"/>
      <c r="BI221" s="441"/>
      <c r="BJ221" s="523"/>
      <c r="BK221" s="441"/>
      <c r="BL221" s="441"/>
      <c r="BM221" s="441"/>
      <c r="BN221" s="441"/>
      <c r="BO221" s="523"/>
      <c r="BP221" s="441"/>
      <c r="BQ221" s="441"/>
      <c r="BR221" s="441"/>
      <c r="BS221" s="441"/>
      <c r="BT221" s="523"/>
      <c r="BU221" s="441"/>
      <c r="BV221" s="441"/>
      <c r="BW221" s="441"/>
      <c r="BX221" s="441"/>
      <c r="BY221" s="523"/>
      <c r="BZ221" s="441"/>
      <c r="CA221" s="441"/>
      <c r="CB221" s="441"/>
      <c r="CC221" s="441"/>
      <c r="CD221" s="523"/>
      <c r="CE221" s="441"/>
      <c r="CF221" s="441"/>
      <c r="CG221" s="441"/>
      <c r="CH221" s="441"/>
      <c r="CI221" s="523"/>
      <c r="CJ221" s="441"/>
      <c r="CK221" s="441"/>
      <c r="CL221" s="441"/>
      <c r="CM221" s="441"/>
      <c r="CN221" s="523"/>
      <c r="CO221" s="441"/>
      <c r="CP221" s="441"/>
      <c r="CQ221" s="441"/>
      <c r="CR221" s="441"/>
      <c r="CS221" s="523"/>
      <c r="CT221" s="441"/>
      <c r="CU221" s="441"/>
      <c r="CV221" s="441"/>
      <c r="CW221" s="441"/>
      <c r="CX221" s="523"/>
      <c r="CY221" s="1348"/>
      <c r="DA221" s="201"/>
      <c r="DB221" s="200"/>
      <c r="DC221" s="200"/>
    </row>
    <row r="222" spans="1:107" ht="12" hidden="1" customHeight="1" outlineLevel="1">
      <c r="A222" s="553" t="s">
        <v>331</v>
      </c>
      <c r="B222" s="553"/>
      <c r="C222" s="554"/>
      <c r="D222" s="555"/>
      <c r="E222" s="555"/>
      <c r="F222" s="556"/>
      <c r="G222" s="557"/>
      <c r="H222" s="554"/>
      <c r="I222" s="555"/>
      <c r="J222" s="555"/>
      <c r="K222" s="556"/>
      <c r="L222" s="554"/>
      <c r="M222" s="554"/>
      <c r="N222" s="555"/>
      <c r="O222" s="555"/>
      <c r="P222" s="556"/>
      <c r="Q222" s="557"/>
      <c r="R222" s="553"/>
      <c r="S222" s="553"/>
      <c r="T222" s="553"/>
      <c r="U222" s="553"/>
      <c r="V222" s="557"/>
      <c r="W222" s="553"/>
      <c r="X222" s="553"/>
      <c r="Y222" s="553"/>
      <c r="Z222" s="553"/>
      <c r="AA222" s="557"/>
      <c r="AB222" s="553"/>
      <c r="AC222" s="553"/>
      <c r="AD222" s="553"/>
      <c r="AE222" s="553"/>
      <c r="AF222" s="557"/>
      <c r="AG222" s="553"/>
      <c r="AH222" s="553"/>
      <c r="AI222" s="553"/>
      <c r="AJ222" s="553"/>
      <c r="AK222" s="557"/>
      <c r="AL222" s="553"/>
      <c r="AM222" s="553"/>
      <c r="AN222" s="553"/>
      <c r="AO222" s="553"/>
      <c r="AP222" s="557"/>
      <c r="AQ222" s="553"/>
      <c r="AR222" s="558"/>
      <c r="AS222" s="558"/>
      <c r="AT222" s="558"/>
      <c r="AU222" s="559"/>
      <c r="AV222" s="553"/>
      <c r="AW222" s="553"/>
      <c r="AX222" s="558"/>
      <c r="AY222" s="558"/>
      <c r="AZ222" s="559"/>
      <c r="BA222" s="558"/>
      <c r="BB222" s="558"/>
      <c r="BC222" s="553"/>
      <c r="BD222" s="558"/>
      <c r="BE222" s="559"/>
      <c r="BF222" s="553"/>
      <c r="BG222" s="558"/>
      <c r="BH222" s="558"/>
      <c r="BI222" s="558"/>
      <c r="BJ222" s="559"/>
      <c r="BK222" s="558"/>
      <c r="BL222" s="558"/>
      <c r="BM222" s="558"/>
      <c r="BN222" s="558"/>
      <c r="BO222" s="559"/>
      <c r="BP222" s="558"/>
      <c r="BQ222" s="558"/>
      <c r="BR222" s="558"/>
      <c r="BS222" s="558"/>
      <c r="BT222" s="559"/>
      <c r="BU222" s="558"/>
      <c r="BV222" s="558"/>
      <c r="BW222" s="558"/>
      <c r="BX222" s="558"/>
      <c r="BY222" s="559"/>
      <c r="BZ222" s="558"/>
      <c r="CA222" s="558"/>
      <c r="CB222" s="558"/>
      <c r="CC222" s="558"/>
      <c r="CD222" s="559"/>
      <c r="CE222" s="558"/>
      <c r="CF222" s="558"/>
      <c r="CG222" s="558"/>
      <c r="CH222" s="558"/>
      <c r="CI222" s="559"/>
      <c r="CJ222" s="558"/>
      <c r="CK222" s="558"/>
      <c r="CL222" s="558"/>
      <c r="CM222" s="558"/>
      <c r="CN222" s="559"/>
      <c r="CO222" s="558"/>
      <c r="CP222" s="558"/>
      <c r="CQ222" s="558"/>
      <c r="CR222" s="558"/>
      <c r="CS222" s="559"/>
      <c r="CT222" s="558"/>
      <c r="CU222" s="558"/>
      <c r="CV222" s="558"/>
      <c r="CW222" s="558"/>
      <c r="CX222" s="559"/>
      <c r="CY222" s="1730"/>
      <c r="DA222" s="557"/>
      <c r="DB222" s="553"/>
      <c r="DC222" s="553"/>
    </row>
    <row r="223" spans="1:107" ht="12" hidden="1" customHeight="1" outlineLevel="1">
      <c r="A223" s="553" t="s">
        <v>621</v>
      </c>
      <c r="B223" s="553"/>
      <c r="C223" s="554"/>
      <c r="D223" s="555"/>
      <c r="E223" s="555"/>
      <c r="F223" s="556"/>
      <c r="G223" s="557"/>
      <c r="H223" s="554"/>
      <c r="I223" s="555"/>
      <c r="J223" s="555"/>
      <c r="K223" s="556"/>
      <c r="L223" s="554"/>
      <c r="M223" s="554"/>
      <c r="N223" s="555"/>
      <c r="O223" s="555"/>
      <c r="P223" s="556"/>
      <c r="Q223" s="557"/>
      <c r="R223" s="553"/>
      <c r="S223" s="553"/>
      <c r="T223" s="553"/>
      <c r="U223" s="553"/>
      <c r="V223" s="557"/>
      <c r="W223" s="553"/>
      <c r="X223" s="553"/>
      <c r="Y223" s="553"/>
      <c r="Z223" s="553"/>
      <c r="AA223" s="557"/>
      <c r="AB223" s="553"/>
      <c r="AC223" s="553"/>
      <c r="AD223" s="553"/>
      <c r="AE223" s="553"/>
      <c r="AF223" s="557"/>
      <c r="AG223" s="553"/>
      <c r="AH223" s="553"/>
      <c r="AI223" s="553"/>
      <c r="AJ223" s="553"/>
      <c r="AK223" s="557"/>
      <c r="AL223" s="553"/>
      <c r="AM223" s="553"/>
      <c r="AN223" s="553"/>
      <c r="AO223" s="553"/>
      <c r="AP223" s="557"/>
      <c r="AQ223" s="553"/>
      <c r="AR223" s="558"/>
      <c r="AS223" s="558"/>
      <c r="AT223" s="558"/>
      <c r="AU223" s="559"/>
      <c r="AV223" s="553"/>
      <c r="AW223" s="553"/>
      <c r="AX223" s="558"/>
      <c r="AY223" s="558"/>
      <c r="AZ223" s="559"/>
      <c r="BA223" s="558"/>
      <c r="BB223" s="558"/>
      <c r="BC223" s="553"/>
      <c r="BD223" s="558"/>
      <c r="BE223" s="559"/>
      <c r="BF223" s="553"/>
      <c r="BG223" s="558"/>
      <c r="BH223" s="558"/>
      <c r="BI223" s="558"/>
      <c r="BJ223" s="559"/>
      <c r="BK223" s="558"/>
      <c r="BL223" s="558"/>
      <c r="BM223" s="558"/>
      <c r="BN223" s="558"/>
      <c r="BO223" s="559"/>
      <c r="BP223" s="558"/>
      <c r="BQ223" s="558"/>
      <c r="BR223" s="558"/>
      <c r="BS223" s="558"/>
      <c r="BT223" s="559"/>
      <c r="BU223" s="558"/>
      <c r="BV223" s="558"/>
      <c r="BW223" s="558"/>
      <c r="BX223" s="558"/>
      <c r="BY223" s="559"/>
      <c r="BZ223" s="558"/>
      <c r="CA223" s="558"/>
      <c r="CB223" s="558"/>
      <c r="CC223" s="558"/>
      <c r="CD223" s="559"/>
      <c r="CE223" s="558"/>
      <c r="CF223" s="558"/>
      <c r="CG223" s="558"/>
      <c r="CH223" s="558"/>
      <c r="CI223" s="559"/>
      <c r="CJ223" s="558"/>
      <c r="CK223" s="558"/>
      <c r="CL223" s="558"/>
      <c r="CM223" s="558"/>
      <c r="CN223" s="559"/>
      <c r="CO223" s="558"/>
      <c r="CP223" s="558"/>
      <c r="CQ223" s="558"/>
      <c r="CR223" s="558"/>
      <c r="CS223" s="559"/>
      <c r="CT223" s="558"/>
      <c r="CU223" s="558"/>
      <c r="CV223" s="558"/>
      <c r="CW223" s="558"/>
      <c r="CX223" s="559"/>
      <c r="CY223" s="1730"/>
      <c r="DA223" s="557"/>
      <c r="DB223" s="553"/>
      <c r="DC223" s="553"/>
    </row>
    <row r="224" spans="1:107" ht="12" hidden="1" customHeight="1" outlineLevel="1">
      <c r="A224" s="560"/>
      <c r="B224" s="560"/>
      <c r="C224" s="561"/>
      <c r="D224" s="562"/>
      <c r="E224" s="562"/>
      <c r="F224" s="563"/>
      <c r="G224" s="564"/>
      <c r="H224" s="561"/>
      <c r="I224" s="562"/>
      <c r="J224" s="562"/>
      <c r="K224" s="563"/>
      <c r="L224" s="561"/>
      <c r="M224" s="565"/>
      <c r="N224" s="562"/>
      <c r="O224" s="562"/>
      <c r="P224" s="563"/>
      <c r="Q224" s="564"/>
      <c r="R224" s="560"/>
      <c r="S224" s="560"/>
      <c r="T224" s="560"/>
      <c r="U224" s="560"/>
      <c r="V224" s="564"/>
      <c r="W224" s="566"/>
      <c r="X224" s="560"/>
      <c r="Y224" s="560"/>
      <c r="Z224" s="560"/>
      <c r="AA224" s="564"/>
      <c r="AB224" s="560"/>
      <c r="AC224" s="560"/>
      <c r="AD224" s="560"/>
      <c r="AE224" s="560"/>
      <c r="AF224" s="564"/>
      <c r="AG224" s="560"/>
      <c r="AH224" s="560"/>
      <c r="AI224" s="560"/>
      <c r="AJ224" s="560"/>
      <c r="AK224" s="564"/>
      <c r="AL224" s="560"/>
      <c r="AM224" s="560"/>
      <c r="AN224" s="560"/>
      <c r="AO224" s="560"/>
      <c r="AP224" s="564"/>
      <c r="AQ224" s="560"/>
      <c r="AR224" s="567"/>
      <c r="AS224" s="567"/>
      <c r="AT224" s="567"/>
      <c r="AU224" s="568"/>
      <c r="AV224" s="560"/>
      <c r="AW224" s="560"/>
      <c r="AX224" s="567"/>
      <c r="AY224" s="567"/>
      <c r="AZ224" s="568"/>
      <c r="BA224" s="567"/>
      <c r="BB224" s="567"/>
      <c r="BC224" s="560"/>
      <c r="BD224" s="567"/>
      <c r="BE224" s="568"/>
      <c r="BF224" s="560"/>
      <c r="BG224" s="567"/>
      <c r="BH224" s="567"/>
      <c r="BI224" s="567"/>
      <c r="BJ224" s="568"/>
      <c r="BK224" s="567"/>
      <c r="BL224" s="567"/>
      <c r="BM224" s="567"/>
      <c r="BN224" s="567"/>
      <c r="BO224" s="568"/>
      <c r="BP224" s="567"/>
      <c r="BQ224" s="567"/>
      <c r="BR224" s="567"/>
      <c r="BS224" s="567"/>
      <c r="BT224" s="568"/>
      <c r="BU224" s="567"/>
      <c r="BV224" s="567"/>
      <c r="BW224" s="567"/>
      <c r="BX224" s="567"/>
      <c r="BY224" s="568"/>
      <c r="BZ224" s="567"/>
      <c r="CA224" s="567"/>
      <c r="CB224" s="567"/>
      <c r="CC224" s="567"/>
      <c r="CD224" s="568"/>
      <c r="CE224" s="567"/>
      <c r="CF224" s="567"/>
      <c r="CG224" s="567"/>
      <c r="CH224" s="567"/>
      <c r="CI224" s="568"/>
      <c r="CJ224" s="567"/>
      <c r="CK224" s="567"/>
      <c r="CL224" s="567"/>
      <c r="CM224" s="567"/>
      <c r="CN224" s="568"/>
      <c r="CO224" s="567"/>
      <c r="CP224" s="567"/>
      <c r="CQ224" s="567"/>
      <c r="CR224" s="567"/>
      <c r="CS224" s="568"/>
      <c r="CT224" s="567"/>
      <c r="CU224" s="567"/>
      <c r="CV224" s="567"/>
      <c r="CW224" s="567"/>
      <c r="CX224" s="568"/>
      <c r="CY224" s="1731"/>
      <c r="DA224" s="564"/>
      <c r="DB224" s="560"/>
      <c r="DC224" s="560"/>
    </row>
    <row r="225" spans="1:107" ht="12" hidden="1" customHeight="1" outlineLevel="1">
      <c r="A225" s="553" t="s">
        <v>695</v>
      </c>
      <c r="B225" s="553"/>
      <c r="C225" s="561"/>
      <c r="D225" s="562"/>
      <c r="E225" s="562"/>
      <c r="F225" s="569">
        <f>439.734-SUM(C225:E225)</f>
        <v>439.73399999999998</v>
      </c>
      <c r="G225" s="570">
        <f>SUM(C225:F225)</f>
        <v>439.73399999999998</v>
      </c>
      <c r="H225" s="571">
        <v>83.83</v>
      </c>
      <c r="I225" s="572">
        <v>130.58500000000001</v>
      </c>
      <c r="J225" s="572">
        <v>118.194</v>
      </c>
      <c r="K225" s="569">
        <f>411.9-SUM(H225:J225)</f>
        <v>79.29099999999994</v>
      </c>
      <c r="L225" s="573">
        <f>SUM(H225:K225)</f>
        <v>411.9</v>
      </c>
      <c r="M225" s="571">
        <v>96.182000000000002</v>
      </c>
      <c r="N225" s="572">
        <v>95.361999999999995</v>
      </c>
      <c r="O225" s="572">
        <v>88.334000000000003</v>
      </c>
      <c r="P225" s="569">
        <f>392.4-SUM(M225:O225)</f>
        <v>112.52199999999999</v>
      </c>
      <c r="Q225" s="570">
        <f>SUM(M225:P225)</f>
        <v>392.4</v>
      </c>
      <c r="R225" s="574">
        <v>113.517</v>
      </c>
      <c r="S225" s="574">
        <v>100.262</v>
      </c>
      <c r="T225" s="574">
        <v>98.448999999999998</v>
      </c>
      <c r="U225" s="574">
        <f>430.2-SUM(R225:T225)</f>
        <v>117.97199999999998</v>
      </c>
      <c r="V225" s="570">
        <f>SUM(R225:U225)</f>
        <v>430.2</v>
      </c>
      <c r="W225" s="574">
        <v>106.625</v>
      </c>
      <c r="X225" s="574">
        <v>115.899</v>
      </c>
      <c r="Y225" s="574">
        <v>95.588999999999999</v>
      </c>
      <c r="Z225" s="574">
        <f>432.8-SUM(W225:Y225)</f>
        <v>114.68700000000001</v>
      </c>
      <c r="AA225" s="570">
        <f>SUM(W225:Z225)</f>
        <v>432.8</v>
      </c>
      <c r="AB225" s="575">
        <f>Z225*(1+AB227)</f>
        <v>116.40730499999999</v>
      </c>
      <c r="AC225" s="575">
        <f>AB225*(1+AC227)</f>
        <v>118.15341457499999</v>
      </c>
      <c r="AD225" s="575">
        <f>AC225*(1+AD227)</f>
        <v>119.92571579362497</v>
      </c>
      <c r="AE225" s="575">
        <f>AD225*(1+AE227)</f>
        <v>121.72460153052934</v>
      </c>
      <c r="AF225" s="570">
        <f>SUM(AB225:AE225)</f>
        <v>476.21103689915429</v>
      </c>
      <c r="AG225" s="576">
        <f>AE225*(1+AG227)</f>
        <v>123.55047055348727</v>
      </c>
      <c r="AH225" s="576">
        <f>AG225*(1+AH227)</f>
        <v>125.40372761178956</v>
      </c>
      <c r="AI225" s="576">
        <f>AH225*(1+AI227)</f>
        <v>127.28478352596639</v>
      </c>
      <c r="AJ225" s="576">
        <f>AI225*(1+AJ227)</f>
        <v>129.19405527885587</v>
      </c>
      <c r="AK225" s="570">
        <f>SUM(AG225:AJ225)</f>
        <v>505.43303697009912</v>
      </c>
      <c r="AL225" s="576">
        <f>AJ225*(1+AL227)</f>
        <v>131.13196610803868</v>
      </c>
      <c r="AM225" s="576">
        <f>AL225*(1+AM227)</f>
        <v>133.09894559965926</v>
      </c>
      <c r="AN225" s="576">
        <f>AM225*(1+AN227)</f>
        <v>135.09542978365414</v>
      </c>
      <c r="AO225" s="576">
        <f>AN225*(1+AO227)</f>
        <v>137.12186123040894</v>
      </c>
      <c r="AP225" s="570">
        <f>SUM(AL225:AO225)</f>
        <v>536.44820272176105</v>
      </c>
      <c r="AQ225" s="576">
        <f>AO225*(1+AQ227)</f>
        <v>139.17868914886506</v>
      </c>
      <c r="AR225" s="577">
        <f>AQ225*(1+AR227)</f>
        <v>141.26636948609803</v>
      </c>
      <c r="AS225" s="577">
        <f>AR225*(1+AS227)</f>
        <v>143.38536502838949</v>
      </c>
      <c r="AT225" s="577">
        <f>AS225*(1+AT227)</f>
        <v>145.53614550381531</v>
      </c>
      <c r="AU225" s="578">
        <f>SUM(AQ225:AT225)</f>
        <v>569.36656916716788</v>
      </c>
      <c r="AV225" s="576">
        <f>AT225*(1+AV227)</f>
        <v>147.71918768637252</v>
      </c>
      <c r="AW225" s="576">
        <f>AV225*(1+AW227)</f>
        <v>149.93497550166811</v>
      </c>
      <c r="AX225" s="577">
        <f>AW225*(1+AX227)</f>
        <v>152.1840001341931</v>
      </c>
      <c r="AY225" s="577">
        <f>AX225*(1+AY227)</f>
        <v>154.46676013620598</v>
      </c>
      <c r="AZ225" s="578">
        <f>SUM(AV225:AY225)</f>
        <v>604.3049234584397</v>
      </c>
      <c r="BA225" s="577">
        <f>AY225*(1+BA227)</f>
        <v>156.78376153824905</v>
      </c>
      <c r="BB225" s="577">
        <f>BA225*(1+BB227)</f>
        <v>159.13551796132276</v>
      </c>
      <c r="BC225" s="576">
        <f>BB225*(1+BC227)</f>
        <v>161.52255073074258</v>
      </c>
      <c r="BD225" s="577">
        <f>BC225*(1+BD227)</f>
        <v>163.94538899170371</v>
      </c>
      <c r="BE225" s="578">
        <f>SUM(BA225:BD225)</f>
        <v>641.38721922201808</v>
      </c>
      <c r="BF225" s="576">
        <f>BD225*(1+BF227)</f>
        <v>166.40456982657926</v>
      </c>
      <c r="BG225" s="577">
        <f>BF225*(1+BG227)</f>
        <v>168.90063837397793</v>
      </c>
      <c r="BH225" s="577">
        <f>BG225*(1+BH227)</f>
        <v>171.43414794958758</v>
      </c>
      <c r="BI225" s="577">
        <f>BH225*(1+BI227)</f>
        <v>174.00566016883138</v>
      </c>
      <c r="BJ225" s="578">
        <f>SUM(BF225:BI225)</f>
        <v>680.74501631897613</v>
      </c>
      <c r="BK225" s="577">
        <f>BI225*(1+BK227)</f>
        <v>176.61574507136385</v>
      </c>
      <c r="BL225" s="577">
        <f>BK225*(1+BL227)</f>
        <v>179.26498124743429</v>
      </c>
      <c r="BM225" s="577">
        <f>BL225*(1+BM227)</f>
        <v>181.9539559661458</v>
      </c>
      <c r="BN225" s="577">
        <f>BM225*(1+BN227)</f>
        <v>184.68326530563797</v>
      </c>
      <c r="BO225" s="578">
        <f>SUM(BK225:BN225)</f>
        <v>722.51794759058191</v>
      </c>
      <c r="BP225" s="577">
        <f>BN225*(1+BP227)</f>
        <v>187.45351428522252</v>
      </c>
      <c r="BQ225" s="577">
        <f>BP225*(1+BQ227)</f>
        <v>190.26531699950084</v>
      </c>
      <c r="BR225" s="577">
        <f>BQ225*(1+BR227)</f>
        <v>193.11929675449332</v>
      </c>
      <c r="BS225" s="577">
        <f>BR225*(1+BS227)</f>
        <v>196.01608620581069</v>
      </c>
      <c r="BT225" s="578">
        <f>SUM(BP225:BS225)</f>
        <v>766.85421424502738</v>
      </c>
      <c r="BU225" s="577">
        <f>BS225*(1+BU227)</f>
        <v>198.95632749889785</v>
      </c>
      <c r="BV225" s="577">
        <f>BU225*(1+BV227)</f>
        <v>201.94067241138129</v>
      </c>
      <c r="BW225" s="577">
        <f>BV225*(1+BW227)</f>
        <v>204.96978249755199</v>
      </c>
      <c r="BX225" s="577">
        <f>BW225*(1+BX227)</f>
        <v>208.04432923501525</v>
      </c>
      <c r="BY225" s="578">
        <f>SUM(BU225:BX225)</f>
        <v>813.91111164284644</v>
      </c>
      <c r="BZ225" s="577">
        <f>BX225*(1+BZ227)</f>
        <v>211.16499417354046</v>
      </c>
      <c r="CA225" s="577">
        <f>BZ225*(1+CA227)</f>
        <v>214.33246908614356</v>
      </c>
      <c r="CB225" s="577">
        <f>CA225*(1+CB227)</f>
        <v>217.5474561224357</v>
      </c>
      <c r="CC225" s="577">
        <f>CB225*(1+CC227)</f>
        <v>220.81066796427223</v>
      </c>
      <c r="CD225" s="578">
        <f>SUM(BZ225:CC225)</f>
        <v>863.85558734639199</v>
      </c>
      <c r="CE225" s="577">
        <f>CC225*(1+CE227)</f>
        <v>224.1228279837363</v>
      </c>
      <c r="CF225" s="577">
        <f>CE225*(1+CF227)</f>
        <v>227.48467040349232</v>
      </c>
      <c r="CG225" s="577">
        <f>CF225*(1+CG227)</f>
        <v>230.89694045954468</v>
      </c>
      <c r="CH225" s="577">
        <f>CG225*(1+CH227)</f>
        <v>234.36039456643783</v>
      </c>
      <c r="CI225" s="578">
        <f>SUM(CE225:CH225)</f>
        <v>916.86483341321104</v>
      </c>
      <c r="CJ225" s="577">
        <f>CH225*(1+CJ227)</f>
        <v>237.87580048493439</v>
      </c>
      <c r="CK225" s="577">
        <f>CJ225*(1+CK227)</f>
        <v>241.44393749220839</v>
      </c>
      <c r="CL225" s="577">
        <f>CK225*(1+CL227)</f>
        <v>245.06559655459148</v>
      </c>
      <c r="CM225" s="577">
        <f>CL225*(1+CM227)</f>
        <v>248.74158050291032</v>
      </c>
      <c r="CN225" s="578">
        <f>SUM(CJ225:CM225)</f>
        <v>973.12691503464464</v>
      </c>
      <c r="CO225" s="577">
        <f>CM225*(1+CO227)</f>
        <v>252.47270421045394</v>
      </c>
      <c r="CP225" s="577">
        <f>CO225*(1+CP227)</f>
        <v>256.25979477361074</v>
      </c>
      <c r="CQ225" s="577">
        <f>CP225*(1+CQ227)</f>
        <v>260.10369169521488</v>
      </c>
      <c r="CR225" s="577">
        <f>CQ225*(1+CR227)</f>
        <v>264.00524707064307</v>
      </c>
      <c r="CS225" s="578">
        <f>SUM(CO225:CR225)</f>
        <v>1032.8414377499225</v>
      </c>
      <c r="CT225" s="577">
        <f>CR225*(1+CT227)</f>
        <v>267.96532577670268</v>
      </c>
      <c r="CU225" s="577">
        <f>CT225*(1+CU227)</f>
        <v>271.9848056633532</v>
      </c>
      <c r="CV225" s="577">
        <f>CU225*(1+CV227)</f>
        <v>276.06457774830346</v>
      </c>
      <c r="CW225" s="577">
        <f>CV225*(1+CW227)</f>
        <v>280.20554641452799</v>
      </c>
      <c r="CX225" s="578">
        <f>SUM(CT225:CW225)</f>
        <v>1096.2202556028874</v>
      </c>
      <c r="CY225" s="1732"/>
      <c r="DA225" s="564"/>
      <c r="DB225" s="560"/>
      <c r="DC225" s="560"/>
    </row>
    <row r="226" spans="1:107" ht="12" hidden="1" customHeight="1" outlineLevel="1">
      <c r="A226" s="579" t="s">
        <v>622</v>
      </c>
      <c r="B226" s="579"/>
      <c r="C226" s="561"/>
      <c r="D226" s="562"/>
      <c r="E226" s="562"/>
      <c r="F226" s="580" t="s">
        <v>131</v>
      </c>
      <c r="G226" s="581" t="s">
        <v>131</v>
      </c>
      <c r="H226" s="582" t="s">
        <v>131</v>
      </c>
      <c r="I226" s="583" t="s">
        <v>131</v>
      </c>
      <c r="J226" s="583" t="s">
        <v>131</v>
      </c>
      <c r="K226" s="580" t="s">
        <v>131</v>
      </c>
      <c r="L226" s="582" t="s">
        <v>131</v>
      </c>
      <c r="M226" s="584">
        <f t="shared" ref="M226:AZ226" si="264">M225/H225-1</f>
        <v>0.14734581891924137</v>
      </c>
      <c r="N226" s="585">
        <f t="shared" si="264"/>
        <v>-0.26973235823410047</v>
      </c>
      <c r="O226" s="585">
        <f t="shared" si="264"/>
        <v>-0.25263549757178871</v>
      </c>
      <c r="P226" s="586">
        <f t="shared" si="264"/>
        <v>0.41910178961042344</v>
      </c>
      <c r="Q226" s="587">
        <f t="shared" si="264"/>
        <v>-4.7341587764020421E-2</v>
      </c>
      <c r="R226" s="588">
        <f t="shared" si="264"/>
        <v>0.18023122829635474</v>
      </c>
      <c r="S226" s="588">
        <f t="shared" si="264"/>
        <v>5.1383150521171927E-2</v>
      </c>
      <c r="T226" s="588">
        <f t="shared" si="264"/>
        <v>0.11450856974664325</v>
      </c>
      <c r="U226" s="588">
        <f t="shared" si="264"/>
        <v>4.8434972716446367E-2</v>
      </c>
      <c r="V226" s="587">
        <f t="shared" si="264"/>
        <v>9.6330275229357776E-2</v>
      </c>
      <c r="W226" s="588">
        <f t="shared" si="264"/>
        <v>-6.0713373327343056E-2</v>
      </c>
      <c r="X226" s="588">
        <f t="shared" si="264"/>
        <v>0.15596138118130498</v>
      </c>
      <c r="Y226" s="588">
        <f t="shared" si="264"/>
        <v>-2.9050574409084873E-2</v>
      </c>
      <c r="Z226" s="588">
        <f t="shared" si="264"/>
        <v>-2.7845590479096516E-2</v>
      </c>
      <c r="AA226" s="587">
        <f t="shared" si="264"/>
        <v>6.0437006043700947E-3</v>
      </c>
      <c r="AB226" s="588">
        <f t="shared" si="264"/>
        <v>9.1744947245017583E-2</v>
      </c>
      <c r="AC226" s="588">
        <f t="shared" si="264"/>
        <v>1.945154466388832E-2</v>
      </c>
      <c r="AD226" s="588">
        <f t="shared" si="264"/>
        <v>0.25459745152292612</v>
      </c>
      <c r="AE226" s="588">
        <f t="shared" si="264"/>
        <v>6.1363550624999652E-2</v>
      </c>
      <c r="AF226" s="587">
        <f t="shared" si="264"/>
        <v>0.10030276547863748</v>
      </c>
      <c r="AG226" s="588">
        <f t="shared" si="264"/>
        <v>6.1363550624999652E-2</v>
      </c>
      <c r="AH226" s="588">
        <f t="shared" si="264"/>
        <v>6.1363550624999652E-2</v>
      </c>
      <c r="AI226" s="588">
        <f t="shared" si="264"/>
        <v>6.1363550624999652E-2</v>
      </c>
      <c r="AJ226" s="588">
        <f t="shared" si="264"/>
        <v>6.136355062499943E-2</v>
      </c>
      <c r="AK226" s="587">
        <f t="shared" si="264"/>
        <v>6.1363550624999652E-2</v>
      </c>
      <c r="AL226" s="588">
        <f t="shared" si="264"/>
        <v>6.136355062499943E-2</v>
      </c>
      <c r="AM226" s="588">
        <f t="shared" si="264"/>
        <v>6.136355062499943E-2</v>
      </c>
      <c r="AN226" s="588">
        <f t="shared" si="264"/>
        <v>6.1363550624999652E-2</v>
      </c>
      <c r="AO226" s="588">
        <f t="shared" si="264"/>
        <v>6.1363550624999652E-2</v>
      </c>
      <c r="AP226" s="587">
        <f t="shared" si="264"/>
        <v>6.136355062499943E-2</v>
      </c>
      <c r="AQ226" s="588">
        <f t="shared" si="264"/>
        <v>6.1363550624999652E-2</v>
      </c>
      <c r="AR226" s="589">
        <f t="shared" si="264"/>
        <v>6.1363550624999652E-2</v>
      </c>
      <c r="AS226" s="589">
        <f t="shared" si="264"/>
        <v>6.1363550624999652E-2</v>
      </c>
      <c r="AT226" s="589">
        <f t="shared" si="264"/>
        <v>6.1363550624999652E-2</v>
      </c>
      <c r="AU226" s="590">
        <f t="shared" si="264"/>
        <v>6.1363550624999652E-2</v>
      </c>
      <c r="AV226" s="588">
        <f t="shared" si="264"/>
        <v>6.1363550624999652E-2</v>
      </c>
      <c r="AW226" s="588">
        <f t="shared" si="264"/>
        <v>6.1363550624999652E-2</v>
      </c>
      <c r="AX226" s="589">
        <f t="shared" si="264"/>
        <v>6.136355062499943E-2</v>
      </c>
      <c r="AY226" s="589">
        <f t="shared" si="264"/>
        <v>6.1363550624999652E-2</v>
      </c>
      <c r="AZ226" s="590">
        <f t="shared" si="264"/>
        <v>6.1363550624999652E-2</v>
      </c>
      <c r="BA226" s="589">
        <f t="shared" ref="BA226:BJ226" si="265">BA225/AV225-1</f>
        <v>6.1363550624999652E-2</v>
      </c>
      <c r="BB226" s="589">
        <f t="shared" si="265"/>
        <v>6.136355062499943E-2</v>
      </c>
      <c r="BC226" s="588">
        <f t="shared" si="265"/>
        <v>6.136355062499943E-2</v>
      </c>
      <c r="BD226" s="589">
        <f t="shared" si="265"/>
        <v>6.136355062499943E-2</v>
      </c>
      <c r="BE226" s="590">
        <f t="shared" si="265"/>
        <v>6.136355062499943E-2</v>
      </c>
      <c r="BF226" s="588">
        <f t="shared" si="265"/>
        <v>6.1363550624999652E-2</v>
      </c>
      <c r="BG226" s="589">
        <f t="shared" si="265"/>
        <v>6.1363550624999652E-2</v>
      </c>
      <c r="BH226" s="589">
        <f t="shared" si="265"/>
        <v>6.1363550624999652E-2</v>
      </c>
      <c r="BI226" s="589">
        <f t="shared" si="265"/>
        <v>6.1363550624999652E-2</v>
      </c>
      <c r="BJ226" s="590">
        <f t="shared" si="265"/>
        <v>6.1363550624999652E-2</v>
      </c>
      <c r="BK226" s="589">
        <f t="shared" ref="BK226:BT226" si="266">BK225/BF225-1</f>
        <v>6.1363550624999652E-2</v>
      </c>
      <c r="BL226" s="589">
        <f t="shared" si="266"/>
        <v>6.1363550624999652E-2</v>
      </c>
      <c r="BM226" s="589">
        <f t="shared" si="266"/>
        <v>6.1363550624999652E-2</v>
      </c>
      <c r="BN226" s="589">
        <f t="shared" si="266"/>
        <v>6.1363550624999874E-2</v>
      </c>
      <c r="BO226" s="590">
        <f t="shared" si="266"/>
        <v>6.1363550624999874E-2</v>
      </c>
      <c r="BP226" s="589">
        <f t="shared" si="266"/>
        <v>6.1363550624999652E-2</v>
      </c>
      <c r="BQ226" s="589">
        <f t="shared" si="266"/>
        <v>6.1363550624999652E-2</v>
      </c>
      <c r="BR226" s="589">
        <f t="shared" si="266"/>
        <v>6.136355062499943E-2</v>
      </c>
      <c r="BS226" s="589">
        <f t="shared" si="266"/>
        <v>6.136355062499943E-2</v>
      </c>
      <c r="BT226" s="590">
        <f t="shared" si="266"/>
        <v>6.1363550624999652E-2</v>
      </c>
      <c r="BU226" s="589">
        <f t="shared" ref="BU226:CD226" si="267">BU225/BP225-1</f>
        <v>6.136355062499943E-2</v>
      </c>
      <c r="BV226" s="589">
        <f t="shared" si="267"/>
        <v>6.136355062499943E-2</v>
      </c>
      <c r="BW226" s="589">
        <f t="shared" si="267"/>
        <v>6.1363550624999652E-2</v>
      </c>
      <c r="BX226" s="589">
        <f t="shared" si="267"/>
        <v>6.1363550624999652E-2</v>
      </c>
      <c r="BY226" s="590">
        <f t="shared" si="267"/>
        <v>6.1363550624999652E-2</v>
      </c>
      <c r="BZ226" s="589">
        <f t="shared" si="267"/>
        <v>6.1363550624999652E-2</v>
      </c>
      <c r="CA226" s="589">
        <f t="shared" si="267"/>
        <v>6.1363550624999652E-2</v>
      </c>
      <c r="CB226" s="589">
        <f t="shared" si="267"/>
        <v>6.1363550624999652E-2</v>
      </c>
      <c r="CC226" s="589">
        <f t="shared" si="267"/>
        <v>6.1363550624999652E-2</v>
      </c>
      <c r="CD226" s="590">
        <f t="shared" si="267"/>
        <v>6.1363550624999652E-2</v>
      </c>
      <c r="CE226" s="589">
        <f t="shared" ref="CE226:CN226" si="268">CE225/BZ225-1</f>
        <v>6.1363550624999874E-2</v>
      </c>
      <c r="CF226" s="589">
        <f t="shared" si="268"/>
        <v>6.1363550624999652E-2</v>
      </c>
      <c r="CG226" s="589">
        <f t="shared" si="268"/>
        <v>6.1363550624999652E-2</v>
      </c>
      <c r="CH226" s="589">
        <f t="shared" si="268"/>
        <v>6.1363550624999652E-2</v>
      </c>
      <c r="CI226" s="590">
        <f t="shared" si="268"/>
        <v>6.1363550624999652E-2</v>
      </c>
      <c r="CJ226" s="589">
        <f t="shared" si="268"/>
        <v>6.1363550624999652E-2</v>
      </c>
      <c r="CK226" s="589">
        <f t="shared" si="268"/>
        <v>6.1363550624999652E-2</v>
      </c>
      <c r="CL226" s="589">
        <f t="shared" si="268"/>
        <v>6.1363550624999652E-2</v>
      </c>
      <c r="CM226" s="589">
        <f t="shared" si="268"/>
        <v>6.1363550624999652E-2</v>
      </c>
      <c r="CN226" s="590">
        <f t="shared" si="268"/>
        <v>6.1363550624999874E-2</v>
      </c>
      <c r="CO226" s="589">
        <f t="shared" ref="CO226:CX226" si="269">CO225/CJ225-1</f>
        <v>6.136355062499943E-2</v>
      </c>
      <c r="CP226" s="589">
        <f t="shared" si="269"/>
        <v>6.136355062499943E-2</v>
      </c>
      <c r="CQ226" s="589">
        <f t="shared" si="269"/>
        <v>6.1363550624999652E-2</v>
      </c>
      <c r="CR226" s="589">
        <f t="shared" si="269"/>
        <v>6.1363550624999652E-2</v>
      </c>
      <c r="CS226" s="590">
        <f t="shared" si="269"/>
        <v>6.136355062499943E-2</v>
      </c>
      <c r="CT226" s="589">
        <f t="shared" si="269"/>
        <v>6.1363550624999652E-2</v>
      </c>
      <c r="CU226" s="589">
        <f t="shared" si="269"/>
        <v>6.1363550624999652E-2</v>
      </c>
      <c r="CV226" s="589">
        <f t="shared" si="269"/>
        <v>6.136355062499943E-2</v>
      </c>
      <c r="CW226" s="589">
        <f t="shared" si="269"/>
        <v>6.1363550624999652E-2</v>
      </c>
      <c r="CX226" s="590">
        <f t="shared" si="269"/>
        <v>6.1363550624999652E-2</v>
      </c>
      <c r="CY226" s="1733"/>
      <c r="DA226" s="564"/>
      <c r="DB226" s="560"/>
      <c r="DC226" s="560"/>
    </row>
    <row r="227" spans="1:107" ht="12" hidden="1" customHeight="1" outlineLevel="1">
      <c r="A227" s="579" t="s">
        <v>709</v>
      </c>
      <c r="B227" s="579"/>
      <c r="C227" s="561"/>
      <c r="D227" s="562"/>
      <c r="E227" s="562"/>
      <c r="F227" s="586"/>
      <c r="G227" s="581" t="s">
        <v>131</v>
      </c>
      <c r="H227" s="582" t="s">
        <v>131</v>
      </c>
      <c r="I227" s="585">
        <f>I225/H225-1</f>
        <v>0.55773589407133506</v>
      </c>
      <c r="J227" s="585">
        <f>J225/I225-1</f>
        <v>-9.4888386874449671E-2</v>
      </c>
      <c r="K227" s="586">
        <f>K225/J225-1</f>
        <v>-0.32914530348410298</v>
      </c>
      <c r="L227" s="582" t="s">
        <v>131</v>
      </c>
      <c r="M227" s="584">
        <f>M225/K225-1</f>
        <v>0.21302543794377771</v>
      </c>
      <c r="N227" s="585">
        <f>N225/M225-1</f>
        <v>-8.5255037325071559E-3</v>
      </c>
      <c r="O227" s="585">
        <f>O225/N225-1</f>
        <v>-7.3698118747509422E-2</v>
      </c>
      <c r="P227" s="586">
        <f>P225/O225-1</f>
        <v>0.27382434849548298</v>
      </c>
      <c r="Q227" s="581" t="s">
        <v>131</v>
      </c>
      <c r="R227" s="588">
        <f>R225/P225-1</f>
        <v>8.8427152023604627E-3</v>
      </c>
      <c r="S227" s="588">
        <f>S225/R225-1</f>
        <v>-0.11676665169093614</v>
      </c>
      <c r="T227" s="588">
        <f>T225/S225-1</f>
        <v>-1.8082623526360919E-2</v>
      </c>
      <c r="U227" s="588">
        <f>U225/T225-1</f>
        <v>0.1983057217442532</v>
      </c>
      <c r="V227" s="581" t="s">
        <v>131</v>
      </c>
      <c r="W227" s="588">
        <f>W225/U225-1</f>
        <v>-9.618384023327553E-2</v>
      </c>
      <c r="X227" s="588">
        <f>X225/W225-1</f>
        <v>8.6977725674091344E-2</v>
      </c>
      <c r="Y227" s="588">
        <f>Y225/X225-1</f>
        <v>-0.17523878549426652</v>
      </c>
      <c r="Z227" s="588">
        <f>Z225/Y225-1</f>
        <v>0.19979286319555611</v>
      </c>
      <c r="AA227" s="581" t="s">
        <v>131</v>
      </c>
      <c r="AB227" s="591">
        <v>1.4999999999999999E-2</v>
      </c>
      <c r="AC227" s="591">
        <v>1.4999999999999999E-2</v>
      </c>
      <c r="AD227" s="591">
        <v>1.4999999999999999E-2</v>
      </c>
      <c r="AE227" s="591">
        <v>1.4999999999999999E-2</v>
      </c>
      <c r="AF227" s="581" t="s">
        <v>131</v>
      </c>
      <c r="AG227" s="588">
        <v>1.4999999999999999E-2</v>
      </c>
      <c r="AH227" s="588">
        <v>1.4999999999999999E-2</v>
      </c>
      <c r="AI227" s="588">
        <v>1.4999999999999999E-2</v>
      </c>
      <c r="AJ227" s="588">
        <v>1.4999999999999999E-2</v>
      </c>
      <c r="AK227" s="581" t="s">
        <v>131</v>
      </c>
      <c r="AL227" s="588">
        <v>1.4999999999999999E-2</v>
      </c>
      <c r="AM227" s="588">
        <v>1.4999999999999999E-2</v>
      </c>
      <c r="AN227" s="588">
        <v>1.4999999999999999E-2</v>
      </c>
      <c r="AO227" s="588">
        <v>1.4999999999999999E-2</v>
      </c>
      <c r="AP227" s="581" t="s">
        <v>131</v>
      </c>
      <c r="AQ227" s="588">
        <v>1.4999999999999999E-2</v>
      </c>
      <c r="AR227" s="589">
        <v>1.4999999999999999E-2</v>
      </c>
      <c r="AS227" s="589">
        <v>1.4999999999999999E-2</v>
      </c>
      <c r="AT227" s="589">
        <v>1.4999999999999999E-2</v>
      </c>
      <c r="AU227" s="592" t="s">
        <v>131</v>
      </c>
      <c r="AV227" s="588">
        <v>1.4999999999999999E-2</v>
      </c>
      <c r="AW227" s="588">
        <v>1.4999999999999999E-2</v>
      </c>
      <c r="AX227" s="589">
        <v>1.4999999999999999E-2</v>
      </c>
      <c r="AY227" s="589">
        <v>1.4999999999999999E-2</v>
      </c>
      <c r="AZ227" s="592" t="s">
        <v>131</v>
      </c>
      <c r="BA227" s="589">
        <v>1.4999999999999999E-2</v>
      </c>
      <c r="BB227" s="589">
        <v>1.4999999999999999E-2</v>
      </c>
      <c r="BC227" s="588">
        <v>1.4999999999999999E-2</v>
      </c>
      <c r="BD227" s="589">
        <v>1.4999999999999999E-2</v>
      </c>
      <c r="BE227" s="592" t="s">
        <v>131</v>
      </c>
      <c r="BF227" s="588">
        <v>1.4999999999999999E-2</v>
      </c>
      <c r="BG227" s="589">
        <v>1.4999999999999999E-2</v>
      </c>
      <c r="BH227" s="589">
        <v>1.4999999999999999E-2</v>
      </c>
      <c r="BI227" s="589">
        <v>1.4999999999999999E-2</v>
      </c>
      <c r="BJ227" s="592" t="s">
        <v>131</v>
      </c>
      <c r="BK227" s="589">
        <v>1.4999999999999999E-2</v>
      </c>
      <c r="BL227" s="589">
        <v>1.4999999999999999E-2</v>
      </c>
      <c r="BM227" s="589">
        <v>1.4999999999999999E-2</v>
      </c>
      <c r="BN227" s="589">
        <v>1.4999999999999999E-2</v>
      </c>
      <c r="BO227" s="592" t="s">
        <v>131</v>
      </c>
      <c r="BP227" s="589">
        <v>1.4999999999999999E-2</v>
      </c>
      <c r="BQ227" s="589">
        <v>1.4999999999999999E-2</v>
      </c>
      <c r="BR227" s="589">
        <v>1.4999999999999999E-2</v>
      </c>
      <c r="BS227" s="589">
        <v>1.4999999999999999E-2</v>
      </c>
      <c r="BT227" s="592" t="s">
        <v>131</v>
      </c>
      <c r="BU227" s="589">
        <v>1.4999999999999999E-2</v>
      </c>
      <c r="BV227" s="589">
        <v>1.4999999999999999E-2</v>
      </c>
      <c r="BW227" s="589">
        <v>1.4999999999999999E-2</v>
      </c>
      <c r="BX227" s="589">
        <v>1.4999999999999999E-2</v>
      </c>
      <c r="BY227" s="592" t="s">
        <v>131</v>
      </c>
      <c r="BZ227" s="589">
        <v>1.4999999999999999E-2</v>
      </c>
      <c r="CA227" s="589">
        <v>1.4999999999999999E-2</v>
      </c>
      <c r="CB227" s="589">
        <v>1.4999999999999999E-2</v>
      </c>
      <c r="CC227" s="589">
        <v>1.4999999999999999E-2</v>
      </c>
      <c r="CD227" s="592" t="s">
        <v>131</v>
      </c>
      <c r="CE227" s="589">
        <v>1.4999999999999999E-2</v>
      </c>
      <c r="CF227" s="589">
        <v>1.4999999999999999E-2</v>
      </c>
      <c r="CG227" s="589">
        <v>1.4999999999999999E-2</v>
      </c>
      <c r="CH227" s="589">
        <v>1.4999999999999999E-2</v>
      </c>
      <c r="CI227" s="592" t="s">
        <v>131</v>
      </c>
      <c r="CJ227" s="589">
        <v>1.4999999999999999E-2</v>
      </c>
      <c r="CK227" s="589">
        <v>1.4999999999999999E-2</v>
      </c>
      <c r="CL227" s="589">
        <v>1.4999999999999999E-2</v>
      </c>
      <c r="CM227" s="589">
        <v>1.4999999999999999E-2</v>
      </c>
      <c r="CN227" s="592" t="s">
        <v>131</v>
      </c>
      <c r="CO227" s="589">
        <v>1.4999999999999999E-2</v>
      </c>
      <c r="CP227" s="589">
        <v>1.4999999999999999E-2</v>
      </c>
      <c r="CQ227" s="589">
        <v>1.4999999999999999E-2</v>
      </c>
      <c r="CR227" s="589">
        <v>1.4999999999999999E-2</v>
      </c>
      <c r="CS227" s="592" t="s">
        <v>131</v>
      </c>
      <c r="CT227" s="589">
        <v>1.4999999999999999E-2</v>
      </c>
      <c r="CU227" s="589">
        <v>1.4999999999999999E-2</v>
      </c>
      <c r="CV227" s="589">
        <v>1.4999999999999999E-2</v>
      </c>
      <c r="CW227" s="589">
        <v>1.4999999999999999E-2</v>
      </c>
      <c r="CX227" s="592" t="s">
        <v>131</v>
      </c>
      <c r="CY227" s="1734"/>
      <c r="DA227" s="564"/>
      <c r="DB227" s="560"/>
      <c r="DC227" s="560"/>
    </row>
    <row r="228" spans="1:107" ht="6" hidden="1" customHeight="1" outlineLevel="1">
      <c r="A228" s="560"/>
      <c r="B228" s="560"/>
      <c r="C228" s="561"/>
      <c r="D228" s="562"/>
      <c r="E228" s="562"/>
      <c r="F228" s="593"/>
      <c r="G228" s="286"/>
      <c r="H228" s="594"/>
      <c r="I228" s="595"/>
      <c r="J228" s="595"/>
      <c r="K228" s="593"/>
      <c r="L228" s="594"/>
      <c r="M228" s="594"/>
      <c r="N228" s="595"/>
      <c r="O228" s="595"/>
      <c r="P228" s="593"/>
      <c r="Q228" s="286"/>
      <c r="R228" s="576"/>
      <c r="S228" s="576"/>
      <c r="T228" s="576"/>
      <c r="U228" s="575"/>
      <c r="V228" s="286"/>
      <c r="W228" s="576"/>
      <c r="X228" s="576"/>
      <c r="Y228" s="576"/>
      <c r="Z228" s="576"/>
      <c r="AA228" s="286"/>
      <c r="AB228" s="575"/>
      <c r="AC228" s="575"/>
      <c r="AD228" s="575"/>
      <c r="AE228" s="575"/>
      <c r="AF228" s="286"/>
      <c r="AG228" s="576"/>
      <c r="AH228" s="576"/>
      <c r="AI228" s="576"/>
      <c r="AJ228" s="576"/>
      <c r="AK228" s="286"/>
      <c r="AL228" s="576"/>
      <c r="AM228" s="576"/>
      <c r="AN228" s="576"/>
      <c r="AO228" s="576"/>
      <c r="AP228" s="286"/>
      <c r="AQ228" s="576"/>
      <c r="AR228" s="577"/>
      <c r="AS228" s="577"/>
      <c r="AT228" s="577"/>
      <c r="AU228" s="287"/>
      <c r="AV228" s="576"/>
      <c r="AW228" s="576"/>
      <c r="AX228" s="577"/>
      <c r="AY228" s="577"/>
      <c r="AZ228" s="287"/>
      <c r="BA228" s="577"/>
      <c r="BB228" s="577"/>
      <c r="BC228" s="576"/>
      <c r="BD228" s="577"/>
      <c r="BE228" s="287"/>
      <c r="BF228" s="576"/>
      <c r="BG228" s="577"/>
      <c r="BH228" s="577"/>
      <c r="BI228" s="577"/>
      <c r="BJ228" s="287"/>
      <c r="BK228" s="577"/>
      <c r="BL228" s="577"/>
      <c r="BM228" s="577"/>
      <c r="BN228" s="577"/>
      <c r="BO228" s="287"/>
      <c r="BP228" s="577"/>
      <c r="BQ228" s="577"/>
      <c r="BR228" s="577"/>
      <c r="BS228" s="577"/>
      <c r="BT228" s="287"/>
      <c r="BU228" s="577"/>
      <c r="BV228" s="577"/>
      <c r="BW228" s="577"/>
      <c r="BX228" s="577"/>
      <c r="BY228" s="287"/>
      <c r="BZ228" s="577"/>
      <c r="CA228" s="577"/>
      <c r="CB228" s="577"/>
      <c r="CC228" s="577"/>
      <c r="CD228" s="287"/>
      <c r="CE228" s="577"/>
      <c r="CF228" s="577"/>
      <c r="CG228" s="577"/>
      <c r="CH228" s="577"/>
      <c r="CI228" s="287"/>
      <c r="CJ228" s="577"/>
      <c r="CK228" s="577"/>
      <c r="CL228" s="577"/>
      <c r="CM228" s="577"/>
      <c r="CN228" s="287"/>
      <c r="CO228" s="577"/>
      <c r="CP228" s="577"/>
      <c r="CQ228" s="577"/>
      <c r="CR228" s="577"/>
      <c r="CS228" s="287"/>
      <c r="CT228" s="577"/>
      <c r="CU228" s="577"/>
      <c r="CV228" s="577"/>
      <c r="CW228" s="577"/>
      <c r="CX228" s="287"/>
      <c r="CY228" s="1735"/>
      <c r="DA228" s="564"/>
      <c r="DB228" s="560"/>
      <c r="DC228" s="560"/>
    </row>
    <row r="229" spans="1:107" ht="12" hidden="1" customHeight="1" outlineLevel="1">
      <c r="A229" s="553" t="s">
        <v>696</v>
      </c>
      <c r="B229" s="553"/>
      <c r="C229" s="561"/>
      <c r="D229" s="562"/>
      <c r="E229" s="562"/>
      <c r="F229" s="569">
        <f>393.309-SUM(C229:E229)</f>
        <v>393.30900000000003</v>
      </c>
      <c r="G229" s="570">
        <f>SUM(C229:F229)</f>
        <v>393.30900000000003</v>
      </c>
      <c r="H229" s="571">
        <v>87.56</v>
      </c>
      <c r="I229" s="572">
        <v>90.131</v>
      </c>
      <c r="J229" s="572">
        <v>64.406000000000006</v>
      </c>
      <c r="K229" s="569">
        <f>351.3-SUM(H229:J229)</f>
        <v>109.203</v>
      </c>
      <c r="L229" s="573">
        <f>SUM(H229:K229)</f>
        <v>351.3</v>
      </c>
      <c r="M229" s="571">
        <v>85.863</v>
      </c>
      <c r="N229" s="572">
        <v>93.697000000000003</v>
      </c>
      <c r="O229" s="572">
        <v>82.058000000000007</v>
      </c>
      <c r="P229" s="569">
        <f>368.5-SUM(M229:O229)</f>
        <v>106.88200000000001</v>
      </c>
      <c r="Q229" s="570">
        <f>SUM(M229:P229)</f>
        <v>368.5</v>
      </c>
      <c r="R229" s="574">
        <v>158.11000000000001</v>
      </c>
      <c r="S229" s="574">
        <v>153.41900000000001</v>
      </c>
      <c r="T229" s="574">
        <v>150.39500000000001</v>
      </c>
      <c r="U229" s="574">
        <f>613.1-SUM(R229:T229)</f>
        <v>151.17600000000004</v>
      </c>
      <c r="V229" s="570">
        <f>SUM(R229:U229)</f>
        <v>613.1</v>
      </c>
      <c r="W229" s="574">
        <v>160.69200000000001</v>
      </c>
      <c r="X229" s="574">
        <v>184.42099999999999</v>
      </c>
      <c r="Y229" s="574">
        <v>206.30799999999999</v>
      </c>
      <c r="Z229" s="574">
        <f>743.825-SUM(W229:Y229)</f>
        <v>192.404</v>
      </c>
      <c r="AA229" s="570">
        <f>SUM(W229:Z229)</f>
        <v>743.82500000000005</v>
      </c>
      <c r="AB229" s="575">
        <f>W229*(1+AB230)</f>
        <v>174.19012800000002</v>
      </c>
      <c r="AC229" s="575">
        <f>X229*(1+AC230)</f>
        <v>199.912364</v>
      </c>
      <c r="AD229" s="575">
        <f>Y229*(1+AD230)</f>
        <v>223.63787200000002</v>
      </c>
      <c r="AE229" s="575">
        <f>Z229*(1+AE230)</f>
        <v>208.56593600000002</v>
      </c>
      <c r="AF229" s="570">
        <f>SUM(AB229:AE229)</f>
        <v>806.30629999999996</v>
      </c>
      <c r="AG229" s="576">
        <f>AB229*(1+AG230)</f>
        <v>187.42857772800002</v>
      </c>
      <c r="AH229" s="576">
        <f>AC229*(1+AH230)</f>
        <v>215.105703664</v>
      </c>
      <c r="AI229" s="576">
        <f>AD229*(1+AI230)</f>
        <v>240.63435027200003</v>
      </c>
      <c r="AJ229" s="576">
        <f>AE229*(1+AJ230)</f>
        <v>224.41694713600003</v>
      </c>
      <c r="AK229" s="570">
        <f>SUM(AG229:AJ229)</f>
        <v>867.58557880000012</v>
      </c>
      <c r="AL229" s="576">
        <f>AG229*(1+AL230)</f>
        <v>201.67314963532803</v>
      </c>
      <c r="AM229" s="576">
        <f>AH229*(1+AM230)</f>
        <v>231.45373714246401</v>
      </c>
      <c r="AN229" s="576">
        <f>AI229*(1+AN230)</f>
        <v>258.92256089267204</v>
      </c>
      <c r="AO229" s="576">
        <f>AJ229*(1+AO230)</f>
        <v>241.47263511833606</v>
      </c>
      <c r="AP229" s="570">
        <f>SUM(AL229:AO229)</f>
        <v>933.52208278880016</v>
      </c>
      <c r="AQ229" s="576">
        <f>AL229*(1+AQ230)</f>
        <v>217.00030900761297</v>
      </c>
      <c r="AR229" s="577">
        <f>AM229*(1+AR230)</f>
        <v>249.04422116529128</v>
      </c>
      <c r="AS229" s="577">
        <f>AN229*(1+AS230)</f>
        <v>278.60067552051515</v>
      </c>
      <c r="AT229" s="577">
        <f>AO229*(1+AT230)</f>
        <v>259.82455538732961</v>
      </c>
      <c r="AU229" s="578">
        <f>SUM(AQ229:AT229)</f>
        <v>1004.4697610807491</v>
      </c>
      <c r="AV229" s="576">
        <f>AQ229*(1+AV230)</f>
        <v>233.49233249219157</v>
      </c>
      <c r="AW229" s="576">
        <f>AR229*(1+AW230)</f>
        <v>267.9715819738534</v>
      </c>
      <c r="AX229" s="577">
        <f>AS229*(1+AX230)</f>
        <v>299.77432686007432</v>
      </c>
      <c r="AY229" s="577">
        <f>AT229*(1+AY230)</f>
        <v>279.57122159676669</v>
      </c>
      <c r="AZ229" s="578">
        <f>SUM(AV229:AY229)</f>
        <v>1080.809462922886</v>
      </c>
      <c r="BA229" s="577">
        <f>AV229*(1+BA230)</f>
        <v>251.23774976159814</v>
      </c>
      <c r="BB229" s="577">
        <f>AW229*(1+BB230)</f>
        <v>288.33742220386625</v>
      </c>
      <c r="BC229" s="576">
        <f>AX229*(1+BC230)</f>
        <v>322.55717570143997</v>
      </c>
      <c r="BD229" s="577">
        <f>AY229*(1+BD230)</f>
        <v>300.81863443812097</v>
      </c>
      <c r="BE229" s="578">
        <f>SUM(BA229:BD229)</f>
        <v>1162.9509821050253</v>
      </c>
      <c r="BF229" s="576">
        <f>BA229*(1+BF230)</f>
        <v>270.33181874347963</v>
      </c>
      <c r="BG229" s="577">
        <f>BB229*(1+BG230)</f>
        <v>310.25106629136013</v>
      </c>
      <c r="BH229" s="577">
        <f>BC229*(1+BH230)</f>
        <v>347.07152105474944</v>
      </c>
      <c r="BI229" s="577">
        <f>BD229*(1+BI230)</f>
        <v>323.68085065541817</v>
      </c>
      <c r="BJ229" s="578">
        <f>SUM(BF229:BI229)</f>
        <v>1251.3352567450074</v>
      </c>
      <c r="BK229" s="577">
        <f>BF229*(1+BK230)</f>
        <v>290.87703696798411</v>
      </c>
      <c r="BL229" s="577">
        <f>BG229*(1+BL230)</f>
        <v>333.83014732950352</v>
      </c>
      <c r="BM229" s="577">
        <f>BH229*(1+BM230)</f>
        <v>373.44895665491043</v>
      </c>
      <c r="BN229" s="577">
        <f>BI229*(1+BN230)</f>
        <v>348.28059530522995</v>
      </c>
      <c r="BO229" s="578">
        <f>SUM(BK229:BN229)</f>
        <v>1346.4367362576281</v>
      </c>
      <c r="BP229" s="577">
        <f>BK229*(1+BP230)</f>
        <v>312.98369177755092</v>
      </c>
      <c r="BQ229" s="577">
        <f>BL229*(1+BQ230)</f>
        <v>359.20123852654581</v>
      </c>
      <c r="BR229" s="577">
        <f>BM229*(1+BR230)</f>
        <v>401.83107736068365</v>
      </c>
      <c r="BS229" s="577">
        <f>BN229*(1+BS230)</f>
        <v>374.74992054842744</v>
      </c>
      <c r="BT229" s="578">
        <f>SUM(BP229:BS229)</f>
        <v>1448.7659282132076</v>
      </c>
      <c r="BU229" s="577">
        <f>BP229*(1+BU230)</f>
        <v>336.77045235264478</v>
      </c>
      <c r="BV229" s="577">
        <f>BQ229*(1+BV230)</f>
        <v>386.5005326545633</v>
      </c>
      <c r="BW229" s="577">
        <f>BR229*(1+BW230)</f>
        <v>432.37023924009566</v>
      </c>
      <c r="BX229" s="577">
        <f>BS229*(1+BX230)</f>
        <v>403.23091451010794</v>
      </c>
      <c r="BY229" s="578">
        <f>SUM(BU229:BX229)</f>
        <v>1558.8721387574119</v>
      </c>
      <c r="BZ229" s="577">
        <f>BU229*(1+BZ230)</f>
        <v>362.36500673144582</v>
      </c>
      <c r="CA229" s="577">
        <f>BV229*(1+CA230)</f>
        <v>415.87457313631012</v>
      </c>
      <c r="CB229" s="577">
        <f>BW229*(1+CB230)</f>
        <v>465.23037742234294</v>
      </c>
      <c r="CC229" s="577">
        <f>BX229*(1+CC230)</f>
        <v>433.87646401287617</v>
      </c>
      <c r="CD229" s="578">
        <f>SUM(BZ229:CC229)</f>
        <v>1677.3464213029752</v>
      </c>
      <c r="CE229" s="577">
        <f>BZ229*(1+CE230)</f>
        <v>389.90474724303573</v>
      </c>
      <c r="CF229" s="577">
        <f>CA229*(1+CF230)</f>
        <v>447.48104069466973</v>
      </c>
      <c r="CG229" s="577">
        <f>CB229*(1+CG230)</f>
        <v>500.58788610644103</v>
      </c>
      <c r="CH229" s="577">
        <f>CC229*(1+CH230)</f>
        <v>466.85107527785476</v>
      </c>
      <c r="CI229" s="578">
        <f>SUM(CE229:CH229)</f>
        <v>1804.8247493220013</v>
      </c>
      <c r="CJ229" s="577">
        <f>CE229*(1+CJ230)</f>
        <v>419.53750803350647</v>
      </c>
      <c r="CK229" s="577">
        <f>CF229*(1+CK230)</f>
        <v>481.48959978746467</v>
      </c>
      <c r="CL229" s="577">
        <f>CG229*(1+CL230)</f>
        <v>538.63256545053059</v>
      </c>
      <c r="CM229" s="577">
        <f>CH229*(1+CM230)</f>
        <v>502.33175699897174</v>
      </c>
      <c r="CN229" s="578">
        <f>SUM(CJ229:CM229)</f>
        <v>1941.9914302704735</v>
      </c>
      <c r="CO229" s="577">
        <f>CJ229*(1+CO230)</f>
        <v>451.42235864405296</v>
      </c>
      <c r="CP229" s="577">
        <f>CK229*(1+CP230)</f>
        <v>518.08280937131201</v>
      </c>
      <c r="CQ229" s="577">
        <f>CL229*(1+CQ230)</f>
        <v>579.56864042477093</v>
      </c>
      <c r="CR229" s="577">
        <f>CM229*(1+CR230)</f>
        <v>540.50897053089363</v>
      </c>
      <c r="CS229" s="578">
        <f>SUM(CO229:CR229)</f>
        <v>2089.5827789710297</v>
      </c>
      <c r="CT229" s="577">
        <f>CO229*(1+CT230)</f>
        <v>485.73045790100105</v>
      </c>
      <c r="CU229" s="577">
        <f>CP229*(1+CU230)</f>
        <v>557.45710288353177</v>
      </c>
      <c r="CV229" s="577">
        <f>CQ229*(1+CV230)</f>
        <v>623.61585709705355</v>
      </c>
      <c r="CW229" s="577">
        <f>CR229*(1+CW230)</f>
        <v>581.58765229124162</v>
      </c>
      <c r="CX229" s="578">
        <f>SUM(CT229:CW229)</f>
        <v>2248.3910701728278</v>
      </c>
      <c r="CY229" s="1732"/>
      <c r="DA229" s="564"/>
      <c r="DB229" s="560"/>
      <c r="DC229" s="560"/>
    </row>
    <row r="230" spans="1:107" ht="12" hidden="1" customHeight="1" outlineLevel="1">
      <c r="A230" s="579" t="s">
        <v>622</v>
      </c>
      <c r="B230" s="579"/>
      <c r="C230" s="561"/>
      <c r="D230" s="562"/>
      <c r="E230" s="562"/>
      <c r="F230" s="580" t="s">
        <v>131</v>
      </c>
      <c r="G230" s="581" t="s">
        <v>131</v>
      </c>
      <c r="H230" s="582" t="s">
        <v>131</v>
      </c>
      <c r="I230" s="583" t="s">
        <v>131</v>
      </c>
      <c r="J230" s="583" t="s">
        <v>131</v>
      </c>
      <c r="K230" s="580" t="s">
        <v>131</v>
      </c>
      <c r="L230" s="582" t="s">
        <v>131</v>
      </c>
      <c r="M230" s="584">
        <f t="shared" ref="M230:AA230" si="270">M229/H229-1</f>
        <v>-1.9380995888533592E-2</v>
      </c>
      <c r="N230" s="585">
        <f t="shared" si="270"/>
        <v>3.9564633699836982E-2</v>
      </c>
      <c r="O230" s="585">
        <f t="shared" si="270"/>
        <v>0.27407384405179647</v>
      </c>
      <c r="P230" s="586">
        <f t="shared" si="270"/>
        <v>-2.1253994853621228E-2</v>
      </c>
      <c r="Q230" s="587">
        <f t="shared" si="270"/>
        <v>4.8961001992598785E-2</v>
      </c>
      <c r="R230" s="588">
        <f t="shared" si="270"/>
        <v>0.8414217998439375</v>
      </c>
      <c r="S230" s="588">
        <f t="shared" si="270"/>
        <v>0.63739500731079968</v>
      </c>
      <c r="T230" s="588">
        <f t="shared" si="270"/>
        <v>0.83278900290038749</v>
      </c>
      <c r="U230" s="588">
        <f t="shared" si="270"/>
        <v>0.41441964035104162</v>
      </c>
      <c r="V230" s="587">
        <f t="shared" si="270"/>
        <v>0.66377204884667584</v>
      </c>
      <c r="W230" s="588">
        <f t="shared" si="270"/>
        <v>1.6330402884068063E-2</v>
      </c>
      <c r="X230" s="588">
        <f t="shared" si="270"/>
        <v>0.20207405862376882</v>
      </c>
      <c r="Y230" s="588">
        <f t="shared" si="270"/>
        <v>0.371774327603976</v>
      </c>
      <c r="Z230" s="588">
        <f t="shared" si="270"/>
        <v>0.27271524580621231</v>
      </c>
      <c r="AA230" s="587">
        <f t="shared" si="270"/>
        <v>0.21321970314793681</v>
      </c>
      <c r="AB230" s="591">
        <v>8.4000000000000005E-2</v>
      </c>
      <c r="AC230" s="591">
        <v>8.4000000000000005E-2</v>
      </c>
      <c r="AD230" s="591">
        <v>8.4000000000000005E-2</v>
      </c>
      <c r="AE230" s="591">
        <v>8.4000000000000005E-2</v>
      </c>
      <c r="AF230" s="587">
        <f>AF229/AA229-1</f>
        <v>8.3999999999999853E-2</v>
      </c>
      <c r="AG230" s="588">
        <v>7.5999999999999998E-2</v>
      </c>
      <c r="AH230" s="588">
        <v>7.5999999999999998E-2</v>
      </c>
      <c r="AI230" s="588">
        <v>7.5999999999999998E-2</v>
      </c>
      <c r="AJ230" s="588">
        <v>7.5999999999999998E-2</v>
      </c>
      <c r="AK230" s="587">
        <f>AK229/AF229-1</f>
        <v>7.600000000000029E-2</v>
      </c>
      <c r="AL230" s="588">
        <v>7.5999999999999998E-2</v>
      </c>
      <c r="AM230" s="588">
        <v>7.5999999999999998E-2</v>
      </c>
      <c r="AN230" s="588">
        <v>7.5999999999999998E-2</v>
      </c>
      <c r="AO230" s="588">
        <v>7.5999999999999998E-2</v>
      </c>
      <c r="AP230" s="587">
        <f>AP229/AK229-1</f>
        <v>7.6000000000000068E-2</v>
      </c>
      <c r="AQ230" s="588">
        <v>7.5999999999999998E-2</v>
      </c>
      <c r="AR230" s="589">
        <v>7.5999999999999998E-2</v>
      </c>
      <c r="AS230" s="589">
        <v>7.5999999999999998E-2</v>
      </c>
      <c r="AT230" s="589">
        <v>7.5999999999999998E-2</v>
      </c>
      <c r="AU230" s="590">
        <f>AU229/AP229-1</f>
        <v>7.6000000000000068E-2</v>
      </c>
      <c r="AV230" s="588">
        <v>7.5999999999999998E-2</v>
      </c>
      <c r="AW230" s="588">
        <v>7.5999999999999998E-2</v>
      </c>
      <c r="AX230" s="589">
        <v>7.5999999999999998E-2</v>
      </c>
      <c r="AY230" s="589">
        <v>7.5999999999999998E-2</v>
      </c>
      <c r="AZ230" s="590">
        <f>AZ229/AU229-1</f>
        <v>7.6000000000000068E-2</v>
      </c>
      <c r="BA230" s="589">
        <v>7.5999999999999998E-2</v>
      </c>
      <c r="BB230" s="589">
        <v>7.5999999999999998E-2</v>
      </c>
      <c r="BC230" s="588">
        <v>7.5999999999999998E-2</v>
      </c>
      <c r="BD230" s="589">
        <v>7.5999999999999998E-2</v>
      </c>
      <c r="BE230" s="590">
        <f>BE229/AZ229-1</f>
        <v>7.5999999999999845E-2</v>
      </c>
      <c r="BF230" s="588">
        <v>7.5999999999999998E-2</v>
      </c>
      <c r="BG230" s="589">
        <v>7.5999999999999998E-2</v>
      </c>
      <c r="BH230" s="589">
        <v>7.5999999999999998E-2</v>
      </c>
      <c r="BI230" s="589">
        <v>7.5999999999999998E-2</v>
      </c>
      <c r="BJ230" s="590">
        <f>BJ229/BE229-1</f>
        <v>7.6000000000000068E-2</v>
      </c>
      <c r="BK230" s="589">
        <v>7.5999999999999998E-2</v>
      </c>
      <c r="BL230" s="589">
        <v>7.5999999999999998E-2</v>
      </c>
      <c r="BM230" s="589">
        <v>7.5999999999999998E-2</v>
      </c>
      <c r="BN230" s="589">
        <v>7.5999999999999998E-2</v>
      </c>
      <c r="BO230" s="590">
        <f>BO229/BJ229-1</f>
        <v>7.6000000000000068E-2</v>
      </c>
      <c r="BP230" s="589">
        <v>7.5999999999999998E-2</v>
      </c>
      <c r="BQ230" s="589">
        <v>7.5999999999999998E-2</v>
      </c>
      <c r="BR230" s="589">
        <v>7.5999999999999998E-2</v>
      </c>
      <c r="BS230" s="589">
        <v>7.5999999999999998E-2</v>
      </c>
      <c r="BT230" s="590">
        <f>BT229/BO229-1</f>
        <v>7.5999999999999845E-2</v>
      </c>
      <c r="BU230" s="589">
        <v>7.5999999999999998E-2</v>
      </c>
      <c r="BV230" s="589">
        <v>7.5999999999999998E-2</v>
      </c>
      <c r="BW230" s="589">
        <v>7.5999999999999998E-2</v>
      </c>
      <c r="BX230" s="589">
        <v>7.5999999999999998E-2</v>
      </c>
      <c r="BY230" s="590">
        <f>BY229/BT229-1</f>
        <v>7.600000000000029E-2</v>
      </c>
      <c r="BZ230" s="589">
        <v>7.5999999999999998E-2</v>
      </c>
      <c r="CA230" s="589">
        <v>7.5999999999999998E-2</v>
      </c>
      <c r="CB230" s="589">
        <v>7.5999999999999998E-2</v>
      </c>
      <c r="CC230" s="589">
        <v>7.5999999999999998E-2</v>
      </c>
      <c r="CD230" s="590">
        <f>CD229/BY229-1</f>
        <v>7.6000000000000068E-2</v>
      </c>
      <c r="CE230" s="589">
        <v>7.5999999999999998E-2</v>
      </c>
      <c r="CF230" s="589">
        <v>7.5999999999999998E-2</v>
      </c>
      <c r="CG230" s="589">
        <v>7.5999999999999998E-2</v>
      </c>
      <c r="CH230" s="589">
        <v>7.5999999999999998E-2</v>
      </c>
      <c r="CI230" s="590">
        <f>CI229/CD229-1</f>
        <v>7.6000000000000068E-2</v>
      </c>
      <c r="CJ230" s="589">
        <v>7.5999999999999998E-2</v>
      </c>
      <c r="CK230" s="589">
        <v>7.5999999999999998E-2</v>
      </c>
      <c r="CL230" s="589">
        <v>7.5999999999999998E-2</v>
      </c>
      <c r="CM230" s="589">
        <v>7.5999999999999998E-2</v>
      </c>
      <c r="CN230" s="590">
        <f>CN229/CI229-1</f>
        <v>7.6000000000000068E-2</v>
      </c>
      <c r="CO230" s="589">
        <v>7.5999999999999998E-2</v>
      </c>
      <c r="CP230" s="589">
        <v>7.5999999999999998E-2</v>
      </c>
      <c r="CQ230" s="589">
        <v>7.5999999999999998E-2</v>
      </c>
      <c r="CR230" s="589">
        <v>7.5999999999999998E-2</v>
      </c>
      <c r="CS230" s="590">
        <f>CS229/CN229-1</f>
        <v>7.6000000000000068E-2</v>
      </c>
      <c r="CT230" s="589">
        <v>7.5999999999999998E-2</v>
      </c>
      <c r="CU230" s="589">
        <v>7.5999999999999998E-2</v>
      </c>
      <c r="CV230" s="589">
        <v>7.5999999999999998E-2</v>
      </c>
      <c r="CW230" s="589">
        <v>7.5999999999999998E-2</v>
      </c>
      <c r="CX230" s="590">
        <f>CX229/CS229-1</f>
        <v>7.5999999999999845E-2</v>
      </c>
      <c r="CY230" s="1733"/>
      <c r="DA230" s="564"/>
      <c r="DB230" s="560"/>
      <c r="DC230" s="560"/>
    </row>
    <row r="231" spans="1:107" ht="12" hidden="1" customHeight="1" outlineLevel="1">
      <c r="A231" s="579" t="s">
        <v>709</v>
      </c>
      <c r="B231" s="579"/>
      <c r="C231" s="561"/>
      <c r="D231" s="562"/>
      <c r="E231" s="562"/>
      <c r="F231" s="586"/>
      <c r="G231" s="581" t="s">
        <v>131</v>
      </c>
      <c r="H231" s="582" t="s">
        <v>131</v>
      </c>
      <c r="I231" s="585">
        <f>I229/H229-1</f>
        <v>2.9362722704431299E-2</v>
      </c>
      <c r="J231" s="585">
        <f>J229/I229-1</f>
        <v>-0.28541789173536292</v>
      </c>
      <c r="K231" s="586">
        <f>K229/J229-1</f>
        <v>0.69554078812532993</v>
      </c>
      <c r="L231" s="582" t="s">
        <v>131</v>
      </c>
      <c r="M231" s="584">
        <f>M229/K229-1</f>
        <v>-0.21373039202219724</v>
      </c>
      <c r="N231" s="585">
        <f>N229/M229-1</f>
        <v>9.1238368098016664E-2</v>
      </c>
      <c r="O231" s="585">
        <f>O229/N229-1</f>
        <v>-0.12421955879056956</v>
      </c>
      <c r="P231" s="586">
        <f>P229/O229-1</f>
        <v>0.30251773136074478</v>
      </c>
      <c r="Q231" s="581" t="s">
        <v>131</v>
      </c>
      <c r="R231" s="588">
        <f>R229/P229-1</f>
        <v>0.47929492337343982</v>
      </c>
      <c r="S231" s="588">
        <f>S229/R229-1</f>
        <v>-2.9669217633293332E-2</v>
      </c>
      <c r="T231" s="588">
        <f>T229/S229-1</f>
        <v>-1.9710726833051972E-2</v>
      </c>
      <c r="U231" s="588">
        <f>U229/T229-1</f>
        <v>5.1929917882911347E-3</v>
      </c>
      <c r="V231" s="581" t="s">
        <v>131</v>
      </c>
      <c r="W231" s="588">
        <f>W229/U229-1</f>
        <v>6.2946499444356041E-2</v>
      </c>
      <c r="X231" s="588">
        <f>X229/W229-1</f>
        <v>0.14766758768326982</v>
      </c>
      <c r="Y231" s="588">
        <f>Y229/X229-1</f>
        <v>0.11867954300215278</v>
      </c>
      <c r="Z231" s="588">
        <f>Z229/Y229-1</f>
        <v>-6.7394381216433707E-2</v>
      </c>
      <c r="AA231" s="581" t="s">
        <v>131</v>
      </c>
      <c r="AB231" s="588">
        <f>AB229/Z229-1</f>
        <v>-9.4664726305066282E-2</v>
      </c>
      <c r="AC231" s="588">
        <f>AC229/AB229-1</f>
        <v>0.14766758768326982</v>
      </c>
      <c r="AD231" s="588">
        <f>AD229/AC229-1</f>
        <v>0.11867954300215278</v>
      </c>
      <c r="AE231" s="588">
        <f>AE229/AD229-1</f>
        <v>-6.7394381216433596E-2</v>
      </c>
      <c r="AF231" s="581" t="s">
        <v>131</v>
      </c>
      <c r="AG231" s="588">
        <f>AG229/AE229-1</f>
        <v>-0.10134616743934632</v>
      </c>
      <c r="AH231" s="588">
        <f>AH229/AG229-1</f>
        <v>0.14766758768326982</v>
      </c>
      <c r="AI231" s="588">
        <f>AI229/AH229-1</f>
        <v>0.11867954300215278</v>
      </c>
      <c r="AJ231" s="588">
        <f>AJ229/AI229-1</f>
        <v>-6.7394381216433707E-2</v>
      </c>
      <c r="AK231" s="581" t="s">
        <v>131</v>
      </c>
      <c r="AL231" s="588">
        <f>AL229/AJ229-1</f>
        <v>-0.10134616743934632</v>
      </c>
      <c r="AM231" s="588">
        <f>AM229/AL229-1</f>
        <v>0.14766758768326982</v>
      </c>
      <c r="AN231" s="588">
        <f>AN229/AM229-1</f>
        <v>0.11867954300215278</v>
      </c>
      <c r="AO231" s="588">
        <f>AO229/AN229-1</f>
        <v>-6.7394381216433596E-2</v>
      </c>
      <c r="AP231" s="581" t="s">
        <v>131</v>
      </c>
      <c r="AQ231" s="588">
        <f>AQ229/AO229-1</f>
        <v>-0.10134616743934644</v>
      </c>
      <c r="AR231" s="589">
        <f>AR229/AQ229-1</f>
        <v>0.1476675876832696</v>
      </c>
      <c r="AS231" s="589">
        <f>AS229/AR229-1</f>
        <v>0.118679543002153</v>
      </c>
      <c r="AT231" s="589">
        <f>AT229/AS229-1</f>
        <v>-6.7394381216433707E-2</v>
      </c>
      <c r="AU231" s="592" t="s">
        <v>131</v>
      </c>
      <c r="AV231" s="588">
        <f>AV229/AT229-1</f>
        <v>-0.10134616743934644</v>
      </c>
      <c r="AW231" s="588">
        <f>AW229/AV229-1</f>
        <v>0.1476675876832696</v>
      </c>
      <c r="AX231" s="589">
        <f>AX229/AW229-1</f>
        <v>0.118679543002153</v>
      </c>
      <c r="AY231" s="589">
        <f>AY229/AX229-1</f>
        <v>-6.7394381216433596E-2</v>
      </c>
      <c r="AZ231" s="592" t="s">
        <v>131</v>
      </c>
      <c r="BA231" s="589">
        <f>BA229/AY229-1</f>
        <v>-0.10134616743934644</v>
      </c>
      <c r="BB231" s="589">
        <f>BB229/BA229-1</f>
        <v>0.1476675876832696</v>
      </c>
      <c r="BC231" s="588">
        <f>BC229/BB229-1</f>
        <v>0.118679543002153</v>
      </c>
      <c r="BD231" s="589">
        <f>BD229/BC229-1</f>
        <v>-6.7394381216433596E-2</v>
      </c>
      <c r="BE231" s="592" t="s">
        <v>131</v>
      </c>
      <c r="BF231" s="588">
        <f>BF229/BD229-1</f>
        <v>-0.10134616743934632</v>
      </c>
      <c r="BG231" s="589">
        <f>BG229/BF229-1</f>
        <v>0.1476675876832696</v>
      </c>
      <c r="BH231" s="589">
        <f>BH229/BG229-1</f>
        <v>0.118679543002153</v>
      </c>
      <c r="BI231" s="589">
        <f>BI229/BH229-1</f>
        <v>-6.7394381216433707E-2</v>
      </c>
      <c r="BJ231" s="592" t="s">
        <v>131</v>
      </c>
      <c r="BK231" s="589">
        <f>BK229/BI229-1</f>
        <v>-0.10134616743934632</v>
      </c>
      <c r="BL231" s="589">
        <f>BL229/BK229-1</f>
        <v>0.14766758768326937</v>
      </c>
      <c r="BM231" s="589">
        <f>BM229/BL229-1</f>
        <v>0.118679543002153</v>
      </c>
      <c r="BN231" s="589">
        <f>BN229/BM229-1</f>
        <v>-6.7394381216433707E-2</v>
      </c>
      <c r="BO231" s="592" t="s">
        <v>131</v>
      </c>
      <c r="BP231" s="589">
        <f>BP229/BN229-1</f>
        <v>-0.10134616743934632</v>
      </c>
      <c r="BQ231" s="589">
        <f>BQ229/BP229-1</f>
        <v>0.1476675876832696</v>
      </c>
      <c r="BR231" s="589">
        <f>BR229/BQ229-1</f>
        <v>0.118679543002153</v>
      </c>
      <c r="BS231" s="589">
        <f>BS229/BR229-1</f>
        <v>-6.7394381216433819E-2</v>
      </c>
      <c r="BT231" s="592" t="s">
        <v>131</v>
      </c>
      <c r="BU231" s="589">
        <f>BU229/BS229-1</f>
        <v>-0.10134616743934632</v>
      </c>
      <c r="BV231" s="589">
        <f>BV229/BU229-1</f>
        <v>0.1476675876832696</v>
      </c>
      <c r="BW231" s="589">
        <f>BW229/BV229-1</f>
        <v>0.11867954300215322</v>
      </c>
      <c r="BX231" s="589">
        <f>BX229/BW229-1</f>
        <v>-6.7394381216433819E-2</v>
      </c>
      <c r="BY231" s="592" t="s">
        <v>131</v>
      </c>
      <c r="BZ231" s="589">
        <f>BZ229/BX229-1</f>
        <v>-0.10134616743934621</v>
      </c>
      <c r="CA231" s="589">
        <f>CA229/BZ229-1</f>
        <v>0.14766758768326937</v>
      </c>
      <c r="CB231" s="589">
        <f>CB229/CA229-1</f>
        <v>0.11867954300215322</v>
      </c>
      <c r="CC231" s="589">
        <f>CC229/CB229-1</f>
        <v>-6.7394381216433819E-2</v>
      </c>
      <c r="CD231" s="592" t="s">
        <v>131</v>
      </c>
      <c r="CE231" s="589">
        <f>CE229/CC229-1</f>
        <v>-0.10134616743934621</v>
      </c>
      <c r="CF231" s="589">
        <f>CF229/CE229-1</f>
        <v>0.14766758768326937</v>
      </c>
      <c r="CG231" s="589">
        <f>CG229/CF229-1</f>
        <v>0.11867954300215322</v>
      </c>
      <c r="CH231" s="589">
        <f>CH229/CG229-1</f>
        <v>-6.739438121643393E-2</v>
      </c>
      <c r="CI231" s="592" t="s">
        <v>131</v>
      </c>
      <c r="CJ231" s="589">
        <f>CJ229/CH229-1</f>
        <v>-0.10134616743934621</v>
      </c>
      <c r="CK231" s="589">
        <f>CK229/CJ229-1</f>
        <v>0.1476675876832696</v>
      </c>
      <c r="CL231" s="589">
        <f>CL229/CK229-1</f>
        <v>0.11867954300215322</v>
      </c>
      <c r="CM231" s="589">
        <f>CM229/CL229-1</f>
        <v>-6.739438121643393E-2</v>
      </c>
      <c r="CN231" s="592" t="s">
        <v>131</v>
      </c>
      <c r="CO231" s="589">
        <f>CO229/CM229-1</f>
        <v>-0.10134616743934621</v>
      </c>
      <c r="CP231" s="589">
        <f>CP229/CO229-1</f>
        <v>0.1476675876832696</v>
      </c>
      <c r="CQ231" s="589">
        <f>CQ229/CP229-1</f>
        <v>0.11867954300215322</v>
      </c>
      <c r="CR231" s="589">
        <f>CR229/CQ229-1</f>
        <v>-6.7394381216433819E-2</v>
      </c>
      <c r="CS231" s="592" t="s">
        <v>131</v>
      </c>
      <c r="CT231" s="589">
        <f>CT229/CR229-1</f>
        <v>-0.10134616743934621</v>
      </c>
      <c r="CU231" s="589">
        <f>CU229/CT229-1</f>
        <v>0.1476675876832696</v>
      </c>
      <c r="CV231" s="589">
        <f>CV229/CU229-1</f>
        <v>0.118679543002153</v>
      </c>
      <c r="CW231" s="589">
        <f>CW229/CV229-1</f>
        <v>-6.7394381216433819E-2</v>
      </c>
      <c r="CX231" s="592" t="s">
        <v>131</v>
      </c>
      <c r="CY231" s="1734"/>
      <c r="DA231" s="564"/>
      <c r="DB231" s="560"/>
      <c r="DC231" s="560"/>
    </row>
    <row r="232" spans="1:107" ht="6" hidden="1" customHeight="1" outlineLevel="1">
      <c r="A232" s="579"/>
      <c r="B232" s="579"/>
      <c r="C232" s="561"/>
      <c r="D232" s="562"/>
      <c r="E232" s="562"/>
      <c r="F232" s="596"/>
      <c r="G232" s="597"/>
      <c r="H232" s="598"/>
      <c r="I232" s="599"/>
      <c r="J232" s="599"/>
      <c r="K232" s="596"/>
      <c r="L232" s="598"/>
      <c r="M232" s="600"/>
      <c r="N232" s="599"/>
      <c r="O232" s="599"/>
      <c r="P232" s="596"/>
      <c r="Q232" s="597"/>
      <c r="R232" s="601"/>
      <c r="S232" s="601"/>
      <c r="T232" s="601"/>
      <c r="U232" s="601"/>
      <c r="V232" s="597"/>
      <c r="W232" s="601"/>
      <c r="X232" s="601"/>
      <c r="Y232" s="601"/>
      <c r="Z232" s="601"/>
      <c r="AA232" s="597"/>
      <c r="AB232" s="601"/>
      <c r="AC232" s="601"/>
      <c r="AD232" s="601"/>
      <c r="AE232" s="601"/>
      <c r="AF232" s="597"/>
      <c r="AG232" s="601"/>
      <c r="AH232" s="601"/>
      <c r="AI232" s="601"/>
      <c r="AJ232" s="601"/>
      <c r="AK232" s="597"/>
      <c r="AL232" s="601"/>
      <c r="AM232" s="601"/>
      <c r="AN232" s="601"/>
      <c r="AO232" s="601"/>
      <c r="AP232" s="597"/>
      <c r="AQ232" s="601"/>
      <c r="AR232" s="602"/>
      <c r="AS232" s="602"/>
      <c r="AT232" s="602"/>
      <c r="AU232" s="603"/>
      <c r="AV232" s="601"/>
      <c r="AW232" s="601"/>
      <c r="AX232" s="602"/>
      <c r="AY232" s="602"/>
      <c r="AZ232" s="603"/>
      <c r="BA232" s="602"/>
      <c r="BB232" s="602"/>
      <c r="BC232" s="601"/>
      <c r="BD232" s="602"/>
      <c r="BE232" s="603"/>
      <c r="BF232" s="601"/>
      <c r="BG232" s="602"/>
      <c r="BH232" s="602"/>
      <c r="BI232" s="602"/>
      <c r="BJ232" s="603"/>
      <c r="BK232" s="602"/>
      <c r="BL232" s="602"/>
      <c r="BM232" s="602"/>
      <c r="BN232" s="602"/>
      <c r="BO232" s="603"/>
      <c r="BP232" s="602"/>
      <c r="BQ232" s="602"/>
      <c r="BR232" s="602"/>
      <c r="BS232" s="602"/>
      <c r="BT232" s="603"/>
      <c r="BU232" s="602"/>
      <c r="BV232" s="602"/>
      <c r="BW232" s="602"/>
      <c r="BX232" s="602"/>
      <c r="BY232" s="603"/>
      <c r="BZ232" s="602"/>
      <c r="CA232" s="602"/>
      <c r="CB232" s="602"/>
      <c r="CC232" s="602"/>
      <c r="CD232" s="603"/>
      <c r="CE232" s="602"/>
      <c r="CF232" s="602"/>
      <c r="CG232" s="602"/>
      <c r="CH232" s="602"/>
      <c r="CI232" s="603"/>
      <c r="CJ232" s="602"/>
      <c r="CK232" s="602"/>
      <c r="CL232" s="602"/>
      <c r="CM232" s="602"/>
      <c r="CN232" s="603"/>
      <c r="CO232" s="602"/>
      <c r="CP232" s="602"/>
      <c r="CQ232" s="602"/>
      <c r="CR232" s="602"/>
      <c r="CS232" s="603"/>
      <c r="CT232" s="602"/>
      <c r="CU232" s="602"/>
      <c r="CV232" s="602"/>
      <c r="CW232" s="602"/>
      <c r="CX232" s="603"/>
      <c r="CY232" s="1736"/>
      <c r="DA232" s="564"/>
      <c r="DB232" s="560"/>
      <c r="DC232" s="560"/>
    </row>
    <row r="233" spans="1:107" ht="12" hidden="1" customHeight="1" outlineLevel="2">
      <c r="A233" s="553" t="s">
        <v>772</v>
      </c>
      <c r="B233" s="553"/>
      <c r="C233" s="561"/>
      <c r="D233" s="562"/>
      <c r="E233" s="562"/>
      <c r="F233" s="596"/>
      <c r="G233" s="597"/>
      <c r="H233" s="571"/>
      <c r="I233" s="572"/>
      <c r="J233" s="572"/>
      <c r="K233" s="569"/>
      <c r="L233" s="573"/>
      <c r="M233" s="571">
        <v>75.5</v>
      </c>
      <c r="N233" s="572">
        <v>91.6</v>
      </c>
      <c r="O233" s="572">
        <v>109.5</v>
      </c>
      <c r="P233" s="569">
        <v>98.6</v>
      </c>
      <c r="Q233" s="570">
        <f>SUM(M233:P233)</f>
        <v>375.20000000000005</v>
      </c>
      <c r="R233" s="574">
        <v>109</v>
      </c>
      <c r="S233" s="574">
        <v>112.8</v>
      </c>
      <c r="T233" s="574">
        <v>105.8</v>
      </c>
      <c r="U233" s="574">
        <v>110.6</v>
      </c>
      <c r="V233" s="570">
        <f>SUM(R233:U233)</f>
        <v>438.20000000000005</v>
      </c>
      <c r="W233" s="574">
        <v>160.69999999999999</v>
      </c>
      <c r="X233" s="574">
        <v>149.80000000000001</v>
      </c>
      <c r="Y233" s="574">
        <v>135.5</v>
      </c>
      <c r="Z233" s="574">
        <v>147.80000000000001</v>
      </c>
      <c r="AA233" s="570">
        <f>SUM(W233:Z233)</f>
        <v>593.79999999999995</v>
      </c>
      <c r="AB233" s="574"/>
      <c r="AC233" s="574"/>
      <c r="AD233" s="574"/>
      <c r="AE233" s="574"/>
      <c r="AF233" s="570"/>
      <c r="AG233" s="576"/>
      <c r="AH233" s="576"/>
      <c r="AI233" s="576"/>
      <c r="AJ233" s="576"/>
      <c r="AK233" s="570"/>
      <c r="AL233" s="576"/>
      <c r="AM233" s="576"/>
      <c r="AN233" s="576"/>
      <c r="AO233" s="576"/>
      <c r="AP233" s="570"/>
      <c r="AQ233" s="576"/>
      <c r="AR233" s="577"/>
      <c r="AS233" s="577"/>
      <c r="AT233" s="577"/>
      <c r="AU233" s="578"/>
      <c r="AV233" s="576"/>
      <c r="AW233" s="576"/>
      <c r="AX233" s="577"/>
      <c r="AY233" s="577"/>
      <c r="AZ233" s="578"/>
      <c r="BA233" s="577"/>
      <c r="BB233" s="577"/>
      <c r="BC233" s="576"/>
      <c r="BD233" s="577"/>
      <c r="BE233" s="578"/>
      <c r="BF233" s="576"/>
      <c r="BG233" s="577"/>
      <c r="BH233" s="577"/>
      <c r="BI233" s="577"/>
      <c r="BJ233" s="578"/>
      <c r="BK233" s="577"/>
      <c r="BL233" s="577"/>
      <c r="BM233" s="577"/>
      <c r="BN233" s="577"/>
      <c r="BO233" s="578"/>
      <c r="BP233" s="577"/>
      <c r="BQ233" s="577"/>
      <c r="BR233" s="577"/>
      <c r="BS233" s="577"/>
      <c r="BT233" s="578"/>
      <c r="BU233" s="577"/>
      <c r="BV233" s="577"/>
      <c r="BW233" s="577"/>
      <c r="BX233" s="577"/>
      <c r="BY233" s="578"/>
      <c r="BZ233" s="577"/>
      <c r="CA233" s="577"/>
      <c r="CB233" s="577"/>
      <c r="CC233" s="577"/>
      <c r="CD233" s="578"/>
      <c r="CE233" s="577"/>
      <c r="CF233" s="577"/>
      <c r="CG233" s="577"/>
      <c r="CH233" s="577"/>
      <c r="CI233" s="578"/>
      <c r="CJ233" s="577"/>
      <c r="CK233" s="577"/>
      <c r="CL233" s="577"/>
      <c r="CM233" s="577"/>
      <c r="CN233" s="578"/>
      <c r="CO233" s="577"/>
      <c r="CP233" s="577"/>
      <c r="CQ233" s="577"/>
      <c r="CR233" s="577"/>
      <c r="CS233" s="578"/>
      <c r="CT233" s="577"/>
      <c r="CU233" s="577"/>
      <c r="CV233" s="577"/>
      <c r="CW233" s="577"/>
      <c r="CX233" s="578"/>
      <c r="CY233" s="1732"/>
      <c r="DA233" s="564"/>
      <c r="DB233" s="560"/>
      <c r="DC233" s="560"/>
    </row>
    <row r="234" spans="1:107" ht="12" hidden="1" customHeight="1" outlineLevel="2">
      <c r="A234" s="579" t="s">
        <v>773</v>
      </c>
      <c r="B234" s="579"/>
      <c r="C234" s="561"/>
      <c r="D234" s="562"/>
      <c r="E234" s="562"/>
      <c r="F234" s="596"/>
      <c r="G234" s="597"/>
      <c r="H234" s="584"/>
      <c r="I234" s="585"/>
      <c r="J234" s="585"/>
      <c r="K234" s="586"/>
      <c r="L234" s="584"/>
      <c r="M234" s="582" t="s">
        <v>131</v>
      </c>
      <c r="N234" s="583" t="s">
        <v>131</v>
      </c>
      <c r="O234" s="583" t="s">
        <v>131</v>
      </c>
      <c r="P234" s="580" t="s">
        <v>131</v>
      </c>
      <c r="Q234" s="581" t="s">
        <v>131</v>
      </c>
      <c r="R234" s="588">
        <f t="shared" ref="R234:AA234" si="271">R233/M233-1</f>
        <v>0.44370860927152322</v>
      </c>
      <c r="S234" s="588">
        <f t="shared" si="271"/>
        <v>0.23144104803493448</v>
      </c>
      <c r="T234" s="588">
        <f t="shared" si="271"/>
        <v>-3.3789954337899553E-2</v>
      </c>
      <c r="U234" s="588">
        <f t="shared" si="271"/>
        <v>0.1217038539553752</v>
      </c>
      <c r="V234" s="587">
        <f t="shared" si="271"/>
        <v>0.1679104477611939</v>
      </c>
      <c r="W234" s="588">
        <f t="shared" si="271"/>
        <v>0.47431192660550447</v>
      </c>
      <c r="X234" s="588">
        <f t="shared" si="271"/>
        <v>0.32801418439716334</v>
      </c>
      <c r="Y234" s="588">
        <f t="shared" si="271"/>
        <v>0.28071833648393207</v>
      </c>
      <c r="Z234" s="588">
        <f t="shared" si="271"/>
        <v>0.33634719710669092</v>
      </c>
      <c r="AA234" s="587">
        <f t="shared" si="271"/>
        <v>0.35508900045641245</v>
      </c>
      <c r="AB234" s="588"/>
      <c r="AC234" s="588"/>
      <c r="AD234" s="588"/>
      <c r="AE234" s="588"/>
      <c r="AF234" s="587"/>
      <c r="AG234" s="588"/>
      <c r="AH234" s="588"/>
      <c r="AI234" s="588"/>
      <c r="AJ234" s="588"/>
      <c r="AK234" s="587"/>
      <c r="AL234" s="588"/>
      <c r="AM234" s="588"/>
      <c r="AN234" s="588"/>
      <c r="AO234" s="588"/>
      <c r="AP234" s="587"/>
      <c r="AQ234" s="588"/>
      <c r="AR234" s="589"/>
      <c r="AS234" s="589"/>
      <c r="AT234" s="589"/>
      <c r="AU234" s="590"/>
      <c r="AV234" s="588"/>
      <c r="AW234" s="588"/>
      <c r="AX234" s="589"/>
      <c r="AY234" s="589"/>
      <c r="AZ234" s="590"/>
      <c r="BA234" s="589"/>
      <c r="BB234" s="589"/>
      <c r="BC234" s="588"/>
      <c r="BD234" s="589"/>
      <c r="BE234" s="590"/>
      <c r="BF234" s="588"/>
      <c r="BG234" s="589"/>
      <c r="BH234" s="589"/>
      <c r="BI234" s="589"/>
      <c r="BJ234" s="590"/>
      <c r="BK234" s="589"/>
      <c r="BL234" s="589"/>
      <c r="BM234" s="589"/>
      <c r="BN234" s="589"/>
      <c r="BO234" s="590"/>
      <c r="BP234" s="589"/>
      <c r="BQ234" s="589"/>
      <c r="BR234" s="589"/>
      <c r="BS234" s="589"/>
      <c r="BT234" s="590"/>
      <c r="BU234" s="589"/>
      <c r="BV234" s="589"/>
      <c r="BW234" s="589"/>
      <c r="BX234" s="589"/>
      <c r="BY234" s="590"/>
      <c r="BZ234" s="589"/>
      <c r="CA234" s="589"/>
      <c r="CB234" s="589"/>
      <c r="CC234" s="589"/>
      <c r="CD234" s="590"/>
      <c r="CE234" s="589"/>
      <c r="CF234" s="589"/>
      <c r="CG234" s="589"/>
      <c r="CH234" s="589"/>
      <c r="CI234" s="590"/>
      <c r="CJ234" s="589"/>
      <c r="CK234" s="589"/>
      <c r="CL234" s="589"/>
      <c r="CM234" s="589"/>
      <c r="CN234" s="590"/>
      <c r="CO234" s="589"/>
      <c r="CP234" s="589"/>
      <c r="CQ234" s="589"/>
      <c r="CR234" s="589"/>
      <c r="CS234" s="590"/>
      <c r="CT234" s="589"/>
      <c r="CU234" s="589"/>
      <c r="CV234" s="589"/>
      <c r="CW234" s="589"/>
      <c r="CX234" s="590"/>
      <c r="CY234" s="1733"/>
      <c r="DA234" s="564"/>
      <c r="DB234" s="560"/>
      <c r="DC234" s="560"/>
    </row>
    <row r="235" spans="1:107" ht="12" hidden="1" customHeight="1" outlineLevel="2">
      <c r="A235" s="579" t="s">
        <v>774</v>
      </c>
      <c r="B235" s="579"/>
      <c r="C235" s="561"/>
      <c r="D235" s="562"/>
      <c r="E235" s="562"/>
      <c r="F235" s="596"/>
      <c r="G235" s="597"/>
      <c r="H235" s="584"/>
      <c r="I235" s="585"/>
      <c r="J235" s="585"/>
      <c r="K235" s="586"/>
      <c r="L235" s="582"/>
      <c r="M235" s="582" t="s">
        <v>131</v>
      </c>
      <c r="N235" s="585">
        <f>N233/M233-1</f>
        <v>0.2132450331125828</v>
      </c>
      <c r="O235" s="585">
        <f>O233/N233-1</f>
        <v>0.1954148471615722</v>
      </c>
      <c r="P235" s="586">
        <f>P233/O233-1</f>
        <v>-9.9543378995433862E-2</v>
      </c>
      <c r="Q235" s="581" t="s">
        <v>131</v>
      </c>
      <c r="R235" s="588">
        <f>R233/P233-1</f>
        <v>0.10547667342799194</v>
      </c>
      <c r="S235" s="588">
        <f>S233/R233-1</f>
        <v>3.4862385321100975E-2</v>
      </c>
      <c r="T235" s="588">
        <f>T233/S233-1</f>
        <v>-6.2056737588652489E-2</v>
      </c>
      <c r="U235" s="588">
        <f>U233/T233-1</f>
        <v>4.5368620037807172E-2</v>
      </c>
      <c r="V235" s="581" t="s">
        <v>131</v>
      </c>
      <c r="W235" s="588">
        <f>W233/U233-1</f>
        <v>0.4529837251356239</v>
      </c>
      <c r="X235" s="588">
        <f>X233/W233-1</f>
        <v>-6.7828251400124273E-2</v>
      </c>
      <c r="Y235" s="588">
        <f>Y233/X233-1</f>
        <v>-9.5460614152202972E-2</v>
      </c>
      <c r="Z235" s="588">
        <f>Z233/Y233-1</f>
        <v>9.0774907749077594E-2</v>
      </c>
      <c r="AA235" s="581" t="s">
        <v>131</v>
      </c>
      <c r="AB235" s="588"/>
      <c r="AC235" s="588"/>
      <c r="AD235" s="588"/>
      <c r="AE235" s="588"/>
      <c r="AF235" s="581"/>
      <c r="AG235" s="588"/>
      <c r="AH235" s="588"/>
      <c r="AI235" s="588"/>
      <c r="AJ235" s="588"/>
      <c r="AK235" s="581"/>
      <c r="AL235" s="588"/>
      <c r="AM235" s="588"/>
      <c r="AN235" s="588"/>
      <c r="AO235" s="588"/>
      <c r="AP235" s="581"/>
      <c r="AQ235" s="588"/>
      <c r="AR235" s="589"/>
      <c r="AS235" s="589"/>
      <c r="AT235" s="589"/>
      <c r="AU235" s="592"/>
      <c r="AV235" s="588"/>
      <c r="AW235" s="588"/>
      <c r="AX235" s="589"/>
      <c r="AY235" s="589"/>
      <c r="AZ235" s="592"/>
      <c r="BA235" s="589"/>
      <c r="BB235" s="589"/>
      <c r="BC235" s="588"/>
      <c r="BD235" s="589"/>
      <c r="BE235" s="592"/>
      <c r="BF235" s="588"/>
      <c r="BG235" s="589"/>
      <c r="BH235" s="589"/>
      <c r="BI235" s="589"/>
      <c r="BJ235" s="592"/>
      <c r="BK235" s="589"/>
      <c r="BL235" s="589"/>
      <c r="BM235" s="589"/>
      <c r="BN235" s="589"/>
      <c r="BO235" s="592"/>
      <c r="BP235" s="589"/>
      <c r="BQ235" s="589"/>
      <c r="BR235" s="589"/>
      <c r="BS235" s="589"/>
      <c r="BT235" s="592"/>
      <c r="BU235" s="589"/>
      <c r="BV235" s="589"/>
      <c r="BW235" s="589"/>
      <c r="BX235" s="589"/>
      <c r="BY235" s="592"/>
      <c r="BZ235" s="589"/>
      <c r="CA235" s="589"/>
      <c r="CB235" s="589"/>
      <c r="CC235" s="589"/>
      <c r="CD235" s="592"/>
      <c r="CE235" s="589"/>
      <c r="CF235" s="589"/>
      <c r="CG235" s="589"/>
      <c r="CH235" s="589"/>
      <c r="CI235" s="592"/>
      <c r="CJ235" s="589"/>
      <c r="CK235" s="589"/>
      <c r="CL235" s="589"/>
      <c r="CM235" s="589"/>
      <c r="CN235" s="592"/>
      <c r="CO235" s="589"/>
      <c r="CP235" s="589"/>
      <c r="CQ235" s="589"/>
      <c r="CR235" s="589"/>
      <c r="CS235" s="592"/>
      <c r="CT235" s="589"/>
      <c r="CU235" s="589"/>
      <c r="CV235" s="589"/>
      <c r="CW235" s="589"/>
      <c r="CX235" s="592"/>
      <c r="CY235" s="1734"/>
      <c r="DA235" s="564"/>
      <c r="DB235" s="560"/>
      <c r="DC235" s="560"/>
    </row>
    <row r="236" spans="1:107" ht="6" hidden="1" customHeight="1" outlineLevel="2">
      <c r="A236" s="579"/>
      <c r="B236" s="579"/>
      <c r="C236" s="561"/>
      <c r="D236" s="562"/>
      <c r="E236" s="562"/>
      <c r="F236" s="596"/>
      <c r="G236" s="597"/>
      <c r="H236" s="594"/>
      <c r="I236" s="595"/>
      <c r="J236" s="595"/>
      <c r="K236" s="593"/>
      <c r="L236" s="598"/>
      <c r="M236" s="594"/>
      <c r="N236" s="595"/>
      <c r="O236" s="595"/>
      <c r="P236" s="593"/>
      <c r="Q236" s="597"/>
      <c r="R236" s="576"/>
      <c r="S236" s="576"/>
      <c r="T236" s="576"/>
      <c r="U236" s="576"/>
      <c r="V236" s="597"/>
      <c r="W236" s="576"/>
      <c r="X236" s="576"/>
      <c r="Y236" s="576"/>
      <c r="Z236" s="576"/>
      <c r="AA236" s="597"/>
      <c r="AB236" s="576"/>
      <c r="AC236" s="576"/>
      <c r="AD236" s="576"/>
      <c r="AE236" s="576"/>
      <c r="AF236" s="597"/>
      <c r="AG236" s="576"/>
      <c r="AH236" s="576"/>
      <c r="AI236" s="576"/>
      <c r="AJ236" s="576"/>
      <c r="AK236" s="597"/>
      <c r="AL236" s="576"/>
      <c r="AM236" s="576"/>
      <c r="AN236" s="576"/>
      <c r="AO236" s="576"/>
      <c r="AP236" s="597"/>
      <c r="AQ236" s="576"/>
      <c r="AR236" s="577"/>
      <c r="AS236" s="577"/>
      <c r="AT236" s="577"/>
      <c r="AU236" s="603"/>
      <c r="AV236" s="576"/>
      <c r="AW236" s="576"/>
      <c r="AX236" s="577"/>
      <c r="AY236" s="577"/>
      <c r="AZ236" s="603"/>
      <c r="BA236" s="577"/>
      <c r="BB236" s="577"/>
      <c r="BC236" s="576"/>
      <c r="BD236" s="577"/>
      <c r="BE236" s="603"/>
      <c r="BF236" s="576"/>
      <c r="BG236" s="577"/>
      <c r="BH236" s="577"/>
      <c r="BI236" s="577"/>
      <c r="BJ236" s="603"/>
      <c r="BK236" s="577"/>
      <c r="BL236" s="577"/>
      <c r="BM236" s="577"/>
      <c r="BN236" s="577"/>
      <c r="BO236" s="603"/>
      <c r="BP236" s="577"/>
      <c r="BQ236" s="577"/>
      <c r="BR236" s="577"/>
      <c r="BS236" s="577"/>
      <c r="BT236" s="603"/>
      <c r="BU236" s="577"/>
      <c r="BV236" s="577"/>
      <c r="BW236" s="577"/>
      <c r="BX236" s="577"/>
      <c r="BY236" s="603"/>
      <c r="BZ236" s="577"/>
      <c r="CA236" s="577"/>
      <c r="CB236" s="577"/>
      <c r="CC236" s="577"/>
      <c r="CD236" s="603"/>
      <c r="CE236" s="577"/>
      <c r="CF236" s="577"/>
      <c r="CG236" s="577"/>
      <c r="CH236" s="577"/>
      <c r="CI236" s="603"/>
      <c r="CJ236" s="577"/>
      <c r="CK236" s="577"/>
      <c r="CL236" s="577"/>
      <c r="CM236" s="577"/>
      <c r="CN236" s="603"/>
      <c r="CO236" s="577"/>
      <c r="CP236" s="577"/>
      <c r="CQ236" s="577"/>
      <c r="CR236" s="577"/>
      <c r="CS236" s="603"/>
      <c r="CT236" s="577"/>
      <c r="CU236" s="577"/>
      <c r="CV236" s="577"/>
      <c r="CW236" s="577"/>
      <c r="CX236" s="603"/>
      <c r="CY236" s="1736"/>
      <c r="DA236" s="564"/>
      <c r="DB236" s="560"/>
      <c r="DC236" s="560"/>
    </row>
    <row r="237" spans="1:107" ht="12" hidden="1" customHeight="1" outlineLevel="2">
      <c r="A237" s="553" t="s">
        <v>771</v>
      </c>
      <c r="B237" s="553"/>
      <c r="C237" s="561"/>
      <c r="D237" s="562"/>
      <c r="E237" s="562"/>
      <c r="F237" s="596"/>
      <c r="G237" s="597"/>
      <c r="H237" s="571"/>
      <c r="I237" s="572"/>
      <c r="J237" s="572"/>
      <c r="K237" s="569"/>
      <c r="L237" s="573"/>
      <c r="M237" s="571">
        <v>15.4</v>
      </c>
      <c r="N237" s="572">
        <v>16.5</v>
      </c>
      <c r="O237" s="572">
        <v>17.5</v>
      </c>
      <c r="P237" s="569">
        <v>19.5</v>
      </c>
      <c r="Q237" s="570">
        <f>SUM(M237:P237)</f>
        <v>68.900000000000006</v>
      </c>
      <c r="R237" s="574">
        <v>21.3</v>
      </c>
      <c r="S237" s="574">
        <v>23.3</v>
      </c>
      <c r="T237" s="574">
        <v>29.7</v>
      </c>
      <c r="U237" s="574">
        <v>29.3</v>
      </c>
      <c r="V237" s="570">
        <f>SUM(R237:U237)</f>
        <v>103.6</v>
      </c>
      <c r="W237" s="574">
        <v>24.2</v>
      </c>
      <c r="X237" s="574">
        <v>26.4</v>
      </c>
      <c r="Y237" s="574">
        <v>30.3</v>
      </c>
      <c r="Z237" s="574">
        <v>33.299999999999997</v>
      </c>
      <c r="AA237" s="570">
        <f>SUM(W237:Z237)</f>
        <v>114.19999999999999</v>
      </c>
      <c r="AB237" s="574"/>
      <c r="AC237" s="574"/>
      <c r="AD237" s="574"/>
      <c r="AE237" s="574"/>
      <c r="AF237" s="570"/>
      <c r="AG237" s="576"/>
      <c r="AH237" s="576"/>
      <c r="AI237" s="576"/>
      <c r="AJ237" s="576"/>
      <c r="AK237" s="570"/>
      <c r="AL237" s="576"/>
      <c r="AM237" s="576"/>
      <c r="AN237" s="576"/>
      <c r="AO237" s="576"/>
      <c r="AP237" s="570"/>
      <c r="AQ237" s="576"/>
      <c r="AR237" s="577"/>
      <c r="AS237" s="577"/>
      <c r="AT237" s="577"/>
      <c r="AU237" s="578"/>
      <c r="AV237" s="576"/>
      <c r="AW237" s="576"/>
      <c r="AX237" s="577"/>
      <c r="AY237" s="577"/>
      <c r="AZ237" s="578"/>
      <c r="BA237" s="577"/>
      <c r="BB237" s="577"/>
      <c r="BC237" s="576"/>
      <c r="BD237" s="577"/>
      <c r="BE237" s="578"/>
      <c r="BF237" s="576"/>
      <c r="BG237" s="577"/>
      <c r="BH237" s="577"/>
      <c r="BI237" s="577"/>
      <c r="BJ237" s="578"/>
      <c r="BK237" s="577"/>
      <c r="BL237" s="577"/>
      <c r="BM237" s="577"/>
      <c r="BN237" s="577"/>
      <c r="BO237" s="578"/>
      <c r="BP237" s="577"/>
      <c r="BQ237" s="577"/>
      <c r="BR237" s="577"/>
      <c r="BS237" s="577"/>
      <c r="BT237" s="578"/>
      <c r="BU237" s="577"/>
      <c r="BV237" s="577"/>
      <c r="BW237" s="577"/>
      <c r="BX237" s="577"/>
      <c r="BY237" s="578"/>
      <c r="BZ237" s="577"/>
      <c r="CA237" s="577"/>
      <c r="CB237" s="577"/>
      <c r="CC237" s="577"/>
      <c r="CD237" s="578"/>
      <c r="CE237" s="577"/>
      <c r="CF237" s="577"/>
      <c r="CG237" s="577"/>
      <c r="CH237" s="577"/>
      <c r="CI237" s="578"/>
      <c r="CJ237" s="577"/>
      <c r="CK237" s="577"/>
      <c r="CL237" s="577"/>
      <c r="CM237" s="577"/>
      <c r="CN237" s="578"/>
      <c r="CO237" s="577"/>
      <c r="CP237" s="577"/>
      <c r="CQ237" s="577"/>
      <c r="CR237" s="577"/>
      <c r="CS237" s="578"/>
      <c r="CT237" s="577"/>
      <c r="CU237" s="577"/>
      <c r="CV237" s="577"/>
      <c r="CW237" s="577"/>
      <c r="CX237" s="578"/>
      <c r="CY237" s="1732"/>
      <c r="DA237" s="564"/>
      <c r="DB237" s="560"/>
      <c r="DC237" s="560"/>
    </row>
    <row r="238" spans="1:107" ht="12" hidden="1" customHeight="1" outlineLevel="2">
      <c r="A238" s="579" t="s">
        <v>773</v>
      </c>
      <c r="B238" s="579"/>
      <c r="C238" s="561"/>
      <c r="D238" s="562"/>
      <c r="E238" s="562"/>
      <c r="F238" s="596"/>
      <c r="G238" s="597"/>
      <c r="H238" s="584"/>
      <c r="I238" s="585"/>
      <c r="J238" s="585"/>
      <c r="K238" s="586"/>
      <c r="L238" s="584"/>
      <c r="M238" s="582" t="s">
        <v>131</v>
      </c>
      <c r="N238" s="583" t="s">
        <v>131</v>
      </c>
      <c r="O238" s="583" t="s">
        <v>131</v>
      </c>
      <c r="P238" s="580" t="s">
        <v>131</v>
      </c>
      <c r="Q238" s="581" t="s">
        <v>131</v>
      </c>
      <c r="R238" s="588">
        <f t="shared" ref="R238:AA238" si="272">R237/M237-1</f>
        <v>0.38311688311688319</v>
      </c>
      <c r="S238" s="588">
        <f t="shared" si="272"/>
        <v>0.41212121212121211</v>
      </c>
      <c r="T238" s="588">
        <f t="shared" si="272"/>
        <v>0.69714285714285706</v>
      </c>
      <c r="U238" s="588">
        <f t="shared" si="272"/>
        <v>0.50256410256410255</v>
      </c>
      <c r="V238" s="587">
        <f t="shared" si="272"/>
        <v>0.50362844702467324</v>
      </c>
      <c r="W238" s="588">
        <f t="shared" si="272"/>
        <v>0.136150234741784</v>
      </c>
      <c r="X238" s="588">
        <f t="shared" si="272"/>
        <v>0.13304721030042899</v>
      </c>
      <c r="Y238" s="588">
        <f t="shared" si="272"/>
        <v>2.0202020202020332E-2</v>
      </c>
      <c r="Z238" s="588">
        <f t="shared" si="272"/>
        <v>0.13651877133105783</v>
      </c>
      <c r="AA238" s="587">
        <f t="shared" si="272"/>
        <v>0.10231660231660222</v>
      </c>
      <c r="AB238" s="588"/>
      <c r="AC238" s="588"/>
      <c r="AD238" s="588"/>
      <c r="AE238" s="588"/>
      <c r="AF238" s="587"/>
      <c r="AG238" s="588"/>
      <c r="AH238" s="588"/>
      <c r="AI238" s="588"/>
      <c r="AJ238" s="588"/>
      <c r="AK238" s="587"/>
      <c r="AL238" s="588"/>
      <c r="AM238" s="588"/>
      <c r="AN238" s="588"/>
      <c r="AO238" s="588"/>
      <c r="AP238" s="587"/>
      <c r="AQ238" s="588"/>
      <c r="AR238" s="589"/>
      <c r="AS238" s="589"/>
      <c r="AT238" s="589"/>
      <c r="AU238" s="590"/>
      <c r="AV238" s="588"/>
      <c r="AW238" s="588"/>
      <c r="AX238" s="589"/>
      <c r="AY238" s="589"/>
      <c r="AZ238" s="590"/>
      <c r="BA238" s="589"/>
      <c r="BB238" s="589"/>
      <c r="BC238" s="588"/>
      <c r="BD238" s="589"/>
      <c r="BE238" s="590"/>
      <c r="BF238" s="588"/>
      <c r="BG238" s="589"/>
      <c r="BH238" s="589"/>
      <c r="BI238" s="589"/>
      <c r="BJ238" s="590"/>
      <c r="BK238" s="589"/>
      <c r="BL238" s="589"/>
      <c r="BM238" s="589"/>
      <c r="BN238" s="589"/>
      <c r="BO238" s="590"/>
      <c r="BP238" s="589"/>
      <c r="BQ238" s="589"/>
      <c r="BR238" s="589"/>
      <c r="BS238" s="589"/>
      <c r="BT238" s="590"/>
      <c r="BU238" s="589"/>
      <c r="BV238" s="589"/>
      <c r="BW238" s="589"/>
      <c r="BX238" s="589"/>
      <c r="BY238" s="590"/>
      <c r="BZ238" s="589"/>
      <c r="CA238" s="589"/>
      <c r="CB238" s="589"/>
      <c r="CC238" s="589"/>
      <c r="CD238" s="590"/>
      <c r="CE238" s="589"/>
      <c r="CF238" s="589"/>
      <c r="CG238" s="589"/>
      <c r="CH238" s="589"/>
      <c r="CI238" s="590"/>
      <c r="CJ238" s="589"/>
      <c r="CK238" s="589"/>
      <c r="CL238" s="589"/>
      <c r="CM238" s="589"/>
      <c r="CN238" s="590"/>
      <c r="CO238" s="589"/>
      <c r="CP238" s="589"/>
      <c r="CQ238" s="589"/>
      <c r="CR238" s="589"/>
      <c r="CS238" s="590"/>
      <c r="CT238" s="589"/>
      <c r="CU238" s="589"/>
      <c r="CV238" s="589"/>
      <c r="CW238" s="589"/>
      <c r="CX238" s="590"/>
      <c r="CY238" s="1733"/>
      <c r="DA238" s="564"/>
      <c r="DB238" s="560"/>
      <c r="DC238" s="560"/>
    </row>
    <row r="239" spans="1:107" ht="12" hidden="1" customHeight="1" outlineLevel="2">
      <c r="A239" s="579" t="s">
        <v>774</v>
      </c>
      <c r="B239" s="579"/>
      <c r="C239" s="561"/>
      <c r="D239" s="562"/>
      <c r="E239" s="562"/>
      <c r="F239" s="596"/>
      <c r="G239" s="597"/>
      <c r="H239" s="584"/>
      <c r="I239" s="585"/>
      <c r="J239" s="585"/>
      <c r="K239" s="586"/>
      <c r="L239" s="582"/>
      <c r="M239" s="582" t="s">
        <v>131</v>
      </c>
      <c r="N239" s="585">
        <f>N237/M237-1</f>
        <v>7.1428571428571397E-2</v>
      </c>
      <c r="O239" s="585">
        <f>O237/N237-1</f>
        <v>6.0606060606060552E-2</v>
      </c>
      <c r="P239" s="586">
        <f>P237/O237-1</f>
        <v>0.11428571428571432</v>
      </c>
      <c r="Q239" s="581" t="s">
        <v>131</v>
      </c>
      <c r="R239" s="588">
        <f>R237/P237-1</f>
        <v>9.2307692307692424E-2</v>
      </c>
      <c r="S239" s="588">
        <f>S237/R237-1</f>
        <v>9.3896713615023497E-2</v>
      </c>
      <c r="T239" s="588">
        <f>T237/S237-1</f>
        <v>0.27467811158798283</v>
      </c>
      <c r="U239" s="588">
        <f>U237/T237-1</f>
        <v>-1.3468013468013407E-2</v>
      </c>
      <c r="V239" s="581" t="s">
        <v>131</v>
      </c>
      <c r="W239" s="588">
        <f>W237/U237-1</f>
        <v>-0.17406143344709901</v>
      </c>
      <c r="X239" s="588">
        <f>X237/W237-1</f>
        <v>9.0909090909090828E-2</v>
      </c>
      <c r="Y239" s="588">
        <f>Y237/X237-1</f>
        <v>0.14772727272727271</v>
      </c>
      <c r="Z239" s="588">
        <f>Z237/Y237-1</f>
        <v>9.9009900990098876E-2</v>
      </c>
      <c r="AA239" s="581" t="s">
        <v>131</v>
      </c>
      <c r="AB239" s="588"/>
      <c r="AC239" s="588"/>
      <c r="AD239" s="588"/>
      <c r="AE239" s="588"/>
      <c r="AF239" s="581"/>
      <c r="AG239" s="588"/>
      <c r="AH239" s="588"/>
      <c r="AI239" s="588"/>
      <c r="AJ239" s="588"/>
      <c r="AK239" s="581"/>
      <c r="AL239" s="588"/>
      <c r="AM239" s="588"/>
      <c r="AN239" s="588"/>
      <c r="AO239" s="588"/>
      <c r="AP239" s="581"/>
      <c r="AQ239" s="588"/>
      <c r="AR239" s="589"/>
      <c r="AS239" s="589"/>
      <c r="AT239" s="589"/>
      <c r="AU239" s="592"/>
      <c r="AV239" s="588"/>
      <c r="AW239" s="588"/>
      <c r="AX239" s="589"/>
      <c r="AY239" s="589"/>
      <c r="AZ239" s="592"/>
      <c r="BA239" s="589"/>
      <c r="BB239" s="589"/>
      <c r="BC239" s="588"/>
      <c r="BD239" s="589"/>
      <c r="BE239" s="592"/>
      <c r="BF239" s="588"/>
      <c r="BG239" s="589"/>
      <c r="BH239" s="589"/>
      <c r="BI239" s="589"/>
      <c r="BJ239" s="592"/>
      <c r="BK239" s="589"/>
      <c r="BL239" s="589"/>
      <c r="BM239" s="589"/>
      <c r="BN239" s="589"/>
      <c r="BO239" s="592"/>
      <c r="BP239" s="589"/>
      <c r="BQ239" s="589"/>
      <c r="BR239" s="589"/>
      <c r="BS239" s="589"/>
      <c r="BT239" s="592"/>
      <c r="BU239" s="589"/>
      <c r="BV239" s="589"/>
      <c r="BW239" s="589"/>
      <c r="BX239" s="589"/>
      <c r="BY239" s="592"/>
      <c r="BZ239" s="589"/>
      <c r="CA239" s="589"/>
      <c r="CB239" s="589"/>
      <c r="CC239" s="589"/>
      <c r="CD239" s="592"/>
      <c r="CE239" s="589"/>
      <c r="CF239" s="589"/>
      <c r="CG239" s="589"/>
      <c r="CH239" s="589"/>
      <c r="CI239" s="592"/>
      <c r="CJ239" s="589"/>
      <c r="CK239" s="589"/>
      <c r="CL239" s="589"/>
      <c r="CM239" s="589"/>
      <c r="CN239" s="592"/>
      <c r="CO239" s="589"/>
      <c r="CP239" s="589"/>
      <c r="CQ239" s="589"/>
      <c r="CR239" s="589"/>
      <c r="CS239" s="592"/>
      <c r="CT239" s="589"/>
      <c r="CU239" s="589"/>
      <c r="CV239" s="589"/>
      <c r="CW239" s="589"/>
      <c r="CX239" s="592"/>
      <c r="CY239" s="1734"/>
      <c r="DA239" s="564"/>
      <c r="DB239" s="560"/>
      <c r="DC239" s="560"/>
    </row>
    <row r="240" spans="1:107" ht="6" hidden="1" customHeight="1" outlineLevel="2">
      <c r="A240" s="579"/>
      <c r="B240" s="579"/>
      <c r="C240" s="561"/>
      <c r="D240" s="562"/>
      <c r="E240" s="562"/>
      <c r="F240" s="596"/>
      <c r="G240" s="597"/>
      <c r="H240" s="598"/>
      <c r="I240" s="599"/>
      <c r="J240" s="599"/>
      <c r="K240" s="596"/>
      <c r="L240" s="598"/>
      <c r="M240" s="600"/>
      <c r="N240" s="599"/>
      <c r="O240" s="599"/>
      <c r="P240" s="596"/>
      <c r="Q240" s="597"/>
      <c r="R240" s="601"/>
      <c r="S240" s="601"/>
      <c r="T240" s="601"/>
      <c r="U240" s="601"/>
      <c r="V240" s="597"/>
      <c r="W240" s="601"/>
      <c r="X240" s="601"/>
      <c r="Y240" s="601"/>
      <c r="Z240" s="601"/>
      <c r="AA240" s="597"/>
      <c r="AB240" s="601"/>
      <c r="AC240" s="601"/>
      <c r="AD240" s="601"/>
      <c r="AE240" s="601"/>
      <c r="AF240" s="597"/>
      <c r="AG240" s="601"/>
      <c r="AH240" s="601"/>
      <c r="AI240" s="601"/>
      <c r="AJ240" s="601"/>
      <c r="AK240" s="597"/>
      <c r="AL240" s="601"/>
      <c r="AM240" s="601"/>
      <c r="AN240" s="601"/>
      <c r="AO240" s="601"/>
      <c r="AP240" s="597"/>
      <c r="AQ240" s="601"/>
      <c r="AR240" s="602"/>
      <c r="AS240" s="602"/>
      <c r="AT240" s="602"/>
      <c r="AU240" s="603"/>
      <c r="AV240" s="601"/>
      <c r="AW240" s="601"/>
      <c r="AX240" s="602"/>
      <c r="AY240" s="602"/>
      <c r="AZ240" s="603"/>
      <c r="BA240" s="602"/>
      <c r="BB240" s="602"/>
      <c r="BC240" s="601"/>
      <c r="BD240" s="602"/>
      <c r="BE240" s="603"/>
      <c r="BF240" s="601"/>
      <c r="BG240" s="602"/>
      <c r="BH240" s="602"/>
      <c r="BI240" s="602"/>
      <c r="BJ240" s="603"/>
      <c r="BK240" s="602"/>
      <c r="BL240" s="602"/>
      <c r="BM240" s="602"/>
      <c r="BN240" s="602"/>
      <c r="BO240" s="603"/>
      <c r="BP240" s="602"/>
      <c r="BQ240" s="602"/>
      <c r="BR240" s="602"/>
      <c r="BS240" s="602"/>
      <c r="BT240" s="603"/>
      <c r="BU240" s="602"/>
      <c r="BV240" s="602"/>
      <c r="BW240" s="602"/>
      <c r="BX240" s="602"/>
      <c r="BY240" s="603"/>
      <c r="BZ240" s="602"/>
      <c r="CA240" s="602"/>
      <c r="CB240" s="602"/>
      <c r="CC240" s="602"/>
      <c r="CD240" s="603"/>
      <c r="CE240" s="602"/>
      <c r="CF240" s="602"/>
      <c r="CG240" s="602"/>
      <c r="CH240" s="602"/>
      <c r="CI240" s="603"/>
      <c r="CJ240" s="602"/>
      <c r="CK240" s="602"/>
      <c r="CL240" s="602"/>
      <c r="CM240" s="602"/>
      <c r="CN240" s="603"/>
      <c r="CO240" s="602"/>
      <c r="CP240" s="602"/>
      <c r="CQ240" s="602"/>
      <c r="CR240" s="602"/>
      <c r="CS240" s="603"/>
      <c r="CT240" s="602"/>
      <c r="CU240" s="602"/>
      <c r="CV240" s="602"/>
      <c r="CW240" s="602"/>
      <c r="CX240" s="603"/>
      <c r="CY240" s="1736"/>
      <c r="DA240" s="564"/>
      <c r="DB240" s="560"/>
      <c r="DC240" s="560"/>
    </row>
    <row r="241" spans="1:107" ht="12" hidden="1" customHeight="1" outlineLevel="1">
      <c r="A241" s="553" t="s">
        <v>697</v>
      </c>
      <c r="B241" s="553"/>
      <c r="C241" s="561"/>
      <c r="D241" s="562"/>
      <c r="E241" s="562"/>
      <c r="F241" s="569">
        <f>291.886-SUM(C241:E241)</f>
        <v>291.88600000000002</v>
      </c>
      <c r="G241" s="570">
        <f>SUM(C241:F241)</f>
        <v>291.88600000000002</v>
      </c>
      <c r="H241" s="571">
        <v>73.991</v>
      </c>
      <c r="I241" s="572">
        <v>75.590999999999994</v>
      </c>
      <c r="J241" s="572">
        <v>78.56</v>
      </c>
      <c r="K241" s="569">
        <f>312.6-SUM(H241:J241)</f>
        <v>84.458000000000027</v>
      </c>
      <c r="L241" s="573">
        <f>SUM(H241:K241)</f>
        <v>312.60000000000002</v>
      </c>
      <c r="M241" s="571">
        <v>90.884</v>
      </c>
      <c r="N241" s="572">
        <v>108.098</v>
      </c>
      <c r="O241" s="572">
        <v>126.95399999999999</v>
      </c>
      <c r="P241" s="569">
        <f>444.1-SUM(M241:O241)</f>
        <v>118.16400000000004</v>
      </c>
      <c r="Q241" s="570">
        <f>SUM(M241:P241)</f>
        <v>444.1</v>
      </c>
      <c r="R241" s="574">
        <v>130.291</v>
      </c>
      <c r="S241" s="574">
        <v>136.084</v>
      </c>
      <c r="T241" s="574">
        <v>135.548</v>
      </c>
      <c r="U241" s="574">
        <f>541.8-SUM(R241:T241)</f>
        <v>139.87699999999995</v>
      </c>
      <c r="V241" s="570">
        <f>SUM(R241:U241)</f>
        <v>541.79999999999995</v>
      </c>
      <c r="W241" s="574">
        <v>184.88300000000001</v>
      </c>
      <c r="X241" s="574">
        <v>176.22200000000001</v>
      </c>
      <c r="Y241" s="574">
        <v>165.85</v>
      </c>
      <c r="Z241" s="574">
        <f>708.035-SUM(W241:Y241)</f>
        <v>181.07999999999993</v>
      </c>
      <c r="AA241" s="570">
        <f>SUM(W241:Z241)</f>
        <v>708.03499999999997</v>
      </c>
      <c r="AB241" s="575">
        <f>Z241*(1+AB243)</f>
        <v>183.79619999999991</v>
      </c>
      <c r="AC241" s="575">
        <f>AB241*(1+AC243)</f>
        <v>186.55314299999989</v>
      </c>
      <c r="AD241" s="575">
        <f>AC241*(1+AD243)</f>
        <v>189.35144014499988</v>
      </c>
      <c r="AE241" s="575">
        <f>AD241*(1+AE243)</f>
        <v>192.19171174717488</v>
      </c>
      <c r="AF241" s="570">
        <f>SUM(AB241:AE241)</f>
        <v>751.89249489217457</v>
      </c>
      <c r="AG241" s="576">
        <f>AE241*(1+AG243)</f>
        <v>195.0745874233825</v>
      </c>
      <c r="AH241" s="576">
        <f>AG241*(1+AH243)</f>
        <v>198.0007062347332</v>
      </c>
      <c r="AI241" s="576">
        <f>AH241*(1+AI243)</f>
        <v>200.97071682825418</v>
      </c>
      <c r="AJ241" s="576">
        <f>AI241*(1+AJ243)</f>
        <v>203.98527758067797</v>
      </c>
      <c r="AK241" s="570">
        <f>SUM(AG241:AJ241)</f>
        <v>798.03128806704785</v>
      </c>
      <c r="AL241" s="576">
        <f>AJ241*(1+AL243)</f>
        <v>207.04505674438812</v>
      </c>
      <c r="AM241" s="576">
        <f>AL241*(1+AM243)</f>
        <v>210.15073259555393</v>
      </c>
      <c r="AN241" s="576">
        <f>AM241*(1+AN243)</f>
        <v>213.30299358448721</v>
      </c>
      <c r="AO241" s="576">
        <f>AN241*(1+AO243)</f>
        <v>216.50253848825449</v>
      </c>
      <c r="AP241" s="570">
        <f>SUM(AL241:AO241)</f>
        <v>847.00132141268375</v>
      </c>
      <c r="AQ241" s="576">
        <f>AO241*(1+AQ243)</f>
        <v>219.7500765655783</v>
      </c>
      <c r="AR241" s="577">
        <f>AQ241*(1+AR243)</f>
        <v>223.04632771406196</v>
      </c>
      <c r="AS241" s="577">
        <f>AR241*(1+AS243)</f>
        <v>226.39202262977287</v>
      </c>
      <c r="AT241" s="577">
        <f>AS241*(1+AT243)</f>
        <v>229.78790296921943</v>
      </c>
      <c r="AU241" s="578">
        <f>SUM(AQ241:AT241)</f>
        <v>898.97632987863255</v>
      </c>
      <c r="AV241" s="576">
        <f>AT241*(1+AV243)</f>
        <v>233.23472151375771</v>
      </c>
      <c r="AW241" s="576">
        <f>AV241*(1+AW243)</f>
        <v>236.73324233646406</v>
      </c>
      <c r="AX241" s="577">
        <f>AW241*(1+AX243)</f>
        <v>240.284240971511</v>
      </c>
      <c r="AY241" s="577">
        <f>AX241*(1+AY243)</f>
        <v>243.88850458608363</v>
      </c>
      <c r="AZ241" s="578">
        <f>SUM(AV241:AY241)</f>
        <v>954.1407094078163</v>
      </c>
      <c r="BA241" s="577">
        <f>AY241*(1+BA243)</f>
        <v>247.54683215487486</v>
      </c>
      <c r="BB241" s="577">
        <f>BA241*(1+BB243)</f>
        <v>251.26003463719798</v>
      </c>
      <c r="BC241" s="576">
        <f>BB241*(1+BC243)</f>
        <v>255.02893515675592</v>
      </c>
      <c r="BD241" s="577">
        <f>BC241*(1+BD243)</f>
        <v>258.85436918410721</v>
      </c>
      <c r="BE241" s="578">
        <f>SUM(BA241:BD241)</f>
        <v>1012.6901711329359</v>
      </c>
      <c r="BF241" s="576">
        <f>BD241*(1+BF243)</f>
        <v>262.7371847218688</v>
      </c>
      <c r="BG241" s="577">
        <f>BF241*(1+BG243)</f>
        <v>266.67824249269682</v>
      </c>
      <c r="BH241" s="577">
        <f>BG241*(1+BH243)</f>
        <v>270.67841613008727</v>
      </c>
      <c r="BI241" s="577">
        <f>BH241*(1+BI243)</f>
        <v>274.73859237203857</v>
      </c>
      <c r="BJ241" s="578">
        <f>SUM(BF241:BI241)</f>
        <v>1074.8324357166914</v>
      </c>
      <c r="BK241" s="577">
        <f>BI241*(1+BK243)</f>
        <v>278.85967125761914</v>
      </c>
      <c r="BL241" s="577">
        <f>BK241*(1+BL243)</f>
        <v>283.04256632648338</v>
      </c>
      <c r="BM241" s="577">
        <f>BL241*(1+BM243)</f>
        <v>287.28820482138059</v>
      </c>
      <c r="BN241" s="577">
        <f>BM241*(1+BN243)</f>
        <v>291.59752789370128</v>
      </c>
      <c r="BO241" s="578">
        <f>SUM(BK241:BN241)</f>
        <v>1140.7879702991843</v>
      </c>
      <c r="BP241" s="577">
        <f>BN241*(1+BP243)</f>
        <v>295.97149081210677</v>
      </c>
      <c r="BQ241" s="577">
        <f>BP241*(1+BQ243)</f>
        <v>300.41106317428836</v>
      </c>
      <c r="BR241" s="577">
        <f>BQ241*(1+BR243)</f>
        <v>304.91722912190266</v>
      </c>
      <c r="BS241" s="577">
        <f>BR241*(1+BS243)</f>
        <v>309.49098755873115</v>
      </c>
      <c r="BT241" s="578">
        <f>SUM(BP241:BS241)</f>
        <v>1210.7907706670289</v>
      </c>
      <c r="BU241" s="577">
        <f>BS241*(1+BU243)</f>
        <v>314.13335237211209</v>
      </c>
      <c r="BV241" s="577">
        <f>BU241*(1+BV243)</f>
        <v>318.84535265769375</v>
      </c>
      <c r="BW241" s="577">
        <f>BV241*(1+BW243)</f>
        <v>323.62803294755912</v>
      </c>
      <c r="BX241" s="577">
        <f>BW241*(1+BX243)</f>
        <v>328.48245344177246</v>
      </c>
      <c r="BY241" s="578">
        <f>SUM(BU241:BX241)</f>
        <v>1285.0891914191375</v>
      </c>
      <c r="BZ241" s="577">
        <f>BX241*(1+BZ243)</f>
        <v>333.40969024339904</v>
      </c>
      <c r="CA241" s="577">
        <f>BZ241*(1+CA243)</f>
        <v>338.41083559704998</v>
      </c>
      <c r="CB241" s="577">
        <f>CA241*(1+CB243)</f>
        <v>343.48699813100569</v>
      </c>
      <c r="CC241" s="577">
        <f>CB241*(1+CC243)</f>
        <v>348.63930310297076</v>
      </c>
      <c r="CD241" s="578">
        <f>SUM(BZ241:CC241)</f>
        <v>1363.9468270744255</v>
      </c>
      <c r="CE241" s="577">
        <f>CC241*(1+CE243)</f>
        <v>353.86889264951526</v>
      </c>
      <c r="CF241" s="577">
        <f>CE241*(1+CF243)</f>
        <v>359.17692603925798</v>
      </c>
      <c r="CG241" s="577">
        <f>CF241*(1+CG243)</f>
        <v>364.56457992984679</v>
      </c>
      <c r="CH241" s="577">
        <f>CG241*(1+CH243)</f>
        <v>370.03304862879446</v>
      </c>
      <c r="CI241" s="578">
        <f>SUM(CE241:CH241)</f>
        <v>1447.6434472474143</v>
      </c>
      <c r="CJ241" s="577">
        <f>CH241*(1+CJ243)</f>
        <v>375.58354435822633</v>
      </c>
      <c r="CK241" s="577">
        <f>CJ241*(1+CK243)</f>
        <v>381.21729752359971</v>
      </c>
      <c r="CL241" s="577">
        <f>CK241*(1+CL243)</f>
        <v>386.93555698645366</v>
      </c>
      <c r="CM241" s="577">
        <f>CL241*(1+CM243)</f>
        <v>392.73959034125045</v>
      </c>
      <c r="CN241" s="578">
        <f>SUM(CJ241:CM241)</f>
        <v>1536.4759892095301</v>
      </c>
      <c r="CO241" s="577">
        <f>CM241*(1+CO243)</f>
        <v>398.63068419636915</v>
      </c>
      <c r="CP241" s="577">
        <f>CO241*(1+CP243)</f>
        <v>404.61014445931465</v>
      </c>
      <c r="CQ241" s="577">
        <f>CP241*(1+CQ243)</f>
        <v>410.67929662620435</v>
      </c>
      <c r="CR241" s="577">
        <f>CQ241*(1+CR243)</f>
        <v>416.83948607559739</v>
      </c>
      <c r="CS241" s="578">
        <f>SUM(CO241:CR241)</f>
        <v>1630.7596113574855</v>
      </c>
      <c r="CT241" s="577">
        <f>CR241*(1+CT243)</f>
        <v>423.0920783667313</v>
      </c>
      <c r="CU241" s="577">
        <f>CT241*(1+CU243)</f>
        <v>429.43845954223224</v>
      </c>
      <c r="CV241" s="577">
        <f>CU241*(1+CV243)</f>
        <v>435.8800364353657</v>
      </c>
      <c r="CW241" s="577">
        <f>CV241*(1+CW243)</f>
        <v>442.41823698189614</v>
      </c>
      <c r="CX241" s="578">
        <f>SUM(CT241:CW241)</f>
        <v>1730.8288113262254</v>
      </c>
      <c r="CY241" s="1732"/>
      <c r="DA241" s="564"/>
      <c r="DB241" s="560"/>
      <c r="DC241" s="560"/>
    </row>
    <row r="242" spans="1:107" ht="12" hidden="1" customHeight="1" outlineLevel="1">
      <c r="A242" s="579" t="s">
        <v>622</v>
      </c>
      <c r="B242" s="579"/>
      <c r="C242" s="561"/>
      <c r="D242" s="562"/>
      <c r="E242" s="562"/>
      <c r="F242" s="580" t="s">
        <v>131</v>
      </c>
      <c r="G242" s="581" t="s">
        <v>131</v>
      </c>
      <c r="H242" s="582" t="s">
        <v>131</v>
      </c>
      <c r="I242" s="583" t="s">
        <v>131</v>
      </c>
      <c r="J242" s="583" t="s">
        <v>131</v>
      </c>
      <c r="K242" s="580" t="s">
        <v>131</v>
      </c>
      <c r="L242" s="582" t="s">
        <v>131</v>
      </c>
      <c r="M242" s="584">
        <f t="shared" ref="M242:AZ242" si="273">M241/H241-1</f>
        <v>0.22831155140490056</v>
      </c>
      <c r="N242" s="585">
        <f t="shared" si="273"/>
        <v>0.43003796748290157</v>
      </c>
      <c r="O242" s="585">
        <f t="shared" si="273"/>
        <v>0.61601323828920562</v>
      </c>
      <c r="P242" s="586">
        <f t="shared" si="273"/>
        <v>0.39908593620497768</v>
      </c>
      <c r="Q242" s="587">
        <f t="shared" si="273"/>
        <v>0.42066538707613566</v>
      </c>
      <c r="R242" s="588">
        <f t="shared" si="273"/>
        <v>0.43359667268166002</v>
      </c>
      <c r="S242" s="588">
        <f t="shared" si="273"/>
        <v>0.25889470665507219</v>
      </c>
      <c r="T242" s="588">
        <f t="shared" si="273"/>
        <v>6.7693810356507234E-2</v>
      </c>
      <c r="U242" s="588">
        <f t="shared" si="273"/>
        <v>0.18375308892725273</v>
      </c>
      <c r="V242" s="587">
        <f t="shared" si="273"/>
        <v>0.219995496509795</v>
      </c>
      <c r="W242" s="588">
        <f t="shared" si="273"/>
        <v>0.41900054493403238</v>
      </c>
      <c r="X242" s="588">
        <f t="shared" si="273"/>
        <v>0.29495017783133948</v>
      </c>
      <c r="Y242" s="588">
        <f t="shared" si="273"/>
        <v>0.22355180452680967</v>
      </c>
      <c r="Z242" s="588">
        <f t="shared" si="273"/>
        <v>0.29456594007592374</v>
      </c>
      <c r="AA242" s="587">
        <f t="shared" si="273"/>
        <v>0.30681985972683656</v>
      </c>
      <c r="AB242" s="588">
        <f t="shared" si="273"/>
        <v>-5.8783122298973201E-3</v>
      </c>
      <c r="AC242" s="588">
        <f t="shared" si="273"/>
        <v>5.8625727775192038E-2</v>
      </c>
      <c r="AD242" s="588">
        <f t="shared" si="273"/>
        <v>0.14170298549894422</v>
      </c>
      <c r="AE242" s="588">
        <f t="shared" si="273"/>
        <v>6.1363550624999652E-2</v>
      </c>
      <c r="AF242" s="587">
        <f t="shared" si="273"/>
        <v>6.1942552122669969E-2</v>
      </c>
      <c r="AG242" s="588">
        <f t="shared" si="273"/>
        <v>6.1363550624999874E-2</v>
      </c>
      <c r="AH242" s="588">
        <f t="shared" si="273"/>
        <v>6.1363550624999652E-2</v>
      </c>
      <c r="AI242" s="588">
        <f t="shared" si="273"/>
        <v>6.1363550624999652E-2</v>
      </c>
      <c r="AJ242" s="588">
        <f t="shared" si="273"/>
        <v>6.1363550624999652E-2</v>
      </c>
      <c r="AK242" s="587">
        <f t="shared" si="273"/>
        <v>6.1363550624999652E-2</v>
      </c>
      <c r="AL242" s="588">
        <f t="shared" si="273"/>
        <v>6.136355062499943E-2</v>
      </c>
      <c r="AM242" s="588">
        <f t="shared" si="273"/>
        <v>6.1363550624999652E-2</v>
      </c>
      <c r="AN242" s="588">
        <f t="shared" si="273"/>
        <v>6.1363550624999652E-2</v>
      </c>
      <c r="AO242" s="588">
        <f t="shared" si="273"/>
        <v>6.136355062499943E-2</v>
      </c>
      <c r="AP242" s="587">
        <f t="shared" si="273"/>
        <v>6.1363550624999652E-2</v>
      </c>
      <c r="AQ242" s="588">
        <f t="shared" si="273"/>
        <v>6.1363550624999652E-2</v>
      </c>
      <c r="AR242" s="589">
        <f t="shared" si="273"/>
        <v>6.1363550624999652E-2</v>
      </c>
      <c r="AS242" s="589">
        <f t="shared" si="273"/>
        <v>6.1363550624999652E-2</v>
      </c>
      <c r="AT242" s="589">
        <f t="shared" si="273"/>
        <v>6.1363550624999652E-2</v>
      </c>
      <c r="AU242" s="590">
        <f t="shared" si="273"/>
        <v>6.1363550624999652E-2</v>
      </c>
      <c r="AV242" s="588">
        <f t="shared" si="273"/>
        <v>6.1363550624999652E-2</v>
      </c>
      <c r="AW242" s="588">
        <f t="shared" si="273"/>
        <v>6.1363550624999652E-2</v>
      </c>
      <c r="AX242" s="589">
        <f t="shared" si="273"/>
        <v>6.1363550624999652E-2</v>
      </c>
      <c r="AY242" s="589">
        <f t="shared" si="273"/>
        <v>6.1363550624999652E-2</v>
      </c>
      <c r="AZ242" s="590">
        <f t="shared" si="273"/>
        <v>6.136355062499943E-2</v>
      </c>
      <c r="BA242" s="589">
        <f t="shared" ref="BA242:BJ242" si="274">BA241/AV241-1</f>
        <v>6.1363550624999652E-2</v>
      </c>
      <c r="BB242" s="589">
        <f t="shared" si="274"/>
        <v>6.1363550624999652E-2</v>
      </c>
      <c r="BC242" s="588">
        <f t="shared" si="274"/>
        <v>6.1363550624999652E-2</v>
      </c>
      <c r="BD242" s="589">
        <f t="shared" si="274"/>
        <v>6.1363550624999652E-2</v>
      </c>
      <c r="BE242" s="590">
        <f t="shared" si="274"/>
        <v>6.1363550624999652E-2</v>
      </c>
      <c r="BF242" s="588">
        <f t="shared" si="274"/>
        <v>6.1363550624999652E-2</v>
      </c>
      <c r="BG242" s="589">
        <f t="shared" si="274"/>
        <v>6.1363550624999652E-2</v>
      </c>
      <c r="BH242" s="589">
        <f t="shared" si="274"/>
        <v>6.1363550624999652E-2</v>
      </c>
      <c r="BI242" s="589">
        <f t="shared" si="274"/>
        <v>6.1363550624999874E-2</v>
      </c>
      <c r="BJ242" s="590">
        <f t="shared" si="274"/>
        <v>6.1363550624999652E-2</v>
      </c>
      <c r="BK242" s="589">
        <f t="shared" ref="BK242:BT242" si="275">BK241/BF241-1</f>
        <v>6.1363550624999874E-2</v>
      </c>
      <c r="BL242" s="589">
        <f t="shared" si="275"/>
        <v>6.1363550624999652E-2</v>
      </c>
      <c r="BM242" s="589">
        <f t="shared" si="275"/>
        <v>6.1363550624999652E-2</v>
      </c>
      <c r="BN242" s="589">
        <f t="shared" si="275"/>
        <v>6.1363550624999652E-2</v>
      </c>
      <c r="BO242" s="590">
        <f t="shared" si="275"/>
        <v>6.1363550624999652E-2</v>
      </c>
      <c r="BP242" s="589">
        <f t="shared" si="275"/>
        <v>6.136355062499943E-2</v>
      </c>
      <c r="BQ242" s="589">
        <f t="shared" si="275"/>
        <v>6.1363550624999652E-2</v>
      </c>
      <c r="BR242" s="589">
        <f t="shared" si="275"/>
        <v>6.1363550624999652E-2</v>
      </c>
      <c r="BS242" s="589">
        <f t="shared" si="275"/>
        <v>6.1363550624999652E-2</v>
      </c>
      <c r="BT242" s="590">
        <f t="shared" si="275"/>
        <v>6.1363550624999652E-2</v>
      </c>
      <c r="BU242" s="589">
        <f t="shared" ref="BU242:CD242" si="276">BU241/BP241-1</f>
        <v>6.1363550624999652E-2</v>
      </c>
      <c r="BV242" s="589">
        <f t="shared" si="276"/>
        <v>6.1363550624999652E-2</v>
      </c>
      <c r="BW242" s="589">
        <f t="shared" si="276"/>
        <v>6.136355062499943E-2</v>
      </c>
      <c r="BX242" s="589">
        <f t="shared" si="276"/>
        <v>6.1363550624999652E-2</v>
      </c>
      <c r="BY242" s="590">
        <f t="shared" si="276"/>
        <v>6.1363550624999652E-2</v>
      </c>
      <c r="BZ242" s="589">
        <f t="shared" si="276"/>
        <v>6.1363550624999652E-2</v>
      </c>
      <c r="CA242" s="589">
        <f t="shared" si="276"/>
        <v>6.1363550624999652E-2</v>
      </c>
      <c r="CB242" s="589">
        <f t="shared" si="276"/>
        <v>6.1363550624999652E-2</v>
      </c>
      <c r="CC242" s="589">
        <f t="shared" si="276"/>
        <v>6.1363550624999652E-2</v>
      </c>
      <c r="CD242" s="590">
        <f t="shared" si="276"/>
        <v>6.1363550624999652E-2</v>
      </c>
      <c r="CE242" s="589">
        <f t="shared" ref="CE242:CN242" si="277">CE241/BZ241-1</f>
        <v>6.136355062499943E-2</v>
      </c>
      <c r="CF242" s="589">
        <f t="shared" si="277"/>
        <v>6.1363550624999652E-2</v>
      </c>
      <c r="CG242" s="589">
        <f t="shared" si="277"/>
        <v>6.1363550624999652E-2</v>
      </c>
      <c r="CH242" s="589">
        <f t="shared" si="277"/>
        <v>6.136355062499943E-2</v>
      </c>
      <c r="CI242" s="590">
        <f t="shared" si="277"/>
        <v>6.136355062499943E-2</v>
      </c>
      <c r="CJ242" s="589">
        <f t="shared" si="277"/>
        <v>6.1363550624999652E-2</v>
      </c>
      <c r="CK242" s="589">
        <f t="shared" si="277"/>
        <v>6.1363550624999652E-2</v>
      </c>
      <c r="CL242" s="589">
        <f t="shared" si="277"/>
        <v>6.1363550624999652E-2</v>
      </c>
      <c r="CM242" s="589">
        <f t="shared" si="277"/>
        <v>6.1363550624999652E-2</v>
      </c>
      <c r="CN242" s="590">
        <f t="shared" si="277"/>
        <v>6.1363550624999652E-2</v>
      </c>
      <c r="CO242" s="589">
        <f t="shared" ref="CO242:CX242" si="278">CO241/CJ241-1</f>
        <v>6.1363550624999652E-2</v>
      </c>
      <c r="CP242" s="589">
        <f t="shared" si="278"/>
        <v>6.1363550624999652E-2</v>
      </c>
      <c r="CQ242" s="589">
        <f t="shared" si="278"/>
        <v>6.1363550624999652E-2</v>
      </c>
      <c r="CR242" s="589">
        <f t="shared" si="278"/>
        <v>6.1363550624999652E-2</v>
      </c>
      <c r="CS242" s="590">
        <f t="shared" si="278"/>
        <v>6.1363550624999652E-2</v>
      </c>
      <c r="CT242" s="589">
        <f t="shared" si="278"/>
        <v>6.1363550624999652E-2</v>
      </c>
      <c r="CU242" s="589">
        <f t="shared" si="278"/>
        <v>6.1363550624999652E-2</v>
      </c>
      <c r="CV242" s="589">
        <f t="shared" si="278"/>
        <v>6.1363550624999652E-2</v>
      </c>
      <c r="CW242" s="589">
        <f t="shared" si="278"/>
        <v>6.1363550624999652E-2</v>
      </c>
      <c r="CX242" s="590">
        <f t="shared" si="278"/>
        <v>6.1363550624999652E-2</v>
      </c>
      <c r="CY242" s="1733"/>
      <c r="DA242" s="564"/>
      <c r="DB242" s="560"/>
      <c r="DC242" s="560"/>
    </row>
    <row r="243" spans="1:107" ht="12" hidden="1" customHeight="1" outlineLevel="1">
      <c r="A243" s="579" t="s">
        <v>709</v>
      </c>
      <c r="B243" s="579"/>
      <c r="C243" s="561"/>
      <c r="D243" s="562"/>
      <c r="E243" s="562"/>
      <c r="F243" s="586" t="s">
        <v>131</v>
      </c>
      <c r="G243" s="581" t="s">
        <v>131</v>
      </c>
      <c r="H243" s="582" t="s">
        <v>131</v>
      </c>
      <c r="I243" s="585">
        <f>I241/H241-1</f>
        <v>2.1624251598167277E-2</v>
      </c>
      <c r="J243" s="585">
        <f>J241/I241-1</f>
        <v>3.927716262518044E-2</v>
      </c>
      <c r="K243" s="586">
        <f>K241/J241-1</f>
        <v>7.5076374745417729E-2</v>
      </c>
      <c r="L243" s="582" t="s">
        <v>131</v>
      </c>
      <c r="M243" s="584">
        <f>M241/K241-1</f>
        <v>7.6085154751473816E-2</v>
      </c>
      <c r="N243" s="585">
        <f>N241/M241-1</f>
        <v>0.18940627613221239</v>
      </c>
      <c r="O243" s="585">
        <f>O241/N241-1</f>
        <v>0.17443430960794837</v>
      </c>
      <c r="P243" s="586">
        <f>P241/O241-1</f>
        <v>-6.9237676638782109E-2</v>
      </c>
      <c r="Q243" s="581" t="s">
        <v>131</v>
      </c>
      <c r="R243" s="588">
        <f>R241/P241-1</f>
        <v>0.10262855015063765</v>
      </c>
      <c r="S243" s="588">
        <f>S241/R241-1</f>
        <v>4.4462011957848269E-2</v>
      </c>
      <c r="T243" s="588">
        <f>T241/S241-1</f>
        <v>-3.938743717115889E-3</v>
      </c>
      <c r="U243" s="588">
        <f>U241/T241-1</f>
        <v>3.1937025998169943E-2</v>
      </c>
      <c r="V243" s="581" t="s">
        <v>131</v>
      </c>
      <c r="W243" s="588">
        <f>W241/U241-1</f>
        <v>0.32175411254173358</v>
      </c>
      <c r="X243" s="588">
        <f>X241/W241-1</f>
        <v>-4.68458430466836E-2</v>
      </c>
      <c r="Y243" s="588">
        <f>Y241/X241-1</f>
        <v>-5.8857577373994219E-2</v>
      </c>
      <c r="Z243" s="588">
        <f>Z241/Y241-1</f>
        <v>9.182996683750333E-2</v>
      </c>
      <c r="AA243" s="581" t="s">
        <v>131</v>
      </c>
      <c r="AB243" s="591">
        <v>1.4999999999999999E-2</v>
      </c>
      <c r="AC243" s="591">
        <v>1.4999999999999999E-2</v>
      </c>
      <c r="AD243" s="591">
        <v>1.4999999999999999E-2</v>
      </c>
      <c r="AE243" s="591">
        <v>1.4999999999999999E-2</v>
      </c>
      <c r="AF243" s="581" t="s">
        <v>131</v>
      </c>
      <c r="AG243" s="588">
        <v>1.4999999999999999E-2</v>
      </c>
      <c r="AH243" s="588">
        <v>1.4999999999999999E-2</v>
      </c>
      <c r="AI243" s="588">
        <v>1.4999999999999999E-2</v>
      </c>
      <c r="AJ243" s="588">
        <v>1.4999999999999999E-2</v>
      </c>
      <c r="AK243" s="581" t="s">
        <v>131</v>
      </c>
      <c r="AL243" s="588">
        <v>1.4999999999999999E-2</v>
      </c>
      <c r="AM243" s="588">
        <v>1.4999999999999999E-2</v>
      </c>
      <c r="AN243" s="588">
        <v>1.4999999999999999E-2</v>
      </c>
      <c r="AO243" s="588">
        <v>1.4999999999999999E-2</v>
      </c>
      <c r="AP243" s="581" t="s">
        <v>131</v>
      </c>
      <c r="AQ243" s="588">
        <v>1.4999999999999999E-2</v>
      </c>
      <c r="AR243" s="589">
        <v>1.4999999999999999E-2</v>
      </c>
      <c r="AS243" s="589">
        <v>1.4999999999999999E-2</v>
      </c>
      <c r="AT243" s="589">
        <v>1.4999999999999999E-2</v>
      </c>
      <c r="AU243" s="592" t="s">
        <v>131</v>
      </c>
      <c r="AV243" s="588">
        <v>1.4999999999999999E-2</v>
      </c>
      <c r="AW243" s="588">
        <v>1.4999999999999999E-2</v>
      </c>
      <c r="AX243" s="589">
        <v>1.4999999999999999E-2</v>
      </c>
      <c r="AY243" s="589">
        <v>1.4999999999999999E-2</v>
      </c>
      <c r="AZ243" s="592" t="s">
        <v>131</v>
      </c>
      <c r="BA243" s="589">
        <v>1.4999999999999999E-2</v>
      </c>
      <c r="BB243" s="589">
        <v>1.4999999999999999E-2</v>
      </c>
      <c r="BC243" s="588">
        <v>1.4999999999999999E-2</v>
      </c>
      <c r="BD243" s="589">
        <v>1.4999999999999999E-2</v>
      </c>
      <c r="BE243" s="592" t="s">
        <v>131</v>
      </c>
      <c r="BF243" s="588">
        <v>1.4999999999999999E-2</v>
      </c>
      <c r="BG243" s="589">
        <v>1.4999999999999999E-2</v>
      </c>
      <c r="BH243" s="589">
        <v>1.4999999999999999E-2</v>
      </c>
      <c r="BI243" s="589">
        <v>1.4999999999999999E-2</v>
      </c>
      <c r="BJ243" s="592" t="s">
        <v>131</v>
      </c>
      <c r="BK243" s="589">
        <v>1.4999999999999999E-2</v>
      </c>
      <c r="BL243" s="589">
        <v>1.4999999999999999E-2</v>
      </c>
      <c r="BM243" s="589">
        <v>1.4999999999999999E-2</v>
      </c>
      <c r="BN243" s="589">
        <v>1.4999999999999999E-2</v>
      </c>
      <c r="BO243" s="592" t="s">
        <v>131</v>
      </c>
      <c r="BP243" s="589">
        <v>1.4999999999999999E-2</v>
      </c>
      <c r="BQ243" s="589">
        <v>1.4999999999999999E-2</v>
      </c>
      <c r="BR243" s="589">
        <v>1.4999999999999999E-2</v>
      </c>
      <c r="BS243" s="589">
        <v>1.4999999999999999E-2</v>
      </c>
      <c r="BT243" s="592" t="s">
        <v>131</v>
      </c>
      <c r="BU243" s="589">
        <v>1.4999999999999999E-2</v>
      </c>
      <c r="BV243" s="589">
        <v>1.4999999999999999E-2</v>
      </c>
      <c r="BW243" s="589">
        <v>1.4999999999999999E-2</v>
      </c>
      <c r="BX243" s="589">
        <v>1.4999999999999999E-2</v>
      </c>
      <c r="BY243" s="592" t="s">
        <v>131</v>
      </c>
      <c r="BZ243" s="589">
        <v>1.4999999999999999E-2</v>
      </c>
      <c r="CA243" s="589">
        <v>1.4999999999999999E-2</v>
      </c>
      <c r="CB243" s="589">
        <v>1.4999999999999999E-2</v>
      </c>
      <c r="CC243" s="589">
        <v>1.4999999999999999E-2</v>
      </c>
      <c r="CD243" s="592" t="s">
        <v>131</v>
      </c>
      <c r="CE243" s="589">
        <v>1.4999999999999999E-2</v>
      </c>
      <c r="CF243" s="589">
        <v>1.4999999999999999E-2</v>
      </c>
      <c r="CG243" s="589">
        <v>1.4999999999999999E-2</v>
      </c>
      <c r="CH243" s="589">
        <v>1.4999999999999999E-2</v>
      </c>
      <c r="CI243" s="592" t="s">
        <v>131</v>
      </c>
      <c r="CJ243" s="589">
        <v>1.4999999999999999E-2</v>
      </c>
      <c r="CK243" s="589">
        <v>1.4999999999999999E-2</v>
      </c>
      <c r="CL243" s="589">
        <v>1.4999999999999999E-2</v>
      </c>
      <c r="CM243" s="589">
        <v>1.4999999999999999E-2</v>
      </c>
      <c r="CN243" s="592" t="s">
        <v>131</v>
      </c>
      <c r="CO243" s="589">
        <v>1.4999999999999999E-2</v>
      </c>
      <c r="CP243" s="589">
        <v>1.4999999999999999E-2</v>
      </c>
      <c r="CQ243" s="589">
        <v>1.4999999999999999E-2</v>
      </c>
      <c r="CR243" s="589">
        <v>1.4999999999999999E-2</v>
      </c>
      <c r="CS243" s="592" t="s">
        <v>131</v>
      </c>
      <c r="CT243" s="589">
        <v>1.4999999999999999E-2</v>
      </c>
      <c r="CU243" s="589">
        <v>1.4999999999999999E-2</v>
      </c>
      <c r="CV243" s="589">
        <v>1.4999999999999999E-2</v>
      </c>
      <c r="CW243" s="589">
        <v>1.4999999999999999E-2</v>
      </c>
      <c r="CX243" s="592" t="s">
        <v>131</v>
      </c>
      <c r="CY243" s="1734"/>
      <c r="DA243" s="564"/>
      <c r="DB243" s="560"/>
      <c r="DC243" s="560"/>
    </row>
    <row r="244" spans="1:107" ht="6" hidden="1" customHeight="1" outlineLevel="1">
      <c r="A244" s="560"/>
      <c r="B244" s="560"/>
      <c r="C244" s="561"/>
      <c r="D244" s="562"/>
      <c r="E244" s="562"/>
      <c r="F244" s="593"/>
      <c r="G244" s="286"/>
      <c r="H244" s="594"/>
      <c r="I244" s="595"/>
      <c r="J244" s="595"/>
      <c r="K244" s="593"/>
      <c r="L244" s="594"/>
      <c r="M244" s="594"/>
      <c r="N244" s="595"/>
      <c r="O244" s="595"/>
      <c r="P244" s="593"/>
      <c r="Q244" s="286"/>
      <c r="R244" s="576"/>
      <c r="S244" s="576"/>
      <c r="T244" s="576"/>
      <c r="U244" s="575"/>
      <c r="V244" s="286"/>
      <c r="W244" s="576"/>
      <c r="X244" s="576"/>
      <c r="Y244" s="576"/>
      <c r="Z244" s="576"/>
      <c r="AA244" s="286"/>
      <c r="AB244" s="575"/>
      <c r="AC244" s="575"/>
      <c r="AD244" s="575"/>
      <c r="AE244" s="575"/>
      <c r="AF244" s="286"/>
      <c r="AG244" s="576"/>
      <c r="AH244" s="576"/>
      <c r="AI244" s="576"/>
      <c r="AJ244" s="576"/>
      <c r="AK244" s="286"/>
      <c r="AL244" s="576"/>
      <c r="AM244" s="576"/>
      <c r="AN244" s="576"/>
      <c r="AO244" s="576"/>
      <c r="AP244" s="286"/>
      <c r="AQ244" s="576"/>
      <c r="AR244" s="577"/>
      <c r="AS244" s="577"/>
      <c r="AT244" s="577"/>
      <c r="AU244" s="287"/>
      <c r="AV244" s="576"/>
      <c r="AW244" s="576"/>
      <c r="AX244" s="577"/>
      <c r="AY244" s="577"/>
      <c r="AZ244" s="287"/>
      <c r="BA244" s="577"/>
      <c r="BB244" s="577"/>
      <c r="BC244" s="576"/>
      <c r="BD244" s="577"/>
      <c r="BE244" s="287"/>
      <c r="BF244" s="576"/>
      <c r="BG244" s="577"/>
      <c r="BH244" s="577"/>
      <c r="BI244" s="577"/>
      <c r="BJ244" s="287"/>
      <c r="BK244" s="577"/>
      <c r="BL244" s="577"/>
      <c r="BM244" s="577"/>
      <c r="BN244" s="577"/>
      <c r="BO244" s="287"/>
      <c r="BP244" s="577"/>
      <c r="BQ244" s="577"/>
      <c r="BR244" s="577"/>
      <c r="BS244" s="577"/>
      <c r="BT244" s="287"/>
      <c r="BU244" s="577"/>
      <c r="BV244" s="577"/>
      <c r="BW244" s="577"/>
      <c r="BX244" s="577"/>
      <c r="BY244" s="287"/>
      <c r="BZ244" s="577"/>
      <c r="CA244" s="577"/>
      <c r="CB244" s="577"/>
      <c r="CC244" s="577"/>
      <c r="CD244" s="287"/>
      <c r="CE244" s="577"/>
      <c r="CF244" s="577"/>
      <c r="CG244" s="577"/>
      <c r="CH244" s="577"/>
      <c r="CI244" s="287"/>
      <c r="CJ244" s="577"/>
      <c r="CK244" s="577"/>
      <c r="CL244" s="577"/>
      <c r="CM244" s="577"/>
      <c r="CN244" s="287"/>
      <c r="CO244" s="577"/>
      <c r="CP244" s="577"/>
      <c r="CQ244" s="577"/>
      <c r="CR244" s="577"/>
      <c r="CS244" s="287"/>
      <c r="CT244" s="577"/>
      <c r="CU244" s="577"/>
      <c r="CV244" s="577"/>
      <c r="CW244" s="577"/>
      <c r="CX244" s="287"/>
      <c r="CY244" s="1735"/>
      <c r="DA244" s="564"/>
      <c r="DB244" s="560"/>
      <c r="DC244" s="560"/>
    </row>
    <row r="245" spans="1:107" ht="12" hidden="1" customHeight="1" outlineLevel="1">
      <c r="A245" s="553" t="s">
        <v>698</v>
      </c>
      <c r="B245" s="553"/>
      <c r="C245" s="561"/>
      <c r="D245" s="562"/>
      <c r="E245" s="562"/>
      <c r="F245" s="569">
        <f>104.791-SUM(C245:E245)</f>
        <v>104.791</v>
      </c>
      <c r="G245" s="570">
        <f>SUM(C245:F245)</f>
        <v>104.791</v>
      </c>
      <c r="H245" s="571">
        <v>22.515000000000001</v>
      </c>
      <c r="I245" s="572">
        <v>21.052</v>
      </c>
      <c r="J245" s="572">
        <v>23.71</v>
      </c>
      <c r="K245" s="569">
        <f>89-SUM(H245:J245)</f>
        <v>21.722999999999999</v>
      </c>
      <c r="L245" s="573">
        <f>SUM(H245:K245)</f>
        <v>89</v>
      </c>
      <c r="M245" s="571">
        <v>23.966000000000001</v>
      </c>
      <c r="N245" s="572">
        <v>22.989000000000001</v>
      </c>
      <c r="O245" s="572">
        <v>21.776</v>
      </c>
      <c r="P245" s="569">
        <f>89.7-SUM(M245:O245)</f>
        <v>20.969000000000008</v>
      </c>
      <c r="Q245" s="570">
        <f>SUM(M245:P245)</f>
        <v>89.7</v>
      </c>
      <c r="R245" s="574">
        <v>21.363</v>
      </c>
      <c r="S245" s="574">
        <v>20.32</v>
      </c>
      <c r="T245" s="574">
        <v>19.321000000000002</v>
      </c>
      <c r="U245" s="574">
        <f>81.5-SUM(R245:T245)</f>
        <v>20.495999999999995</v>
      </c>
      <c r="V245" s="570">
        <f>SUM(R245:U245)</f>
        <v>81.5</v>
      </c>
      <c r="W245" s="574">
        <v>20.681999999999999</v>
      </c>
      <c r="X245" s="574">
        <v>19.486999999999998</v>
      </c>
      <c r="Y245" s="574">
        <v>19.292000000000002</v>
      </c>
      <c r="Z245" s="574">
        <f>81.661-SUM(W245:Y245)</f>
        <v>22.200000000000003</v>
      </c>
      <c r="AA245" s="570">
        <f>SUM(W245:Z245)</f>
        <v>81.661000000000001</v>
      </c>
      <c r="AB245" s="575">
        <f>Z245*(1+AB247)</f>
        <v>22.200000000000003</v>
      </c>
      <c r="AC245" s="575">
        <f>AB245*(1+AC247)</f>
        <v>22.200000000000003</v>
      </c>
      <c r="AD245" s="575">
        <f>AC245*(1+AD247)</f>
        <v>22.200000000000003</v>
      </c>
      <c r="AE245" s="575">
        <f>AD245*(1+AE247)</f>
        <v>22.200000000000003</v>
      </c>
      <c r="AF245" s="570">
        <f>SUM(AB245:AE245)</f>
        <v>88.800000000000011</v>
      </c>
      <c r="AG245" s="576">
        <f>AE245*(1+AG247)</f>
        <v>22.200000000000003</v>
      </c>
      <c r="AH245" s="576">
        <f>AG245*(1+AH247)</f>
        <v>22.200000000000003</v>
      </c>
      <c r="AI245" s="576">
        <f>AH245*(1+AI247)</f>
        <v>22.200000000000003</v>
      </c>
      <c r="AJ245" s="576">
        <f>AI245*(1+AJ247)</f>
        <v>22.200000000000003</v>
      </c>
      <c r="AK245" s="570">
        <f>SUM(AG245:AJ245)</f>
        <v>88.800000000000011</v>
      </c>
      <c r="AL245" s="576">
        <f>AJ245*(1+AL247)</f>
        <v>22.200000000000003</v>
      </c>
      <c r="AM245" s="576">
        <f>AL245*(1+AM247)</f>
        <v>22.200000000000003</v>
      </c>
      <c r="AN245" s="576">
        <f>AM245*(1+AN247)</f>
        <v>22.200000000000003</v>
      </c>
      <c r="AO245" s="576">
        <f>AN245*(1+AO247)</f>
        <v>22.200000000000003</v>
      </c>
      <c r="AP245" s="570">
        <f>SUM(AL245:AO245)</f>
        <v>88.800000000000011</v>
      </c>
      <c r="AQ245" s="576">
        <f>AO245*(1+AQ247)</f>
        <v>22.200000000000003</v>
      </c>
      <c r="AR245" s="577">
        <f>AQ245*(1+AR247)</f>
        <v>22.200000000000003</v>
      </c>
      <c r="AS245" s="577">
        <f>AR245*(1+AS247)</f>
        <v>22.200000000000003</v>
      </c>
      <c r="AT245" s="577">
        <f>AS245*(1+AT247)</f>
        <v>22.200000000000003</v>
      </c>
      <c r="AU245" s="578">
        <f>SUM(AQ245:AT245)</f>
        <v>88.800000000000011</v>
      </c>
      <c r="AV245" s="576">
        <f>AT245*(1+AV247)</f>
        <v>22.200000000000003</v>
      </c>
      <c r="AW245" s="576">
        <f>AV245*(1+AW247)</f>
        <v>22.200000000000003</v>
      </c>
      <c r="AX245" s="577">
        <f>AW245*(1+AX247)</f>
        <v>22.200000000000003</v>
      </c>
      <c r="AY245" s="577">
        <f>AX245*(1+AY247)</f>
        <v>22.200000000000003</v>
      </c>
      <c r="AZ245" s="578">
        <f>SUM(AV245:AY245)</f>
        <v>88.800000000000011</v>
      </c>
      <c r="BA245" s="577">
        <f>AY245*(1+BA247)</f>
        <v>22.200000000000003</v>
      </c>
      <c r="BB245" s="577">
        <f>BA245*(1+BB247)</f>
        <v>22.200000000000003</v>
      </c>
      <c r="BC245" s="576">
        <f>BB245*(1+BC247)</f>
        <v>22.200000000000003</v>
      </c>
      <c r="BD245" s="577">
        <f>BC245*(1+BD247)</f>
        <v>22.200000000000003</v>
      </c>
      <c r="BE245" s="578">
        <f>SUM(BA245:BD245)</f>
        <v>88.800000000000011</v>
      </c>
      <c r="BF245" s="576">
        <f>BD245*(1+BF247)</f>
        <v>22.200000000000003</v>
      </c>
      <c r="BG245" s="577">
        <f>BF245*(1+BG247)</f>
        <v>22.200000000000003</v>
      </c>
      <c r="BH245" s="577">
        <f>BG245*(1+BH247)</f>
        <v>22.200000000000003</v>
      </c>
      <c r="BI245" s="577">
        <f>BH245*(1+BI247)</f>
        <v>22.200000000000003</v>
      </c>
      <c r="BJ245" s="578">
        <f>SUM(BF245:BI245)</f>
        <v>88.800000000000011</v>
      </c>
      <c r="BK245" s="577">
        <f>BI245*(1+BK247)</f>
        <v>22.200000000000003</v>
      </c>
      <c r="BL245" s="577">
        <f>BK245*(1+BL247)</f>
        <v>22.200000000000003</v>
      </c>
      <c r="BM245" s="577">
        <f>BL245*(1+BM247)</f>
        <v>22.200000000000003</v>
      </c>
      <c r="BN245" s="577">
        <f>BM245*(1+BN247)</f>
        <v>22.200000000000003</v>
      </c>
      <c r="BO245" s="578">
        <f>SUM(BK245:BN245)</f>
        <v>88.800000000000011</v>
      </c>
      <c r="BP245" s="577">
        <f>BN245*(1+BP247)</f>
        <v>22.200000000000003</v>
      </c>
      <c r="BQ245" s="577">
        <f>BP245*(1+BQ247)</f>
        <v>22.200000000000003</v>
      </c>
      <c r="BR245" s="577">
        <f>BQ245*(1+BR247)</f>
        <v>22.200000000000003</v>
      </c>
      <c r="BS245" s="577">
        <f>BR245*(1+BS247)</f>
        <v>22.200000000000003</v>
      </c>
      <c r="BT245" s="578">
        <f>SUM(BP245:BS245)</f>
        <v>88.800000000000011</v>
      </c>
      <c r="BU245" s="577">
        <f>BS245*(1+BU247)</f>
        <v>22.200000000000003</v>
      </c>
      <c r="BV245" s="577">
        <f>BU245*(1+BV247)</f>
        <v>22.200000000000003</v>
      </c>
      <c r="BW245" s="577">
        <f>BV245*(1+BW247)</f>
        <v>22.200000000000003</v>
      </c>
      <c r="BX245" s="577">
        <f>BW245*(1+BX247)</f>
        <v>22.200000000000003</v>
      </c>
      <c r="BY245" s="578">
        <f>SUM(BU245:BX245)</f>
        <v>88.800000000000011</v>
      </c>
      <c r="BZ245" s="577">
        <f>BX245*(1+BZ247)</f>
        <v>22.200000000000003</v>
      </c>
      <c r="CA245" s="577">
        <f>BZ245*(1+CA247)</f>
        <v>22.200000000000003</v>
      </c>
      <c r="CB245" s="577">
        <f>CA245*(1+CB247)</f>
        <v>22.200000000000003</v>
      </c>
      <c r="CC245" s="577">
        <f>CB245*(1+CC247)</f>
        <v>22.200000000000003</v>
      </c>
      <c r="CD245" s="578">
        <f>SUM(BZ245:CC245)</f>
        <v>88.800000000000011</v>
      </c>
      <c r="CE245" s="577">
        <f>CC245*(1+CE247)</f>
        <v>22.200000000000003</v>
      </c>
      <c r="CF245" s="577">
        <f>CE245*(1+CF247)</f>
        <v>22.200000000000003</v>
      </c>
      <c r="CG245" s="577">
        <f>CF245*(1+CG247)</f>
        <v>22.200000000000003</v>
      </c>
      <c r="CH245" s="577">
        <f>CG245*(1+CH247)</f>
        <v>22.200000000000003</v>
      </c>
      <c r="CI245" s="578">
        <f>SUM(CE245:CH245)</f>
        <v>88.800000000000011</v>
      </c>
      <c r="CJ245" s="577">
        <f>CH245*(1+CJ247)</f>
        <v>22.200000000000003</v>
      </c>
      <c r="CK245" s="577">
        <f>CJ245*(1+CK247)</f>
        <v>22.200000000000003</v>
      </c>
      <c r="CL245" s="577">
        <f>CK245*(1+CL247)</f>
        <v>22.200000000000003</v>
      </c>
      <c r="CM245" s="577">
        <f>CL245*(1+CM247)</f>
        <v>22.200000000000003</v>
      </c>
      <c r="CN245" s="578">
        <f>SUM(CJ245:CM245)</f>
        <v>88.800000000000011</v>
      </c>
      <c r="CO245" s="577">
        <f>CM245*(1+CO247)</f>
        <v>22.200000000000003</v>
      </c>
      <c r="CP245" s="577">
        <f>CO245*(1+CP247)</f>
        <v>22.200000000000003</v>
      </c>
      <c r="CQ245" s="577">
        <f>CP245*(1+CQ247)</f>
        <v>22.200000000000003</v>
      </c>
      <c r="CR245" s="577">
        <f>CQ245*(1+CR247)</f>
        <v>22.200000000000003</v>
      </c>
      <c r="CS245" s="578">
        <f>SUM(CO245:CR245)</f>
        <v>88.800000000000011</v>
      </c>
      <c r="CT245" s="577">
        <f>CR245*(1+CT247)</f>
        <v>22.200000000000003</v>
      </c>
      <c r="CU245" s="577">
        <f>CT245*(1+CU247)</f>
        <v>22.200000000000003</v>
      </c>
      <c r="CV245" s="577">
        <f>CU245*(1+CV247)</f>
        <v>22.200000000000003</v>
      </c>
      <c r="CW245" s="577">
        <f>CV245*(1+CW247)</f>
        <v>22.200000000000003</v>
      </c>
      <c r="CX245" s="578">
        <f>SUM(CT245:CW245)</f>
        <v>88.800000000000011</v>
      </c>
      <c r="CY245" s="1732"/>
      <c r="DA245" s="564"/>
      <c r="DB245" s="560"/>
      <c r="DC245" s="560"/>
    </row>
    <row r="246" spans="1:107" ht="12" hidden="1" customHeight="1" outlineLevel="1">
      <c r="A246" s="579" t="s">
        <v>622</v>
      </c>
      <c r="B246" s="579"/>
      <c r="C246" s="561"/>
      <c r="D246" s="562"/>
      <c r="E246" s="562"/>
      <c r="F246" s="580" t="s">
        <v>131</v>
      </c>
      <c r="G246" s="581" t="s">
        <v>131</v>
      </c>
      <c r="H246" s="582" t="s">
        <v>131</v>
      </c>
      <c r="I246" s="583" t="s">
        <v>131</v>
      </c>
      <c r="J246" s="583" t="s">
        <v>131</v>
      </c>
      <c r="K246" s="580" t="s">
        <v>131</v>
      </c>
      <c r="L246" s="582" t="s">
        <v>131</v>
      </c>
      <c r="M246" s="584">
        <f t="shared" ref="M246:AZ246" si="279">M245/H245-1</f>
        <v>6.4445924938929533E-2</v>
      </c>
      <c r="N246" s="585">
        <f t="shared" si="279"/>
        <v>9.2010260307809233E-2</v>
      </c>
      <c r="O246" s="585">
        <f t="shared" si="279"/>
        <v>-8.1568958245466061E-2</v>
      </c>
      <c r="P246" s="586">
        <f t="shared" si="279"/>
        <v>-3.4709754637940904E-2</v>
      </c>
      <c r="Q246" s="587">
        <f t="shared" si="279"/>
        <v>7.8651685393258397E-3</v>
      </c>
      <c r="R246" s="588">
        <f t="shared" si="279"/>
        <v>-0.10861220061754162</v>
      </c>
      <c r="S246" s="588">
        <f t="shared" si="279"/>
        <v>-0.11609900387141681</v>
      </c>
      <c r="T246" s="588">
        <f t="shared" si="279"/>
        <v>-0.11273879500367368</v>
      </c>
      <c r="U246" s="588">
        <f t="shared" si="279"/>
        <v>-2.2557108111975421E-2</v>
      </c>
      <c r="V246" s="587">
        <f t="shared" si="279"/>
        <v>-9.1415830546265342E-2</v>
      </c>
      <c r="W246" s="588">
        <f t="shared" si="279"/>
        <v>-3.1877545288583109E-2</v>
      </c>
      <c r="X246" s="588">
        <f t="shared" si="279"/>
        <v>-4.0994094488189026E-2</v>
      </c>
      <c r="Y246" s="588">
        <f t="shared" si="279"/>
        <v>-1.5009575073754444E-3</v>
      </c>
      <c r="Z246" s="588">
        <f t="shared" si="279"/>
        <v>8.3138173302108154E-2</v>
      </c>
      <c r="AA246" s="587">
        <f t="shared" si="279"/>
        <v>1.9754601226993351E-3</v>
      </c>
      <c r="AB246" s="588">
        <f t="shared" si="279"/>
        <v>7.3397156948070919E-2</v>
      </c>
      <c r="AC246" s="588">
        <f t="shared" si="279"/>
        <v>0.13922101914096596</v>
      </c>
      <c r="AD246" s="588">
        <f t="shared" si="279"/>
        <v>0.15073605639643373</v>
      </c>
      <c r="AE246" s="588">
        <f t="shared" si="279"/>
        <v>0</v>
      </c>
      <c r="AF246" s="587">
        <f t="shared" si="279"/>
        <v>8.7422392574178831E-2</v>
      </c>
      <c r="AG246" s="588">
        <f t="shared" si="279"/>
        <v>0</v>
      </c>
      <c r="AH246" s="588">
        <f t="shared" si="279"/>
        <v>0</v>
      </c>
      <c r="AI246" s="588">
        <f t="shared" si="279"/>
        <v>0</v>
      </c>
      <c r="AJ246" s="588">
        <f t="shared" si="279"/>
        <v>0</v>
      </c>
      <c r="AK246" s="587">
        <f t="shared" si="279"/>
        <v>0</v>
      </c>
      <c r="AL246" s="588">
        <f t="shared" si="279"/>
        <v>0</v>
      </c>
      <c r="AM246" s="588">
        <f t="shared" si="279"/>
        <v>0</v>
      </c>
      <c r="AN246" s="588">
        <f t="shared" si="279"/>
        <v>0</v>
      </c>
      <c r="AO246" s="588">
        <f t="shared" si="279"/>
        <v>0</v>
      </c>
      <c r="AP246" s="587">
        <f t="shared" si="279"/>
        <v>0</v>
      </c>
      <c r="AQ246" s="588">
        <f t="shared" si="279"/>
        <v>0</v>
      </c>
      <c r="AR246" s="589">
        <f t="shared" si="279"/>
        <v>0</v>
      </c>
      <c r="AS246" s="589">
        <f t="shared" si="279"/>
        <v>0</v>
      </c>
      <c r="AT246" s="589">
        <f t="shared" si="279"/>
        <v>0</v>
      </c>
      <c r="AU246" s="590">
        <f t="shared" si="279"/>
        <v>0</v>
      </c>
      <c r="AV246" s="588">
        <f t="shared" si="279"/>
        <v>0</v>
      </c>
      <c r="AW246" s="588">
        <f t="shared" si="279"/>
        <v>0</v>
      </c>
      <c r="AX246" s="589">
        <f t="shared" si="279"/>
        <v>0</v>
      </c>
      <c r="AY246" s="589">
        <f t="shared" si="279"/>
        <v>0</v>
      </c>
      <c r="AZ246" s="590">
        <f t="shared" si="279"/>
        <v>0</v>
      </c>
      <c r="BA246" s="589">
        <f t="shared" ref="BA246:BJ246" si="280">BA245/AV245-1</f>
        <v>0</v>
      </c>
      <c r="BB246" s="589">
        <f t="shared" si="280"/>
        <v>0</v>
      </c>
      <c r="BC246" s="588">
        <f t="shared" si="280"/>
        <v>0</v>
      </c>
      <c r="BD246" s="589">
        <f t="shared" si="280"/>
        <v>0</v>
      </c>
      <c r="BE246" s="590">
        <f t="shared" si="280"/>
        <v>0</v>
      </c>
      <c r="BF246" s="588">
        <f t="shared" si="280"/>
        <v>0</v>
      </c>
      <c r="BG246" s="589">
        <f t="shared" si="280"/>
        <v>0</v>
      </c>
      <c r="BH246" s="589">
        <f t="shared" si="280"/>
        <v>0</v>
      </c>
      <c r="BI246" s="589">
        <f t="shared" si="280"/>
        <v>0</v>
      </c>
      <c r="BJ246" s="590">
        <f t="shared" si="280"/>
        <v>0</v>
      </c>
      <c r="BK246" s="589">
        <f t="shared" ref="BK246:BT246" si="281">BK245/BF245-1</f>
        <v>0</v>
      </c>
      <c r="BL246" s="589">
        <f t="shared" si="281"/>
        <v>0</v>
      </c>
      <c r="BM246" s="589">
        <f t="shared" si="281"/>
        <v>0</v>
      </c>
      <c r="BN246" s="589">
        <f t="shared" si="281"/>
        <v>0</v>
      </c>
      <c r="BO246" s="590">
        <f t="shared" si="281"/>
        <v>0</v>
      </c>
      <c r="BP246" s="589">
        <f t="shared" si="281"/>
        <v>0</v>
      </c>
      <c r="BQ246" s="589">
        <f t="shared" si="281"/>
        <v>0</v>
      </c>
      <c r="BR246" s="589">
        <f t="shared" si="281"/>
        <v>0</v>
      </c>
      <c r="BS246" s="589">
        <f t="shared" si="281"/>
        <v>0</v>
      </c>
      <c r="BT246" s="590">
        <f t="shared" si="281"/>
        <v>0</v>
      </c>
      <c r="BU246" s="589">
        <f t="shared" ref="BU246:CD246" si="282">BU245/BP245-1</f>
        <v>0</v>
      </c>
      <c r="BV246" s="589">
        <f t="shared" si="282"/>
        <v>0</v>
      </c>
      <c r="BW246" s="589">
        <f t="shared" si="282"/>
        <v>0</v>
      </c>
      <c r="BX246" s="589">
        <f t="shared" si="282"/>
        <v>0</v>
      </c>
      <c r="BY246" s="590">
        <f t="shared" si="282"/>
        <v>0</v>
      </c>
      <c r="BZ246" s="589">
        <f t="shared" si="282"/>
        <v>0</v>
      </c>
      <c r="CA246" s="589">
        <f t="shared" si="282"/>
        <v>0</v>
      </c>
      <c r="CB246" s="589">
        <f t="shared" si="282"/>
        <v>0</v>
      </c>
      <c r="CC246" s="589">
        <f t="shared" si="282"/>
        <v>0</v>
      </c>
      <c r="CD246" s="590">
        <f t="shared" si="282"/>
        <v>0</v>
      </c>
      <c r="CE246" s="589">
        <f t="shared" ref="CE246:CN246" si="283">CE245/BZ245-1</f>
        <v>0</v>
      </c>
      <c r="CF246" s="589">
        <f t="shared" si="283"/>
        <v>0</v>
      </c>
      <c r="CG246" s="589">
        <f t="shared" si="283"/>
        <v>0</v>
      </c>
      <c r="CH246" s="589">
        <f t="shared" si="283"/>
        <v>0</v>
      </c>
      <c r="CI246" s="590">
        <f t="shared" si="283"/>
        <v>0</v>
      </c>
      <c r="CJ246" s="589">
        <f t="shared" si="283"/>
        <v>0</v>
      </c>
      <c r="CK246" s="589">
        <f t="shared" si="283"/>
        <v>0</v>
      </c>
      <c r="CL246" s="589">
        <f t="shared" si="283"/>
        <v>0</v>
      </c>
      <c r="CM246" s="589">
        <f t="shared" si="283"/>
        <v>0</v>
      </c>
      <c r="CN246" s="590">
        <f t="shared" si="283"/>
        <v>0</v>
      </c>
      <c r="CO246" s="589">
        <f t="shared" ref="CO246:CX246" si="284">CO245/CJ245-1</f>
        <v>0</v>
      </c>
      <c r="CP246" s="589">
        <f t="shared" si="284"/>
        <v>0</v>
      </c>
      <c r="CQ246" s="589">
        <f t="shared" si="284"/>
        <v>0</v>
      </c>
      <c r="CR246" s="589">
        <f t="shared" si="284"/>
        <v>0</v>
      </c>
      <c r="CS246" s="590">
        <f t="shared" si="284"/>
        <v>0</v>
      </c>
      <c r="CT246" s="589">
        <f t="shared" si="284"/>
        <v>0</v>
      </c>
      <c r="CU246" s="589">
        <f t="shared" si="284"/>
        <v>0</v>
      </c>
      <c r="CV246" s="589">
        <f t="shared" si="284"/>
        <v>0</v>
      </c>
      <c r="CW246" s="589">
        <f t="shared" si="284"/>
        <v>0</v>
      </c>
      <c r="CX246" s="590">
        <f t="shared" si="284"/>
        <v>0</v>
      </c>
      <c r="CY246" s="1733"/>
      <c r="DA246" s="564"/>
      <c r="DB246" s="560"/>
      <c r="DC246" s="560"/>
    </row>
    <row r="247" spans="1:107" ht="12" hidden="1" customHeight="1" outlineLevel="1">
      <c r="A247" s="579" t="s">
        <v>709</v>
      </c>
      <c r="B247" s="579"/>
      <c r="C247" s="561"/>
      <c r="D247" s="562"/>
      <c r="E247" s="562"/>
      <c r="F247" s="586"/>
      <c r="G247" s="581" t="s">
        <v>131</v>
      </c>
      <c r="H247" s="582" t="s">
        <v>131</v>
      </c>
      <c r="I247" s="585">
        <f>I245/H245-1</f>
        <v>-6.4978902953586548E-2</v>
      </c>
      <c r="J247" s="585">
        <f>J245/I245-1</f>
        <v>0.12625878776363297</v>
      </c>
      <c r="K247" s="586">
        <f>K245/J245-1</f>
        <v>-8.3804301982286056E-2</v>
      </c>
      <c r="L247" s="582" t="s">
        <v>131</v>
      </c>
      <c r="M247" s="584">
        <f>M245/K245-1</f>
        <v>0.1032546149242739</v>
      </c>
      <c r="N247" s="585">
        <f>N245/M245-1</f>
        <v>-4.0766085287490594E-2</v>
      </c>
      <c r="O247" s="585">
        <f>O245/N245-1</f>
        <v>-5.2764365566140392E-2</v>
      </c>
      <c r="P247" s="586">
        <f>P245/O245-1</f>
        <v>-3.7059147685524985E-2</v>
      </c>
      <c r="Q247" s="581" t="s">
        <v>131</v>
      </c>
      <c r="R247" s="588">
        <f>R245/P245-1</f>
        <v>1.8789641852257732E-2</v>
      </c>
      <c r="S247" s="588">
        <f>S245/R245-1</f>
        <v>-4.8822730889856225E-2</v>
      </c>
      <c r="T247" s="588">
        <f>T245/S245-1</f>
        <v>-4.91633858267716E-2</v>
      </c>
      <c r="U247" s="588">
        <f>U245/T245-1</f>
        <v>6.0814657626416579E-2</v>
      </c>
      <c r="V247" s="581" t="s">
        <v>131</v>
      </c>
      <c r="W247" s="588">
        <f>W245/U245-1</f>
        <v>9.0749414519908367E-3</v>
      </c>
      <c r="X247" s="588">
        <f>X245/W245-1</f>
        <v>-5.7779711826709268E-2</v>
      </c>
      <c r="Y247" s="588">
        <f>Y245/X245-1</f>
        <v>-1.0006671114075938E-2</v>
      </c>
      <c r="Z247" s="588">
        <f>Z245/Y245-1</f>
        <v>0.15073605639643373</v>
      </c>
      <c r="AA247" s="581" t="s">
        <v>131</v>
      </c>
      <c r="AB247" s="591">
        <v>0</v>
      </c>
      <c r="AC247" s="591">
        <v>0</v>
      </c>
      <c r="AD247" s="591">
        <v>0</v>
      </c>
      <c r="AE247" s="591">
        <v>0</v>
      </c>
      <c r="AF247" s="581" t="s">
        <v>131</v>
      </c>
      <c r="AG247" s="588">
        <v>0</v>
      </c>
      <c r="AH247" s="588">
        <v>0</v>
      </c>
      <c r="AI247" s="588">
        <v>0</v>
      </c>
      <c r="AJ247" s="588">
        <v>0</v>
      </c>
      <c r="AK247" s="581" t="s">
        <v>131</v>
      </c>
      <c r="AL247" s="588">
        <v>0</v>
      </c>
      <c r="AM247" s="588">
        <v>0</v>
      </c>
      <c r="AN247" s="588">
        <v>0</v>
      </c>
      <c r="AO247" s="588">
        <v>0</v>
      </c>
      <c r="AP247" s="581" t="s">
        <v>131</v>
      </c>
      <c r="AQ247" s="588">
        <v>0</v>
      </c>
      <c r="AR247" s="589">
        <v>0</v>
      </c>
      <c r="AS247" s="589">
        <v>0</v>
      </c>
      <c r="AT247" s="589">
        <v>0</v>
      </c>
      <c r="AU247" s="592" t="s">
        <v>131</v>
      </c>
      <c r="AV247" s="588">
        <v>0</v>
      </c>
      <c r="AW247" s="588">
        <v>0</v>
      </c>
      <c r="AX247" s="589">
        <v>0</v>
      </c>
      <c r="AY247" s="589">
        <v>0</v>
      </c>
      <c r="AZ247" s="592" t="s">
        <v>131</v>
      </c>
      <c r="BA247" s="589">
        <v>0</v>
      </c>
      <c r="BB247" s="589">
        <v>0</v>
      </c>
      <c r="BC247" s="588">
        <v>0</v>
      </c>
      <c r="BD247" s="589">
        <v>0</v>
      </c>
      <c r="BE247" s="592" t="s">
        <v>131</v>
      </c>
      <c r="BF247" s="588">
        <v>0</v>
      </c>
      <c r="BG247" s="589">
        <v>0</v>
      </c>
      <c r="BH247" s="589">
        <v>0</v>
      </c>
      <c r="BI247" s="589">
        <v>0</v>
      </c>
      <c r="BJ247" s="592" t="s">
        <v>131</v>
      </c>
      <c r="BK247" s="589">
        <v>0</v>
      </c>
      <c r="BL247" s="589">
        <v>0</v>
      </c>
      <c r="BM247" s="589">
        <v>0</v>
      </c>
      <c r="BN247" s="589">
        <v>0</v>
      </c>
      <c r="BO247" s="592" t="s">
        <v>131</v>
      </c>
      <c r="BP247" s="589">
        <v>0</v>
      </c>
      <c r="BQ247" s="589">
        <v>0</v>
      </c>
      <c r="BR247" s="589">
        <v>0</v>
      </c>
      <c r="BS247" s="589">
        <v>0</v>
      </c>
      <c r="BT247" s="592" t="s">
        <v>131</v>
      </c>
      <c r="BU247" s="589">
        <v>0</v>
      </c>
      <c r="BV247" s="589">
        <v>0</v>
      </c>
      <c r="BW247" s="589">
        <v>0</v>
      </c>
      <c r="BX247" s="589">
        <v>0</v>
      </c>
      <c r="BY247" s="592" t="s">
        <v>131</v>
      </c>
      <c r="BZ247" s="589">
        <v>0</v>
      </c>
      <c r="CA247" s="589">
        <v>0</v>
      </c>
      <c r="CB247" s="589">
        <v>0</v>
      </c>
      <c r="CC247" s="589">
        <v>0</v>
      </c>
      <c r="CD247" s="592" t="s">
        <v>131</v>
      </c>
      <c r="CE247" s="589">
        <v>0</v>
      </c>
      <c r="CF247" s="589">
        <v>0</v>
      </c>
      <c r="CG247" s="589">
        <v>0</v>
      </c>
      <c r="CH247" s="589">
        <v>0</v>
      </c>
      <c r="CI247" s="592" t="s">
        <v>131</v>
      </c>
      <c r="CJ247" s="589">
        <v>0</v>
      </c>
      <c r="CK247" s="589">
        <v>0</v>
      </c>
      <c r="CL247" s="589">
        <v>0</v>
      </c>
      <c r="CM247" s="589">
        <v>0</v>
      </c>
      <c r="CN247" s="592" t="s">
        <v>131</v>
      </c>
      <c r="CO247" s="589">
        <v>0</v>
      </c>
      <c r="CP247" s="589">
        <v>0</v>
      </c>
      <c r="CQ247" s="589">
        <v>0</v>
      </c>
      <c r="CR247" s="589">
        <v>0</v>
      </c>
      <c r="CS247" s="592" t="s">
        <v>131</v>
      </c>
      <c r="CT247" s="589">
        <v>0</v>
      </c>
      <c r="CU247" s="589">
        <v>0</v>
      </c>
      <c r="CV247" s="589">
        <v>0</v>
      </c>
      <c r="CW247" s="589">
        <v>0</v>
      </c>
      <c r="CX247" s="592" t="s">
        <v>131</v>
      </c>
      <c r="CY247" s="1734"/>
      <c r="DA247" s="564"/>
      <c r="DB247" s="560"/>
      <c r="DC247" s="560"/>
    </row>
    <row r="248" spans="1:107" ht="6" hidden="1" customHeight="1" outlineLevel="1">
      <c r="A248" s="560"/>
      <c r="B248" s="560"/>
      <c r="C248" s="561"/>
      <c r="D248" s="562"/>
      <c r="E248" s="562"/>
      <c r="F248" s="593"/>
      <c r="G248" s="286"/>
      <c r="H248" s="594"/>
      <c r="I248" s="595"/>
      <c r="J248" s="595"/>
      <c r="K248" s="593"/>
      <c r="L248" s="594"/>
      <c r="M248" s="594"/>
      <c r="N248" s="595"/>
      <c r="O248" s="595"/>
      <c r="P248" s="593"/>
      <c r="Q248" s="286"/>
      <c r="R248" s="576"/>
      <c r="S248" s="576"/>
      <c r="T248" s="576"/>
      <c r="U248" s="576"/>
      <c r="V248" s="286"/>
      <c r="W248" s="576"/>
      <c r="X248" s="576"/>
      <c r="Y248" s="576"/>
      <c r="Z248" s="576"/>
      <c r="AA248" s="286"/>
      <c r="AB248" s="576"/>
      <c r="AC248" s="576"/>
      <c r="AD248" s="576"/>
      <c r="AE248" s="576"/>
      <c r="AF248" s="286"/>
      <c r="AG248" s="576"/>
      <c r="AH248" s="576"/>
      <c r="AI248" s="576"/>
      <c r="AJ248" s="576"/>
      <c r="AK248" s="286"/>
      <c r="AL248" s="576"/>
      <c r="AM248" s="576"/>
      <c r="AN248" s="576"/>
      <c r="AO248" s="576"/>
      <c r="AP248" s="286"/>
      <c r="AQ248" s="576"/>
      <c r="AR248" s="577"/>
      <c r="AS248" s="577"/>
      <c r="AT248" s="577"/>
      <c r="AU248" s="287"/>
      <c r="AV248" s="576"/>
      <c r="AW248" s="576"/>
      <c r="AX248" s="577"/>
      <c r="AY248" s="577"/>
      <c r="AZ248" s="287"/>
      <c r="BA248" s="577"/>
      <c r="BB248" s="577"/>
      <c r="BC248" s="576"/>
      <c r="BD248" s="577"/>
      <c r="BE248" s="287"/>
      <c r="BF248" s="576"/>
      <c r="BG248" s="577"/>
      <c r="BH248" s="577"/>
      <c r="BI248" s="577"/>
      <c r="BJ248" s="287"/>
      <c r="BK248" s="577"/>
      <c r="BL248" s="577"/>
      <c r="BM248" s="577"/>
      <c r="BN248" s="577"/>
      <c r="BO248" s="287"/>
      <c r="BP248" s="577"/>
      <c r="BQ248" s="577"/>
      <c r="BR248" s="577"/>
      <c r="BS248" s="577"/>
      <c r="BT248" s="287"/>
      <c r="BU248" s="577"/>
      <c r="BV248" s="577"/>
      <c r="BW248" s="577"/>
      <c r="BX248" s="577"/>
      <c r="BY248" s="287"/>
      <c r="BZ248" s="577"/>
      <c r="CA248" s="577"/>
      <c r="CB248" s="577"/>
      <c r="CC248" s="577"/>
      <c r="CD248" s="287"/>
      <c r="CE248" s="577"/>
      <c r="CF248" s="577"/>
      <c r="CG248" s="577"/>
      <c r="CH248" s="577"/>
      <c r="CI248" s="287"/>
      <c r="CJ248" s="577"/>
      <c r="CK248" s="577"/>
      <c r="CL248" s="577"/>
      <c r="CM248" s="577"/>
      <c r="CN248" s="287"/>
      <c r="CO248" s="577"/>
      <c r="CP248" s="577"/>
      <c r="CQ248" s="577"/>
      <c r="CR248" s="577"/>
      <c r="CS248" s="287"/>
      <c r="CT248" s="577"/>
      <c r="CU248" s="577"/>
      <c r="CV248" s="577"/>
      <c r="CW248" s="577"/>
      <c r="CX248" s="287"/>
      <c r="CY248" s="1735"/>
      <c r="DA248" s="564"/>
      <c r="DB248" s="560"/>
      <c r="DC248" s="560"/>
    </row>
    <row r="249" spans="1:107" ht="12" hidden="1" customHeight="1" outlineLevel="1">
      <c r="A249" s="553" t="s">
        <v>710</v>
      </c>
      <c r="B249" s="553"/>
      <c r="C249" s="561"/>
      <c r="D249" s="562"/>
      <c r="E249" s="562"/>
      <c r="F249" s="593">
        <f>F225+F229+F245+F241</f>
        <v>1229.72</v>
      </c>
      <c r="G249" s="570">
        <f>G225+G229+G241+G245</f>
        <v>1229.72</v>
      </c>
      <c r="H249" s="594">
        <f>H225+H229+H245+H241</f>
        <v>267.89599999999996</v>
      </c>
      <c r="I249" s="595">
        <f>I225+I229+I245+I241</f>
        <v>317.35899999999998</v>
      </c>
      <c r="J249" s="595">
        <f>J225+J229+J245+J241</f>
        <v>284.87</v>
      </c>
      <c r="K249" s="593">
        <f>K225+K229+K245+K241</f>
        <v>294.67499999999995</v>
      </c>
      <c r="L249" s="573">
        <f>L225+L229+L241+L245</f>
        <v>1164.8000000000002</v>
      </c>
      <c r="M249" s="594">
        <f>M225+M229+M245+M241</f>
        <v>296.89500000000004</v>
      </c>
      <c r="N249" s="595">
        <f>N225+N229+N245+N241</f>
        <v>320.14600000000002</v>
      </c>
      <c r="O249" s="595">
        <f>O225+O229+O245+O241</f>
        <v>319.12200000000001</v>
      </c>
      <c r="P249" s="593">
        <f>P225+P229+P245+P241</f>
        <v>358.53700000000003</v>
      </c>
      <c r="Q249" s="570">
        <f>Q225+Q229+Q241+Q245</f>
        <v>1294.7</v>
      </c>
      <c r="R249" s="576">
        <f>R225+R229+R245+R241</f>
        <v>423.28100000000001</v>
      </c>
      <c r="S249" s="576">
        <f>S225+S229+S245+S241</f>
        <v>410.08500000000004</v>
      </c>
      <c r="T249" s="576">
        <f>T225+T229+T245+T241</f>
        <v>403.71300000000002</v>
      </c>
      <c r="U249" s="576">
        <f>U225+U229+U245+U241</f>
        <v>429.52099999999996</v>
      </c>
      <c r="V249" s="570">
        <f>V225+V229+V241+V245</f>
        <v>1666.6</v>
      </c>
      <c r="W249" s="575">
        <f>W225+W229+W245+W241</f>
        <v>472.88200000000006</v>
      </c>
      <c r="X249" s="575">
        <f>X225+X229+X245+X241</f>
        <v>496.029</v>
      </c>
      <c r="Y249" s="575">
        <f>Y225+Y229+Y245+Y241</f>
        <v>487.03899999999999</v>
      </c>
      <c r="Z249" s="575">
        <f>Z225+Z229+Z245+Z241</f>
        <v>510.37099999999992</v>
      </c>
      <c r="AA249" s="570">
        <f>AA225+AA229+AA241+AA245</f>
        <v>1966.3209999999999</v>
      </c>
      <c r="AB249" s="575">
        <f>AB225+AB229+AB245+AB241</f>
        <v>496.59363299999995</v>
      </c>
      <c r="AC249" s="575">
        <f>AC225+AC229+AC245+AC241</f>
        <v>526.81892157499988</v>
      </c>
      <c r="AD249" s="575">
        <f>AD225+AD229+AD245+AD241</f>
        <v>555.11502793862485</v>
      </c>
      <c r="AE249" s="575">
        <f>AE225+AE229+AE245+AE241</f>
        <v>544.68224927770427</v>
      </c>
      <c r="AF249" s="570">
        <f>AF225+AF229+AF241+AF245</f>
        <v>2123.2098317913292</v>
      </c>
      <c r="AG249" s="576">
        <f>AG225+AG229+AG245+AG241</f>
        <v>528.25363570486979</v>
      </c>
      <c r="AH249" s="576">
        <f>AH225+AH229+AH245+AH241</f>
        <v>560.71013751052271</v>
      </c>
      <c r="AI249" s="576">
        <f>AI225+AI229+AI245+AI241</f>
        <v>591.0898506262206</v>
      </c>
      <c r="AJ249" s="576">
        <f>AJ225+AJ229+AJ245+AJ241</f>
        <v>579.79627999553384</v>
      </c>
      <c r="AK249" s="570">
        <f>AK225+AK229+AK241+AK245</f>
        <v>2259.8499038371474</v>
      </c>
      <c r="AL249" s="576">
        <f>AL225+AL229+AL245+AL241</f>
        <v>562.05017248775482</v>
      </c>
      <c r="AM249" s="576">
        <f>AM225+AM229+AM245+AM241</f>
        <v>596.90341533767719</v>
      </c>
      <c r="AN249" s="576">
        <f>AN225+AN229+AN245+AN241</f>
        <v>629.52098426081341</v>
      </c>
      <c r="AO249" s="576">
        <f>AO225+AO229+AO245+AO241</f>
        <v>617.2970348369995</v>
      </c>
      <c r="AP249" s="570">
        <f>AP225+AP229+AP241+AP245</f>
        <v>2405.7716069232451</v>
      </c>
      <c r="AQ249" s="576">
        <f>AQ225+AQ229+AQ245+AQ241</f>
        <v>598.12907472205632</v>
      </c>
      <c r="AR249" s="577">
        <f>AR225+AR229+AR245+AR241</f>
        <v>635.55691836545122</v>
      </c>
      <c r="AS249" s="577">
        <f>AS225+AS229+AS245+AS241</f>
        <v>670.57806317867744</v>
      </c>
      <c r="AT249" s="577">
        <f>AT225+AT229+AT245+AT241</f>
        <v>657.34860386036439</v>
      </c>
      <c r="AU249" s="578">
        <f>AU225+AU229+AU241+AU245</f>
        <v>2561.6126601265496</v>
      </c>
      <c r="AV249" s="576">
        <f>AV225+AV229+AV245+AV241</f>
        <v>636.64624169232184</v>
      </c>
      <c r="AW249" s="576">
        <f>AW225+AW229+AW245+AW241</f>
        <v>676.83979981198559</v>
      </c>
      <c r="AX249" s="577">
        <f>AX225+AX229+AX245+AX241</f>
        <v>714.44256796577838</v>
      </c>
      <c r="AY249" s="577">
        <f>AY225+AY229+AY245+AY241</f>
        <v>700.12648631905631</v>
      </c>
      <c r="AZ249" s="578">
        <f>AZ225+AZ229+AZ241+AZ245</f>
        <v>2728.0550957891423</v>
      </c>
      <c r="BA249" s="577">
        <f>BA225+BA229+BA245+BA241</f>
        <v>677.76834345472207</v>
      </c>
      <c r="BB249" s="577">
        <f>BB225+BB229+BB245+BB241</f>
        <v>720.93297480238698</v>
      </c>
      <c r="BC249" s="576">
        <f>BC225+BC229+BC245+BC241</f>
        <v>761.30866158893843</v>
      </c>
      <c r="BD249" s="577">
        <f>BD225+BD229+BD245+BD241</f>
        <v>745.81839261393179</v>
      </c>
      <c r="BE249" s="578">
        <f>BE225+BE229+BE241+BE245</f>
        <v>2905.8283724599796</v>
      </c>
      <c r="BF249" s="576">
        <f>BF225+BF229+BF245+BF241</f>
        <v>721.67357329192771</v>
      </c>
      <c r="BG249" s="577">
        <f>BG225+BG229+BG245+BG241</f>
        <v>768.02994715803493</v>
      </c>
      <c r="BH249" s="577">
        <f>BH225+BH229+BH245+BH241</f>
        <v>811.38408513442437</v>
      </c>
      <c r="BI249" s="577">
        <f>BI225+BI229+BI245+BI241</f>
        <v>794.62510319628814</v>
      </c>
      <c r="BJ249" s="578">
        <f>BJ225+BJ229+BJ241+BJ245</f>
        <v>3095.7127087806748</v>
      </c>
      <c r="BK249" s="577">
        <f>BK225+BK229+BK245+BK241</f>
        <v>768.55245329696709</v>
      </c>
      <c r="BL249" s="577">
        <f>BL225+BL229+BL245+BL241</f>
        <v>818.33769490342115</v>
      </c>
      <c r="BM249" s="577">
        <f>BM225+BM229+BM245+BM241</f>
        <v>864.89111744243678</v>
      </c>
      <c r="BN249" s="577">
        <f>BN225+BN229+BN245+BN241</f>
        <v>846.76138850456914</v>
      </c>
      <c r="BO249" s="578">
        <f>BO225+BO229+BO241+BO245</f>
        <v>3298.5426541473944</v>
      </c>
      <c r="BP249" s="577">
        <f>BP225+BP229+BP245+BP241</f>
        <v>818.60869687488025</v>
      </c>
      <c r="BQ249" s="577">
        <f>BQ225+BQ229+BQ245+BQ241</f>
        <v>872.07761870033505</v>
      </c>
      <c r="BR249" s="577">
        <f>BR225+BR229+BR245+BR241</f>
        <v>922.06760323707965</v>
      </c>
      <c r="BS249" s="577">
        <f>BS225+BS229+BS245+BS241</f>
        <v>902.4569943129693</v>
      </c>
      <c r="BT249" s="578">
        <f>BT225+BT229+BT241+BT245</f>
        <v>3515.2109131252641</v>
      </c>
      <c r="BU249" s="577">
        <f>BU225+BU229+BU245+BU241</f>
        <v>872.06013222365482</v>
      </c>
      <c r="BV249" s="577">
        <f>BV225+BV229+BV245+BV241</f>
        <v>929.48655772363838</v>
      </c>
      <c r="BW249" s="577">
        <f>BW225+BW229+BW245+BW241</f>
        <v>983.16805468520693</v>
      </c>
      <c r="BX249" s="577">
        <f>BX225+BX229+BX245+BX241</f>
        <v>961.95769718689564</v>
      </c>
      <c r="BY249" s="578">
        <f>BY225+BY229+BY241+BY245</f>
        <v>3746.6724418193958</v>
      </c>
      <c r="BZ249" s="577">
        <f>BZ225+BZ229+BZ245+BZ241</f>
        <v>929.1396911483854</v>
      </c>
      <c r="CA249" s="577">
        <f>CA225+CA229+CA245+CA241</f>
        <v>990.81787781950368</v>
      </c>
      <c r="CB249" s="577">
        <f>CB225+CB229+CB245+CB241</f>
        <v>1048.4648316757844</v>
      </c>
      <c r="CC249" s="577">
        <f>CC225+CC229+CC245+CC241</f>
        <v>1025.5264350801192</v>
      </c>
      <c r="CD249" s="578">
        <f>CD225+CD229+CD241+CD245</f>
        <v>3993.9488357237929</v>
      </c>
      <c r="CE249" s="577">
        <f>CE225+CE229+CE245+CE241</f>
        <v>990.09646787628731</v>
      </c>
      <c r="CF249" s="577">
        <f>CF225+CF229+CF245+CF241</f>
        <v>1056.3426371374201</v>
      </c>
      <c r="CG249" s="577">
        <f>CG225+CG229+CG245+CG241</f>
        <v>1118.2494064958325</v>
      </c>
      <c r="CH249" s="577">
        <f>CH225+CH229+CH245+CH241</f>
        <v>1093.4445184730871</v>
      </c>
      <c r="CI249" s="578">
        <f>CI225+CI229+CI241+CI245</f>
        <v>4258.1330299826268</v>
      </c>
      <c r="CJ249" s="577">
        <f>CJ225+CJ229+CJ245+CJ241</f>
        <v>1055.1968528766672</v>
      </c>
      <c r="CK249" s="577">
        <f>CK225+CK229+CK245+CK241</f>
        <v>1126.3508348032728</v>
      </c>
      <c r="CL249" s="577">
        <f>CL225+CL229+CL245+CL241</f>
        <v>1192.8337189915758</v>
      </c>
      <c r="CM249" s="577">
        <f>CM225+CM229+CM245+CM241</f>
        <v>1166.0129278431325</v>
      </c>
      <c r="CN249" s="578">
        <f>CN225+CN229+CN241+CN245</f>
        <v>4540.3943345146481</v>
      </c>
      <c r="CO249" s="577">
        <f>CO225+CO229+CO245+CO241</f>
        <v>1124.7257470508762</v>
      </c>
      <c r="CP249" s="577">
        <f>CP225+CP229+CP245+CP241</f>
        <v>1201.1527486042373</v>
      </c>
      <c r="CQ249" s="577">
        <f>CQ225+CQ229+CQ245+CQ241</f>
        <v>1272.5516287461903</v>
      </c>
      <c r="CR249" s="577">
        <f>CR225+CR229+CR245+CR241</f>
        <v>1243.5537036771343</v>
      </c>
      <c r="CS249" s="578">
        <f>CS225+CS229+CS241+CS245</f>
        <v>4841.9838280784379</v>
      </c>
      <c r="CT249" s="577">
        <f>CT225+CT229+CT245+CT241</f>
        <v>1198.9878620444351</v>
      </c>
      <c r="CU249" s="577">
        <f>CU225+CU229+CU245+CU241</f>
        <v>1281.0803680891172</v>
      </c>
      <c r="CV249" s="577">
        <f>CV225+CV229+CV245+CV241</f>
        <v>1357.7604712807229</v>
      </c>
      <c r="CW249" s="577">
        <f>CW225+CW229+CW245+CW241</f>
        <v>1326.4114356876657</v>
      </c>
      <c r="CX249" s="578">
        <f>CX225+CX229+CX241+CX245</f>
        <v>5164.2401371019405</v>
      </c>
      <c r="CY249" s="1732"/>
      <c r="DA249" s="564"/>
      <c r="DB249" s="560"/>
      <c r="DC249" s="560"/>
    </row>
    <row r="250" spans="1:107" ht="12" hidden="1" customHeight="1" outlineLevel="1">
      <c r="A250" s="579" t="s">
        <v>622</v>
      </c>
      <c r="B250" s="579"/>
      <c r="C250" s="561"/>
      <c r="D250" s="562"/>
      <c r="E250" s="562"/>
      <c r="F250" s="580" t="s">
        <v>131</v>
      </c>
      <c r="G250" s="581" t="s">
        <v>131</v>
      </c>
      <c r="H250" s="582" t="s">
        <v>131</v>
      </c>
      <c r="I250" s="583" t="s">
        <v>131</v>
      </c>
      <c r="J250" s="583" t="s">
        <v>131</v>
      </c>
      <c r="K250" s="580" t="s">
        <v>131</v>
      </c>
      <c r="L250" s="582" t="s">
        <v>131</v>
      </c>
      <c r="M250" s="584">
        <f t="shared" ref="M250:AZ250" si="285">M249/H249-1</f>
        <v>0.10824723026846272</v>
      </c>
      <c r="N250" s="585">
        <f t="shared" si="285"/>
        <v>8.781852728298345E-3</v>
      </c>
      <c r="O250" s="585">
        <f t="shared" si="285"/>
        <v>0.12023730122512033</v>
      </c>
      <c r="P250" s="586">
        <f t="shared" si="285"/>
        <v>0.21672011538135272</v>
      </c>
      <c r="Q250" s="587">
        <f t="shared" si="285"/>
        <v>0.11152129120879106</v>
      </c>
      <c r="R250" s="588">
        <f t="shared" si="285"/>
        <v>0.42569258492059459</v>
      </c>
      <c r="S250" s="588">
        <f t="shared" si="285"/>
        <v>0.28093120013993622</v>
      </c>
      <c r="T250" s="588">
        <f t="shared" si="285"/>
        <v>0.26507417226013885</v>
      </c>
      <c r="U250" s="588">
        <f t="shared" si="285"/>
        <v>0.19798235607482617</v>
      </c>
      <c r="V250" s="587">
        <f t="shared" si="285"/>
        <v>0.2872480111222675</v>
      </c>
      <c r="W250" s="588">
        <f t="shared" si="285"/>
        <v>0.11718220283924885</v>
      </c>
      <c r="X250" s="588">
        <f t="shared" si="285"/>
        <v>0.20957606349903046</v>
      </c>
      <c r="Y250" s="588">
        <f t="shared" si="285"/>
        <v>0.20639910035099174</v>
      </c>
      <c r="Z250" s="588">
        <f t="shared" si="285"/>
        <v>0.18823293855248058</v>
      </c>
      <c r="AA250" s="587">
        <f t="shared" si="285"/>
        <v>0.17983979359174374</v>
      </c>
      <c r="AB250" s="588">
        <f t="shared" si="285"/>
        <v>5.0142811525919484E-2</v>
      </c>
      <c r="AC250" s="588">
        <f t="shared" si="285"/>
        <v>6.2072825530361975E-2</v>
      </c>
      <c r="AD250" s="588">
        <f t="shared" si="285"/>
        <v>0.13977531150200462</v>
      </c>
      <c r="AE250" s="588">
        <f t="shared" si="285"/>
        <v>6.7228054254070857E-2</v>
      </c>
      <c r="AF250" s="587">
        <f t="shared" si="285"/>
        <v>7.9788006023090441E-2</v>
      </c>
      <c r="AG250" s="588">
        <f t="shared" si="285"/>
        <v>6.3754346815940499E-2</v>
      </c>
      <c r="AH250" s="588">
        <f t="shared" si="285"/>
        <v>6.4331812217754525E-2</v>
      </c>
      <c r="AI250" s="588">
        <f t="shared" si="285"/>
        <v>6.4806068791157356E-2</v>
      </c>
      <c r="AJ250" s="588">
        <f t="shared" si="285"/>
        <v>6.4467000282079745E-2</v>
      </c>
      <c r="AK250" s="587">
        <f t="shared" si="285"/>
        <v>6.435542545059536E-2</v>
      </c>
      <c r="AL250" s="588">
        <f t="shared" si="285"/>
        <v>6.3977859305765161E-2</v>
      </c>
      <c r="AM250" s="588">
        <f t="shared" si="285"/>
        <v>6.4548998503661359E-2</v>
      </c>
      <c r="AN250" s="588">
        <f t="shared" si="285"/>
        <v>6.5017414178026423E-2</v>
      </c>
      <c r="AO250" s="588">
        <f t="shared" si="285"/>
        <v>6.4679191873660447E-2</v>
      </c>
      <c r="AP250" s="587">
        <f t="shared" si="285"/>
        <v>6.4571413720144744E-2</v>
      </c>
      <c r="AQ250" s="588">
        <f t="shared" si="285"/>
        <v>6.4191604238120759E-2</v>
      </c>
      <c r="AR250" s="589">
        <f t="shared" si="285"/>
        <v>6.4756712785614123E-2</v>
      </c>
      <c r="AS250" s="589">
        <f t="shared" si="285"/>
        <v>6.5219555732639156E-2</v>
      </c>
      <c r="AT250" s="589">
        <f t="shared" si="285"/>
        <v>6.4882166547164388E-2</v>
      </c>
      <c r="AU250" s="590">
        <f t="shared" si="285"/>
        <v>6.4777991707454907E-2</v>
      </c>
      <c r="AV250" s="588">
        <f t="shared" si="285"/>
        <v>6.4396078702851911E-2</v>
      </c>
      <c r="AW250" s="588">
        <f t="shared" si="285"/>
        <v>6.4955443412853198E-2</v>
      </c>
      <c r="AX250" s="589">
        <f t="shared" si="285"/>
        <v>6.5412973068600166E-2</v>
      </c>
      <c r="AY250" s="589">
        <f t="shared" si="285"/>
        <v>6.5076402699379532E-2</v>
      </c>
      <c r="AZ250" s="590">
        <f t="shared" si="285"/>
        <v>6.4975645324289566E-2</v>
      </c>
      <c r="BA250" s="589">
        <f t="shared" ref="BA250:BJ250" si="286">BA249/AV249-1</f>
        <v>6.4591760807525045E-2</v>
      </c>
      <c r="BB250" s="589">
        <f t="shared" si="286"/>
        <v>6.5145659286953483E-2</v>
      </c>
      <c r="BC250" s="588">
        <f t="shared" si="286"/>
        <v>6.5598126041959137E-2</v>
      </c>
      <c r="BD250" s="589">
        <f t="shared" si="286"/>
        <v>6.5262359284680826E-2</v>
      </c>
      <c r="BE250" s="590">
        <f t="shared" si="286"/>
        <v>6.5164841041970512E-2</v>
      </c>
      <c r="BF250" s="588">
        <f t="shared" si="286"/>
        <v>6.4779109648898325E-2</v>
      </c>
      <c r="BG250" s="589">
        <f t="shared" si="286"/>
        <v>6.5327809937612447E-2</v>
      </c>
      <c r="BH250" s="589">
        <f t="shared" si="286"/>
        <v>6.5775454913349796E-2</v>
      </c>
      <c r="BI250" s="589">
        <f t="shared" si="286"/>
        <v>6.5440475946562993E-2</v>
      </c>
      <c r="BJ250" s="590">
        <f t="shared" si="286"/>
        <v>6.5346025980173472E-2</v>
      </c>
      <c r="BK250" s="589">
        <f t="shared" ref="BK250:BT250" si="287">BK249/BF249-1</f>
        <v>6.4958565395709877E-2</v>
      </c>
      <c r="BL250" s="589">
        <f t="shared" si="287"/>
        <v>6.550232569907144E-2</v>
      </c>
      <c r="BM250" s="589">
        <f t="shared" si="287"/>
        <v>6.5945380601281745E-2</v>
      </c>
      <c r="BN250" s="589">
        <f t="shared" si="287"/>
        <v>6.5611173242034138E-2</v>
      </c>
      <c r="BO250" s="590">
        <f t="shared" si="287"/>
        <v>6.5519628094497628E-2</v>
      </c>
      <c r="BP250" s="589">
        <f t="shared" si="287"/>
        <v>6.5130549467612653E-2</v>
      </c>
      <c r="BQ250" s="589">
        <f t="shared" si="287"/>
        <v>6.5669617972634375E-2</v>
      </c>
      <c r="BR250" s="589">
        <f t="shared" si="287"/>
        <v>6.6108305012680724E-2</v>
      </c>
      <c r="BS250" s="589">
        <f t="shared" si="287"/>
        <v>6.577485294500951E-2</v>
      </c>
      <c r="BT250" s="590">
        <f t="shared" si="287"/>
        <v>6.5686056448426955E-2</v>
      </c>
      <c r="BU250" s="589">
        <f t="shared" ref="BU250:CD250" si="288">BU249/BP249-1</f>
        <v>6.5295464796343738E-2</v>
      </c>
      <c r="BV250" s="589">
        <f t="shared" si="288"/>
        <v>6.5830079562023913E-2</v>
      </c>
      <c r="BW250" s="589">
        <f t="shared" si="288"/>
        <v>6.6264611438058729E-2</v>
      </c>
      <c r="BX250" s="589">
        <f t="shared" si="288"/>
        <v>6.5931898416083046E-2</v>
      </c>
      <c r="BY250" s="590">
        <f t="shared" si="288"/>
        <v>6.5845701556594971E-2</v>
      </c>
      <c r="BZ250" s="589">
        <f t="shared" si="288"/>
        <v>6.545369615646135E-2</v>
      </c>
      <c r="CA250" s="589">
        <f t="shared" si="288"/>
        <v>6.5984085069577425E-2</v>
      </c>
      <c r="CB250" s="589">
        <f t="shared" si="288"/>
        <v>6.6414664999957074E-2</v>
      </c>
      <c r="CC250" s="589">
        <f t="shared" si="288"/>
        <v>6.6082675027312465E-2</v>
      </c>
      <c r="CD250" s="590">
        <f t="shared" si="288"/>
        <v>6.5998935787490165E-2</v>
      </c>
      <c r="CE250" s="589">
        <f t="shared" ref="CE250:CN250" si="289">CE249/BZ249-1</f>
        <v>6.5605610554169136E-2</v>
      </c>
      <c r="CF250" s="589">
        <f t="shared" si="289"/>
        <v>6.6131991342462504E-2</v>
      </c>
      <c r="CG250" s="589">
        <f t="shared" si="289"/>
        <v>6.6558813144461881E-2</v>
      </c>
      <c r="CH250" s="589">
        <f t="shared" si="289"/>
        <v>6.6227530631779219E-2</v>
      </c>
      <c r="CI250" s="590">
        <f t="shared" si="289"/>
        <v>6.6146113814940177E-2</v>
      </c>
      <c r="CJ250" s="589">
        <f t="shared" si="289"/>
        <v>6.5751557663888294E-2</v>
      </c>
      <c r="CK250" s="589">
        <f t="shared" si="289"/>
        <v>6.6274137959221102E-2</v>
      </c>
      <c r="CL250" s="589">
        <f t="shared" si="289"/>
        <v>6.669738616670684E-2</v>
      </c>
      <c r="CM250" s="589">
        <f t="shared" si="289"/>
        <v>6.6366796068795253E-2</v>
      </c>
      <c r="CN250" s="590">
        <f t="shared" si="289"/>
        <v>6.628757310881217E-2</v>
      </c>
      <c r="CO250" s="589">
        <f t="shared" ref="CO250:CX250" si="290">CO249/CJ249-1</f>
        <v>6.5891870303308897E-2</v>
      </c>
      <c r="CP250" s="589">
        <f t="shared" si="290"/>
        <v>6.6410847748010315E-2</v>
      </c>
      <c r="CQ250" s="589">
        <f t="shared" si="290"/>
        <v>6.683069776230699E-2</v>
      </c>
      <c r="CR250" s="589">
        <f t="shared" si="290"/>
        <v>6.6500785696634868E-2</v>
      </c>
      <c r="CS250" s="590">
        <f t="shared" si="290"/>
        <v>6.6423634456417524E-2</v>
      </c>
      <c r="CT250" s="589">
        <f t="shared" si="290"/>
        <v>6.6026864938657504E-2</v>
      </c>
      <c r="CU250" s="589">
        <f t="shared" si="290"/>
        <v>6.6542427328878384E-2</v>
      </c>
      <c r="CV250" s="589">
        <f t="shared" si="290"/>
        <v>6.6959045597612787E-2</v>
      </c>
      <c r="CW250" s="589">
        <f t="shared" si="290"/>
        <v>6.6629797945617186E-2</v>
      </c>
      <c r="CX250" s="590">
        <f t="shared" si="290"/>
        <v>6.6554602507086669E-2</v>
      </c>
      <c r="CY250" s="1733"/>
      <c r="DA250" s="564"/>
      <c r="DB250" s="560"/>
      <c r="DC250" s="560"/>
    </row>
    <row r="251" spans="1:107" ht="12" hidden="1" customHeight="1" outlineLevel="1">
      <c r="A251" s="579" t="s">
        <v>709</v>
      </c>
      <c r="B251" s="579"/>
      <c r="C251" s="561"/>
      <c r="D251" s="562"/>
      <c r="E251" s="562"/>
      <c r="F251" s="586"/>
      <c r="G251" s="581" t="s">
        <v>131</v>
      </c>
      <c r="H251" s="582" t="s">
        <v>131</v>
      </c>
      <c r="I251" s="585">
        <f>I249/H249-1</f>
        <v>0.18463508227073211</v>
      </c>
      <c r="J251" s="585">
        <f>J249/I249-1</f>
        <v>-0.10237302235008294</v>
      </c>
      <c r="K251" s="586">
        <f>K249/J249-1</f>
        <v>3.4419208761891307E-2</v>
      </c>
      <c r="L251" s="582" t="s">
        <v>131</v>
      </c>
      <c r="M251" s="584">
        <f>M249/K249-1</f>
        <v>7.5337235937900093E-3</v>
      </c>
      <c r="N251" s="585">
        <f>N249/M249-1</f>
        <v>7.8313882012159164E-2</v>
      </c>
      <c r="O251" s="585">
        <f>O249/N249-1</f>
        <v>-3.198540665821259E-3</v>
      </c>
      <c r="P251" s="586">
        <f>P249/O249-1</f>
        <v>0.12351075764127839</v>
      </c>
      <c r="Q251" s="581" t="s">
        <v>131</v>
      </c>
      <c r="R251" s="588">
        <f>R249/P249-1</f>
        <v>0.18057829456931906</v>
      </c>
      <c r="S251" s="588">
        <f>S249/R249-1</f>
        <v>-3.1175507523370949E-2</v>
      </c>
      <c r="T251" s="588">
        <f>T249/S249-1</f>
        <v>-1.5538242071765684E-2</v>
      </c>
      <c r="U251" s="588">
        <f>U249/T249-1</f>
        <v>6.3926601323217147E-2</v>
      </c>
      <c r="V251" s="581" t="s">
        <v>131</v>
      </c>
      <c r="W251" s="588">
        <f>W249/U249-1</f>
        <v>0.1009519907059262</v>
      </c>
      <c r="X251" s="588">
        <f>X249/W249-1</f>
        <v>4.8948786377996933E-2</v>
      </c>
      <c r="Y251" s="588">
        <f>Y249/X249-1</f>
        <v>-1.812394033413367E-2</v>
      </c>
      <c r="Z251" s="588">
        <f>Z249/Y249-1</f>
        <v>4.7905814524093371E-2</v>
      </c>
      <c r="AA251" s="581" t="s">
        <v>131</v>
      </c>
      <c r="AB251" s="588">
        <f>AB249/Z249-1</f>
        <v>-2.6994807698713208E-2</v>
      </c>
      <c r="AC251" s="588">
        <f>AC249/AB249-1</f>
        <v>6.0865235811430329E-2</v>
      </c>
      <c r="AD251" s="588">
        <f>AD249/AC249-1</f>
        <v>5.3711256761677761E-2</v>
      </c>
      <c r="AE251" s="588">
        <f>AE249/AD249-1</f>
        <v>-1.8793904210559487E-2</v>
      </c>
      <c r="AF251" s="581" t="s">
        <v>131</v>
      </c>
      <c r="AG251" s="588">
        <f>AG249/AE249-1</f>
        <v>-3.0161830304953452E-2</v>
      </c>
      <c r="AH251" s="588">
        <f>AH249/AG249-1</f>
        <v>6.1441132842076751E-2</v>
      </c>
      <c r="AI251" s="588">
        <f>AI249/AH249-1</f>
        <v>5.4180780912183479E-2</v>
      </c>
      <c r="AJ251" s="588">
        <f>AJ249/AI249-1</f>
        <v>-1.9106351798668153E-2</v>
      </c>
      <c r="AK251" s="581" t="s">
        <v>131</v>
      </c>
      <c r="AL251" s="588">
        <f>AL249/AJ249-1</f>
        <v>-3.0607487698809832E-2</v>
      </c>
      <c r="AM251" s="588">
        <f>AM249/AL249-1</f>
        <v>6.201091033502304E-2</v>
      </c>
      <c r="AN251" s="588">
        <f>AN249/AM249-1</f>
        <v>5.4644634433334449E-2</v>
      </c>
      <c r="AO251" s="588">
        <f>AO249/AN249-1</f>
        <v>-1.9417858545521471E-2</v>
      </c>
      <c r="AP251" s="581" t="s">
        <v>131</v>
      </c>
      <c r="AQ251" s="588">
        <f>AQ249/AO249-1</f>
        <v>-3.105143720640835E-2</v>
      </c>
      <c r="AR251" s="589">
        <f>AR249/AQ249-1</f>
        <v>6.2574860887321337E-2</v>
      </c>
      <c r="AS251" s="589">
        <f>AS249/AR249-1</f>
        <v>5.5103081724442449E-2</v>
      </c>
      <c r="AT251" s="589">
        <f>AT249/AS249-1</f>
        <v>-1.9728440348320775E-2</v>
      </c>
      <c r="AU251" s="592" t="s">
        <v>131</v>
      </c>
      <c r="AV251" s="588">
        <f>AV249/AT249-1</f>
        <v>-3.14937341411623E-2</v>
      </c>
      <c r="AW251" s="588">
        <f>AW249/AV249-1</f>
        <v>6.3133268505319196E-2</v>
      </c>
      <c r="AX251" s="589">
        <f>AX249/AW249-1</f>
        <v>5.5556378576198107E-2</v>
      </c>
      <c r="AY251" s="589">
        <f>AY249/AX249-1</f>
        <v>-2.0038114032712273E-2</v>
      </c>
      <c r="AZ251" s="592" t="s">
        <v>131</v>
      </c>
      <c r="BA251" s="589">
        <f>BA249/AY249-1</f>
        <v>-3.1934433707662024E-2</v>
      </c>
      <c r="BB251" s="589">
        <f>BB249/BA249-1</f>
        <v>6.3686408143003748E-2</v>
      </c>
      <c r="BC251" s="588">
        <f>BC249/BB249-1</f>
        <v>5.6004771868867209E-2</v>
      </c>
      <c r="BD251" s="589">
        <f>BD249/BC249-1</f>
        <v>-2.0346897068892811E-2</v>
      </c>
      <c r="BE251" s="592" t="s">
        <v>131</v>
      </c>
      <c r="BF251" s="588">
        <f>BF249/BD249-1</f>
        <v>-3.2373590623558823E-2</v>
      </c>
      <c r="BG251" s="589">
        <f>BG249/BF249-1</f>
        <v>6.4234545342503946E-2</v>
      </c>
      <c r="BH251" s="589">
        <f>BH249/BG249-1</f>
        <v>5.6448499354503134E-2</v>
      </c>
      <c r="BI251" s="589">
        <f>BI249/BH249-1</f>
        <v>-2.0654807316512369E-2</v>
      </c>
      <c r="BJ251" s="592" t="s">
        <v>131</v>
      </c>
      <c r="BK251" s="589">
        <f>BK249/BI249-1</f>
        <v>-3.2811258786623831E-2</v>
      </c>
      <c r="BL251" s="589">
        <f>BL249/BK249-1</f>
        <v>6.4777935966352507E-2</v>
      </c>
      <c r="BM251" s="589">
        <f>BM249/BL249-1</f>
        <v>5.6887789513972997E-2</v>
      </c>
      <c r="BN251" s="589">
        <f>BN249/BM249-1</f>
        <v>-2.096186279664769E-2</v>
      </c>
      <c r="BO251" s="592" t="s">
        <v>131</v>
      </c>
      <c r="BP251" s="589">
        <f>BP249/BN249-1</f>
        <v>-3.3247490983744798E-2</v>
      </c>
      <c r="BQ251" s="589">
        <f>BQ249/BP249-1</f>
        <v>6.5316826011716733E-2</v>
      </c>
      <c r="BR251" s="589">
        <f>BR249/BQ249-1</f>
        <v>5.7322861480203047E-2</v>
      </c>
      <c r="BS251" s="589">
        <f>BS249/BR249-1</f>
        <v>-2.1268081489105417E-2</v>
      </c>
      <c r="BT251" s="592" t="s">
        <v>131</v>
      </c>
      <c r="BU251" s="589">
        <f>BU249/BS249-1</f>
        <v>-3.3682338638701848E-2</v>
      </c>
      <c r="BV251" s="589">
        <f>BV249/BU249-1</f>
        <v>6.5851451497447311E-2</v>
      </c>
      <c r="BW251" s="589">
        <f>BW249/BV249-1</f>
        <v>5.7753925019676799E-2</v>
      </c>
      <c r="BX251" s="589">
        <f>BX249/BW249-1</f>
        <v>-2.1573481153333907E-2</v>
      </c>
      <c r="BY251" s="592" t="s">
        <v>131</v>
      </c>
      <c r="BZ251" s="589">
        <f>BZ249/BX249-1</f>
        <v>-3.4115851595638458E-2</v>
      </c>
      <c r="CA251" s="589">
        <f>CA249/BZ249-1</f>
        <v>6.6382038415435884E-2</v>
      </c>
      <c r="CB251" s="589">
        <f>CB249/CA249-1</f>
        <v>5.8181180564832458E-2</v>
      </c>
      <c r="CC251" s="589">
        <f>CC249/CB249-1</f>
        <v>-2.1878079171241405E-2</v>
      </c>
      <c r="CD251" s="592" t="s">
        <v>131</v>
      </c>
      <c r="CE251" s="589">
        <f>CE249/CC249-1</f>
        <v>-3.4548077935274257E-2</v>
      </c>
      <c r="CF251" s="589">
        <f>CF249/CE249-1</f>
        <v>6.690880273841171E-2</v>
      </c>
      <c r="CG251" s="589">
        <f>CG249/CF249-1</f>
        <v>5.8604819290617227E-2</v>
      </c>
      <c r="CH251" s="589">
        <f>CH249/CG249-1</f>
        <v>-2.2181892410275905E-2</v>
      </c>
      <c r="CI251" s="592" t="s">
        <v>131</v>
      </c>
      <c r="CJ251" s="589">
        <f>CJ249/CH249-1</f>
        <v>-3.4979063821024892E-2</v>
      </c>
      <c r="CK251" s="589">
        <f>CK249/CJ249-1</f>
        <v>6.743195047694317E-2</v>
      </c>
      <c r="CL251" s="589">
        <f>CL249/CK249-1</f>
        <v>5.9025023229032136E-2</v>
      </c>
      <c r="CM251" s="589">
        <f>CM249/CL249-1</f>
        <v>-2.2484937105162972E-2</v>
      </c>
      <c r="CN251" s="592" t="s">
        <v>131</v>
      </c>
      <c r="CO251" s="589">
        <f>CO249/CM249-1</f>
        <v>-3.5408853372345117E-2</v>
      </c>
      <c r="CP251" s="589">
        <f>CP249/CO249-1</f>
        <v>6.7951677779013231E-2</v>
      </c>
      <c r="CQ251" s="589">
        <f>CQ249/CP249-1</f>
        <v>5.9441965416072051E-2</v>
      </c>
      <c r="CR251" s="589">
        <f>CR249/CQ249-1</f>
        <v>-2.2787228756782851E-2</v>
      </c>
      <c r="CS251" s="592" t="s">
        <v>131</v>
      </c>
      <c r="CT251" s="589">
        <f>CT249/CR249-1</f>
        <v>-3.5837488562753594E-2</v>
      </c>
      <c r="CU251" s="589">
        <f>CU249/CT249-1</f>
        <v>6.8468171066138561E-2</v>
      </c>
      <c r="CV251" s="589">
        <f>CV249/CU249-1</f>
        <v>5.9855810065986059E-2</v>
      </c>
      <c r="CW251" s="589">
        <f>CW249/CV249-1</f>
        <v>-2.3088782046723488E-2</v>
      </c>
      <c r="CX251" s="592" t="s">
        <v>131</v>
      </c>
      <c r="CY251" s="1734"/>
      <c r="DA251" s="564"/>
      <c r="DB251" s="560"/>
      <c r="DC251" s="560"/>
    </row>
    <row r="252" spans="1:107" ht="12" hidden="1" customHeight="1" outlineLevel="1">
      <c r="A252" s="560"/>
      <c r="B252" s="560"/>
      <c r="C252" s="561"/>
      <c r="D252" s="562"/>
      <c r="E252" s="562"/>
      <c r="F252" s="563"/>
      <c r="G252" s="286"/>
      <c r="H252" s="594"/>
      <c r="I252" s="595"/>
      <c r="J252" s="595"/>
      <c r="K252" s="593"/>
      <c r="L252" s="594"/>
      <c r="M252" s="594"/>
      <c r="N252" s="595"/>
      <c r="O252" s="595"/>
      <c r="P252" s="593"/>
      <c r="Q252" s="286"/>
      <c r="R252" s="576"/>
      <c r="S252" s="576"/>
      <c r="T252" s="576"/>
      <c r="U252" s="576"/>
      <c r="V252" s="286"/>
      <c r="W252" s="604" t="str">
        <f>IF(W249=Model!W24," ",W249-Model!W24)</f>
        <v xml:space="preserve"> </v>
      </c>
      <c r="X252" s="604" t="str">
        <f>IF(X249=Model!X24," ",X249-Model!X24)</f>
        <v xml:space="preserve"> </v>
      </c>
      <c r="Y252" s="604" t="str">
        <f>IF(Y249=Model!Y24," ",Y249-Model!Y24)</f>
        <v xml:space="preserve"> </v>
      </c>
      <c r="Z252" s="604" t="str">
        <f>IF(Z249=Model!Z24," ",Z249-Model!Z24)</f>
        <v xml:space="preserve"> </v>
      </c>
      <c r="AA252" s="605" t="str">
        <f>IF(AA249=Model!AA24," ",AA249-Model!AA24)</f>
        <v xml:space="preserve"> </v>
      </c>
      <c r="AB252" s="576"/>
      <c r="AC252" s="576"/>
      <c r="AD252" s="576"/>
      <c r="AE252" s="576"/>
      <c r="AF252" s="286"/>
      <c r="AG252" s="576"/>
      <c r="AH252" s="576"/>
      <c r="AI252" s="576"/>
      <c r="AJ252" s="576"/>
      <c r="AK252" s="286"/>
      <c r="AL252" s="576"/>
      <c r="AM252" s="576"/>
      <c r="AN252" s="576"/>
      <c r="AO252" s="576"/>
      <c r="AP252" s="286"/>
      <c r="AQ252" s="576"/>
      <c r="AR252" s="577"/>
      <c r="AS252" s="577"/>
      <c r="AT252" s="577"/>
      <c r="AU252" s="287"/>
      <c r="AV252" s="576"/>
      <c r="AW252" s="576"/>
      <c r="AX252" s="577"/>
      <c r="AY252" s="577"/>
      <c r="AZ252" s="287"/>
      <c r="BA252" s="577"/>
      <c r="BB252" s="577"/>
      <c r="BC252" s="576"/>
      <c r="BD252" s="577"/>
      <c r="BE252" s="287"/>
      <c r="BF252" s="576"/>
      <c r="BG252" s="577"/>
      <c r="BH252" s="577"/>
      <c r="BI252" s="577"/>
      <c r="BJ252" s="287"/>
      <c r="BK252" s="577"/>
      <c r="BL252" s="577"/>
      <c r="BM252" s="577"/>
      <c r="BN252" s="577"/>
      <c r="BO252" s="287"/>
      <c r="BP252" s="577"/>
      <c r="BQ252" s="577"/>
      <c r="BR252" s="577"/>
      <c r="BS252" s="577"/>
      <c r="BT252" s="287"/>
      <c r="BU252" s="577"/>
      <c r="BV252" s="577"/>
      <c r="BW252" s="577"/>
      <c r="BX252" s="577"/>
      <c r="BY252" s="287"/>
      <c r="BZ252" s="577"/>
      <c r="CA252" s="577"/>
      <c r="CB252" s="577"/>
      <c r="CC252" s="577"/>
      <c r="CD252" s="287"/>
      <c r="CE252" s="577"/>
      <c r="CF252" s="577"/>
      <c r="CG252" s="577"/>
      <c r="CH252" s="577"/>
      <c r="CI252" s="287"/>
      <c r="CJ252" s="577"/>
      <c r="CK252" s="577"/>
      <c r="CL252" s="577"/>
      <c r="CM252" s="577"/>
      <c r="CN252" s="287"/>
      <c r="CO252" s="577"/>
      <c r="CP252" s="577"/>
      <c r="CQ252" s="577"/>
      <c r="CR252" s="577"/>
      <c r="CS252" s="287"/>
      <c r="CT252" s="577"/>
      <c r="CU252" s="577"/>
      <c r="CV252" s="577"/>
      <c r="CW252" s="577"/>
      <c r="CX252" s="287"/>
      <c r="CY252" s="1735"/>
      <c r="DA252" s="564"/>
      <c r="DB252" s="560"/>
      <c r="DC252" s="560"/>
    </row>
    <row r="253" spans="1:107" ht="12" hidden="1" customHeight="1" outlineLevel="1">
      <c r="A253" s="606" t="s">
        <v>702</v>
      </c>
      <c r="B253" s="606"/>
      <c r="C253" s="607"/>
      <c r="D253" s="608"/>
      <c r="E253" s="608"/>
      <c r="F253" s="609"/>
      <c r="G253" s="610"/>
      <c r="H253" s="611"/>
      <c r="I253" s="612"/>
      <c r="J253" s="612"/>
      <c r="K253" s="613"/>
      <c r="L253" s="611"/>
      <c r="M253" s="611"/>
      <c r="N253" s="612"/>
      <c r="O253" s="612"/>
      <c r="P253" s="613"/>
      <c r="Q253" s="610"/>
      <c r="R253" s="614"/>
      <c r="S253" s="614"/>
      <c r="T253" s="614"/>
      <c r="U253" s="614"/>
      <c r="V253" s="610"/>
      <c r="W253" s="615"/>
      <c r="X253" s="616" t="s">
        <v>302</v>
      </c>
      <c r="Y253" s="615"/>
      <c r="Z253" s="616" t="s">
        <v>301</v>
      </c>
      <c r="AA253" s="617"/>
      <c r="AB253" s="614"/>
      <c r="AC253" s="616" t="s">
        <v>684</v>
      </c>
      <c r="AD253" s="616"/>
      <c r="AE253" s="614"/>
      <c r="AF253" s="610"/>
      <c r="AG253" s="618"/>
      <c r="AH253" s="618"/>
      <c r="AI253" s="618"/>
      <c r="AJ253" s="618"/>
      <c r="AK253" s="610"/>
      <c r="AL253" s="618"/>
      <c r="AM253" s="618"/>
      <c r="AN253" s="618"/>
      <c r="AO253" s="618"/>
      <c r="AP253" s="610"/>
      <c r="AQ253" s="618"/>
      <c r="AR253" s="619"/>
      <c r="AS253" s="619"/>
      <c r="AT253" s="619"/>
      <c r="AU253" s="620"/>
      <c r="AV253" s="618"/>
      <c r="AW253" s="618"/>
      <c r="AX253" s="619"/>
      <c r="AY253" s="619"/>
      <c r="AZ253" s="620"/>
      <c r="BA253" s="619"/>
      <c r="BB253" s="619"/>
      <c r="BC253" s="618"/>
      <c r="BD253" s="619"/>
      <c r="BE253" s="620"/>
      <c r="BF253" s="618"/>
      <c r="BG253" s="619"/>
      <c r="BH253" s="619"/>
      <c r="BI253" s="619"/>
      <c r="BJ253" s="620"/>
      <c r="BK253" s="619"/>
      <c r="BL253" s="619"/>
      <c r="BM253" s="619"/>
      <c r="BN253" s="619"/>
      <c r="BO253" s="620"/>
      <c r="BP253" s="619"/>
      <c r="BQ253" s="619"/>
      <c r="BR253" s="619"/>
      <c r="BS253" s="619"/>
      <c r="BT253" s="620"/>
      <c r="BU253" s="619"/>
      <c r="BV253" s="619"/>
      <c r="BW253" s="619"/>
      <c r="BX253" s="619"/>
      <c r="BY253" s="620"/>
      <c r="BZ253" s="619"/>
      <c r="CA253" s="619"/>
      <c r="CB253" s="619"/>
      <c r="CC253" s="619"/>
      <c r="CD253" s="620"/>
      <c r="CE253" s="619"/>
      <c r="CF253" s="619"/>
      <c r="CG253" s="619"/>
      <c r="CH253" s="619"/>
      <c r="CI253" s="620"/>
      <c r="CJ253" s="619"/>
      <c r="CK253" s="619"/>
      <c r="CL253" s="619"/>
      <c r="CM253" s="619"/>
      <c r="CN253" s="620"/>
      <c r="CO253" s="619"/>
      <c r="CP253" s="619"/>
      <c r="CQ253" s="619"/>
      <c r="CR253" s="619"/>
      <c r="CS253" s="620"/>
      <c r="CT253" s="619"/>
      <c r="CU253" s="619"/>
      <c r="CV253" s="619"/>
      <c r="CW253" s="619"/>
      <c r="CX253" s="620"/>
      <c r="CY253" s="1737"/>
      <c r="DA253" s="621"/>
      <c r="DB253" s="606"/>
      <c r="DC253" s="606"/>
    </row>
    <row r="254" spans="1:107" ht="12" hidden="1" customHeight="1" outlineLevel="1">
      <c r="A254" s="560"/>
      <c r="B254" s="560"/>
      <c r="C254" s="561"/>
      <c r="D254" s="562"/>
      <c r="E254" s="562"/>
      <c r="F254" s="563"/>
      <c r="G254" s="286"/>
      <c r="H254" s="594"/>
      <c r="I254" s="595"/>
      <c r="J254" s="595"/>
      <c r="K254" s="593"/>
      <c r="L254" s="594"/>
      <c r="M254" s="594"/>
      <c r="N254" s="595"/>
      <c r="O254" s="595"/>
      <c r="P254" s="593"/>
      <c r="Q254" s="286"/>
      <c r="R254" s="576"/>
      <c r="S254" s="576"/>
      <c r="T254" s="576"/>
      <c r="U254" s="576"/>
      <c r="V254" s="286"/>
      <c r="W254" s="576"/>
      <c r="X254" s="576"/>
      <c r="Y254" s="576"/>
      <c r="Z254" s="576"/>
      <c r="AA254" s="286"/>
      <c r="AB254" s="576"/>
      <c r="AC254" s="576"/>
      <c r="AD254" s="576"/>
      <c r="AE254" s="576"/>
      <c r="AF254" s="286"/>
      <c r="AG254" s="576"/>
      <c r="AH254" s="576"/>
      <c r="AI254" s="576"/>
      <c r="AJ254" s="576"/>
      <c r="AK254" s="286"/>
      <c r="AL254" s="576"/>
      <c r="AM254" s="576"/>
      <c r="AN254" s="576"/>
      <c r="AO254" s="576"/>
      <c r="AP254" s="286"/>
      <c r="AQ254" s="576"/>
      <c r="AR254" s="577"/>
      <c r="AS254" s="577"/>
      <c r="AT254" s="577"/>
      <c r="AU254" s="287"/>
      <c r="AV254" s="576"/>
      <c r="AW254" s="576"/>
      <c r="AX254" s="577"/>
      <c r="AY254" s="577"/>
      <c r="AZ254" s="287"/>
      <c r="BA254" s="577"/>
      <c r="BB254" s="577"/>
      <c r="BC254" s="576"/>
      <c r="BD254" s="577"/>
      <c r="BE254" s="287"/>
      <c r="BF254" s="576"/>
      <c r="BG254" s="577"/>
      <c r="BH254" s="577"/>
      <c r="BI254" s="577"/>
      <c r="BJ254" s="287"/>
      <c r="BK254" s="577"/>
      <c r="BL254" s="577"/>
      <c r="BM254" s="577"/>
      <c r="BN254" s="577"/>
      <c r="BO254" s="287"/>
      <c r="BP254" s="577"/>
      <c r="BQ254" s="577"/>
      <c r="BR254" s="577"/>
      <c r="BS254" s="577"/>
      <c r="BT254" s="287"/>
      <c r="BU254" s="577"/>
      <c r="BV254" s="577"/>
      <c r="BW254" s="577"/>
      <c r="BX254" s="577"/>
      <c r="BY254" s="287"/>
      <c r="BZ254" s="577"/>
      <c r="CA254" s="577"/>
      <c r="CB254" s="577"/>
      <c r="CC254" s="577"/>
      <c r="CD254" s="287"/>
      <c r="CE254" s="577"/>
      <c r="CF254" s="577"/>
      <c r="CG254" s="577"/>
      <c r="CH254" s="577"/>
      <c r="CI254" s="287"/>
      <c r="CJ254" s="577"/>
      <c r="CK254" s="577"/>
      <c r="CL254" s="577"/>
      <c r="CM254" s="577"/>
      <c r="CN254" s="287"/>
      <c r="CO254" s="577"/>
      <c r="CP254" s="577"/>
      <c r="CQ254" s="577"/>
      <c r="CR254" s="577"/>
      <c r="CS254" s="287"/>
      <c r="CT254" s="577"/>
      <c r="CU254" s="577"/>
      <c r="CV254" s="577"/>
      <c r="CW254" s="577"/>
      <c r="CX254" s="287"/>
      <c r="CY254" s="1735"/>
      <c r="DA254" s="564"/>
      <c r="DB254" s="560"/>
      <c r="DC254" s="560"/>
    </row>
    <row r="255" spans="1:107" ht="12" hidden="1" customHeight="1" outlineLevel="1">
      <c r="A255" s="553" t="s">
        <v>362</v>
      </c>
      <c r="B255" s="553"/>
      <c r="C255" s="573"/>
      <c r="D255" s="622"/>
      <c r="E255" s="622"/>
      <c r="F255" s="623"/>
      <c r="G255" s="570"/>
      <c r="H255" s="573"/>
      <c r="I255" s="622"/>
      <c r="J255" s="622"/>
      <c r="K255" s="623"/>
      <c r="L255" s="573"/>
      <c r="M255" s="573"/>
      <c r="N255" s="622"/>
      <c r="O255" s="622"/>
      <c r="P255" s="623"/>
      <c r="Q255" s="570"/>
      <c r="R255" s="624"/>
      <c r="S255" s="624"/>
      <c r="T255" s="624"/>
      <c r="U255" s="624"/>
      <c r="V255" s="570"/>
      <c r="W255" s="624"/>
      <c r="X255" s="624"/>
      <c r="Y255" s="624"/>
      <c r="Z255" s="624"/>
      <c r="AA255" s="570"/>
      <c r="AB255" s="624"/>
      <c r="AC255" s="624"/>
      <c r="AD255" s="624"/>
      <c r="AE255" s="624"/>
      <c r="AF255" s="570"/>
      <c r="AG255" s="624"/>
      <c r="AH255" s="624"/>
      <c r="AI255" s="624"/>
      <c r="AJ255" s="624"/>
      <c r="AK255" s="570"/>
      <c r="AL255" s="624"/>
      <c r="AM255" s="624"/>
      <c r="AN255" s="624"/>
      <c r="AO255" s="624"/>
      <c r="AP255" s="570"/>
      <c r="AQ255" s="624"/>
      <c r="AR255" s="625"/>
      <c r="AS255" s="625"/>
      <c r="AT255" s="625"/>
      <c r="AU255" s="578"/>
      <c r="AV255" s="624"/>
      <c r="AW255" s="624"/>
      <c r="AX255" s="625"/>
      <c r="AY255" s="625"/>
      <c r="AZ255" s="578"/>
      <c r="BA255" s="625"/>
      <c r="BB255" s="625"/>
      <c r="BC255" s="624"/>
      <c r="BD255" s="625"/>
      <c r="BE255" s="578"/>
      <c r="BF255" s="624"/>
      <c r="BG255" s="625"/>
      <c r="BH255" s="625"/>
      <c r="BI255" s="625"/>
      <c r="BJ255" s="578"/>
      <c r="BK255" s="625"/>
      <c r="BL255" s="625"/>
      <c r="BM255" s="625"/>
      <c r="BN255" s="625"/>
      <c r="BO255" s="578"/>
      <c r="BP255" s="625"/>
      <c r="BQ255" s="625"/>
      <c r="BR255" s="625"/>
      <c r="BS255" s="625"/>
      <c r="BT255" s="578"/>
      <c r="BU255" s="625"/>
      <c r="BV255" s="625"/>
      <c r="BW255" s="625"/>
      <c r="BX255" s="625"/>
      <c r="BY255" s="578"/>
      <c r="BZ255" s="625"/>
      <c r="CA255" s="625"/>
      <c r="CB255" s="625"/>
      <c r="CC255" s="625"/>
      <c r="CD255" s="578"/>
      <c r="CE255" s="625"/>
      <c r="CF255" s="625"/>
      <c r="CG255" s="625"/>
      <c r="CH255" s="625"/>
      <c r="CI255" s="578"/>
      <c r="CJ255" s="625"/>
      <c r="CK255" s="625"/>
      <c r="CL255" s="625"/>
      <c r="CM255" s="625"/>
      <c r="CN255" s="578"/>
      <c r="CO255" s="625"/>
      <c r="CP255" s="625"/>
      <c r="CQ255" s="625"/>
      <c r="CR255" s="625"/>
      <c r="CS255" s="578"/>
      <c r="CT255" s="625"/>
      <c r="CU255" s="625"/>
      <c r="CV255" s="625"/>
      <c r="CW255" s="625"/>
      <c r="CX255" s="578"/>
      <c r="CY255" s="1732"/>
      <c r="DA255" s="564"/>
      <c r="DB255" s="560"/>
      <c r="DC255" s="560"/>
    </row>
    <row r="256" spans="1:107" ht="12" hidden="1" customHeight="1" outlineLevel="1">
      <c r="A256" s="560"/>
      <c r="B256" s="560"/>
      <c r="C256" s="561"/>
      <c r="D256" s="562"/>
      <c r="E256" s="562"/>
      <c r="F256" s="593"/>
      <c r="G256" s="286"/>
      <c r="H256" s="594"/>
      <c r="I256" s="595"/>
      <c r="J256" s="595"/>
      <c r="K256" s="593"/>
      <c r="L256" s="594"/>
      <c r="M256" s="594"/>
      <c r="N256" s="595"/>
      <c r="O256" s="595"/>
      <c r="P256" s="593"/>
      <c r="Q256" s="286"/>
      <c r="R256" s="576"/>
      <c r="S256" s="576"/>
      <c r="T256" s="576"/>
      <c r="U256" s="576"/>
      <c r="V256" s="286"/>
      <c r="W256" s="576"/>
      <c r="X256" s="576"/>
      <c r="Y256" s="576"/>
      <c r="Z256" s="576"/>
      <c r="AA256" s="286"/>
      <c r="AB256" s="576"/>
      <c r="AC256" s="576"/>
      <c r="AD256" s="576"/>
      <c r="AE256" s="576"/>
      <c r="AF256" s="286"/>
      <c r="AG256" s="576"/>
      <c r="AH256" s="576"/>
      <c r="AI256" s="576"/>
      <c r="AJ256" s="576"/>
      <c r="AK256" s="286"/>
      <c r="AL256" s="576"/>
      <c r="AM256" s="576"/>
      <c r="AN256" s="576"/>
      <c r="AO256" s="576"/>
      <c r="AP256" s="286"/>
      <c r="AQ256" s="576"/>
      <c r="AR256" s="577"/>
      <c r="AS256" s="577"/>
      <c r="AT256" s="577"/>
      <c r="AU256" s="287"/>
      <c r="AV256" s="576"/>
      <c r="AW256" s="576"/>
      <c r="AX256" s="577"/>
      <c r="AY256" s="577"/>
      <c r="AZ256" s="287"/>
      <c r="BA256" s="577"/>
      <c r="BB256" s="577"/>
      <c r="BC256" s="576"/>
      <c r="BD256" s="577"/>
      <c r="BE256" s="287"/>
      <c r="BF256" s="576"/>
      <c r="BG256" s="577"/>
      <c r="BH256" s="577"/>
      <c r="BI256" s="577"/>
      <c r="BJ256" s="287"/>
      <c r="BK256" s="577"/>
      <c r="BL256" s="577"/>
      <c r="BM256" s="577"/>
      <c r="BN256" s="577"/>
      <c r="BO256" s="287"/>
      <c r="BP256" s="577"/>
      <c r="BQ256" s="577"/>
      <c r="BR256" s="577"/>
      <c r="BS256" s="577"/>
      <c r="BT256" s="287"/>
      <c r="BU256" s="577"/>
      <c r="BV256" s="577"/>
      <c r="BW256" s="577"/>
      <c r="BX256" s="577"/>
      <c r="BY256" s="287"/>
      <c r="BZ256" s="577"/>
      <c r="CA256" s="577"/>
      <c r="CB256" s="577"/>
      <c r="CC256" s="577"/>
      <c r="CD256" s="287"/>
      <c r="CE256" s="577"/>
      <c r="CF256" s="577"/>
      <c r="CG256" s="577"/>
      <c r="CH256" s="577"/>
      <c r="CI256" s="287"/>
      <c r="CJ256" s="577"/>
      <c r="CK256" s="577"/>
      <c r="CL256" s="577"/>
      <c r="CM256" s="577"/>
      <c r="CN256" s="287"/>
      <c r="CO256" s="577"/>
      <c r="CP256" s="577"/>
      <c r="CQ256" s="577"/>
      <c r="CR256" s="577"/>
      <c r="CS256" s="287"/>
      <c r="CT256" s="577"/>
      <c r="CU256" s="577"/>
      <c r="CV256" s="577"/>
      <c r="CW256" s="577"/>
      <c r="CX256" s="287"/>
      <c r="CY256" s="1735"/>
      <c r="DA256" s="564"/>
      <c r="DB256" s="560"/>
      <c r="DC256" s="560"/>
    </row>
    <row r="257" spans="1:107" ht="12" hidden="1" customHeight="1" outlineLevel="1">
      <c r="A257" s="553" t="s">
        <v>695</v>
      </c>
      <c r="B257" s="553"/>
      <c r="C257" s="571"/>
      <c r="D257" s="572"/>
      <c r="E257" s="572"/>
      <c r="F257" s="569">
        <f>26.563-SUM(C257:E257)</f>
        <v>26.562999999999999</v>
      </c>
      <c r="G257" s="570">
        <f>SUM(C257:F257)</f>
        <v>26.562999999999999</v>
      </c>
      <c r="H257" s="571">
        <v>5.6180000000000003</v>
      </c>
      <c r="I257" s="572">
        <v>8.5470000000000006</v>
      </c>
      <c r="J257" s="572">
        <v>7.4359999999999999</v>
      </c>
      <c r="K257" s="569">
        <f>30.073-SUM(H257:J257)</f>
        <v>8.4720000000000013</v>
      </c>
      <c r="L257" s="573">
        <f>SUM(H257:K257)</f>
        <v>30.073</v>
      </c>
      <c r="M257" s="571">
        <v>8.5380000000000003</v>
      </c>
      <c r="N257" s="572">
        <v>8.7059999999999995</v>
      </c>
      <c r="O257" s="572">
        <v>6.9729999999999999</v>
      </c>
      <c r="P257" s="569">
        <f>33.501-SUM(M257:O257)</f>
        <v>9.2839999999999989</v>
      </c>
      <c r="Q257" s="570">
        <f>SUM(M257:P257)</f>
        <v>33.500999999999998</v>
      </c>
      <c r="R257" s="574">
        <v>9.2759999999999998</v>
      </c>
      <c r="S257" s="574">
        <v>9.8119999999999994</v>
      </c>
      <c r="T257" s="574">
        <v>7.984</v>
      </c>
      <c r="U257" s="574">
        <f>40.149-SUM(R257:T257)</f>
        <v>13.076999999999998</v>
      </c>
      <c r="V257" s="570">
        <f>SUM(R257:U257)</f>
        <v>40.149000000000001</v>
      </c>
      <c r="W257" s="574">
        <v>9.8620000000000001</v>
      </c>
      <c r="X257" s="574">
        <v>7.9980000000000002</v>
      </c>
      <c r="Y257" s="574">
        <v>8.3249999999999993</v>
      </c>
      <c r="Z257" s="574">
        <f>36.39-SUM(W257:Y257)</f>
        <v>10.205000000000002</v>
      </c>
      <c r="AA257" s="570">
        <f>SUM(W257:Z257)</f>
        <v>36.39</v>
      </c>
      <c r="AB257" s="575">
        <f>AB258*AB225</f>
        <v>10.766788669730362</v>
      </c>
      <c r="AC257" s="575">
        <f>AC258*AC225</f>
        <v>8.1535734542217799</v>
      </c>
      <c r="AD257" s="575">
        <f>AD258*AD225</f>
        <v>10.444523783928359</v>
      </c>
      <c r="AE257" s="575">
        <f>AE258*AE225</f>
        <v>10.831215034128123</v>
      </c>
      <c r="AF257" s="570">
        <f>SUM(AB257:AE257)</f>
        <v>40.19610094200862</v>
      </c>
      <c r="AG257" s="576">
        <f>AG258*AG225</f>
        <v>11.427477051334035</v>
      </c>
      <c r="AH257" s="576">
        <f>AH258*AH225</f>
        <v>8.6539056716545701</v>
      </c>
      <c r="AI257" s="576">
        <f>AI258*AI225</f>
        <v>11.085436847897459</v>
      </c>
      <c r="AJ257" s="576">
        <f>AJ258*AJ225</f>
        <v>11.495856846205099</v>
      </c>
      <c r="AK257" s="570">
        <f>SUM(AG257:AJ257)</f>
        <v>42.662676417091163</v>
      </c>
      <c r="AL257" s="576">
        <f>AL258*AL225</f>
        <v>12.128707617889589</v>
      </c>
      <c r="AM257" s="576">
        <f>AM258*AM225</f>
        <v>9.1849400504411154</v>
      </c>
      <c r="AN257" s="576">
        <f>AN258*AN225</f>
        <v>11.76567861311365</v>
      </c>
      <c r="AO257" s="576">
        <f>AO258*AO225</f>
        <v>12.201283439764953</v>
      </c>
      <c r="AP257" s="570">
        <f>SUM(AL257:AO257)</f>
        <v>45.280609721209302</v>
      </c>
      <c r="AQ257" s="576">
        <f>AQ258*AQ225</f>
        <v>12.872968181815777</v>
      </c>
      <c r="AR257" s="577">
        <f>AR258*AR225</f>
        <v>9.748560584213946</v>
      </c>
      <c r="AS257" s="577">
        <f>AS258*AS225</f>
        <v>12.487662428326924</v>
      </c>
      <c r="AT257" s="577">
        <f>AT258*AT225</f>
        <v>12.94999751381094</v>
      </c>
      <c r="AU257" s="578">
        <f>SUM(AQ257:AT257)</f>
        <v>48.059188708167589</v>
      </c>
      <c r="AV257" s="576">
        <f>AV258*AV225</f>
        <v>13.662899216534637</v>
      </c>
      <c r="AW257" s="576">
        <f>AW258*AW225</f>
        <v>10.346766875144235</v>
      </c>
      <c r="AX257" s="577">
        <f>AX258*AX225</f>
        <v>13.253949733935469</v>
      </c>
      <c r="AY257" s="577">
        <f>AY258*AY225</f>
        <v>13.744655341843295</v>
      </c>
      <c r="AZ257" s="578">
        <f>SUM(AV257:AY257)</f>
        <v>51.008271167457636</v>
      </c>
      <c r="BA257" s="577">
        <f>BA258*BA225</f>
        <v>14.501303224292728</v>
      </c>
      <c r="BB257" s="577">
        <f>BB258*BB225</f>
        <v>10.981681228092215</v>
      </c>
      <c r="BC257" s="576">
        <f>BC258*BC225</f>
        <v>14.067259149415015</v>
      </c>
      <c r="BD257" s="577">
        <f>BD258*BD225</f>
        <v>14.588076195735667</v>
      </c>
      <c r="BE257" s="578">
        <f>SUM(BA257:BD257)</f>
        <v>54.13831979753563</v>
      </c>
      <c r="BF257" s="576">
        <f>BF258*BF225</f>
        <v>15.391154678825083</v>
      </c>
      <c r="BG257" s="577">
        <f>BG258*BG225</f>
        <v>11.655556180079859</v>
      </c>
      <c r="BH257" s="577">
        <f>BH258*BH225</f>
        <v>14.930476118385135</v>
      </c>
      <c r="BI257" s="577">
        <f>BI258*BI225</f>
        <v>15.483252347894044</v>
      </c>
      <c r="BJ257" s="578">
        <f>SUM(BF257:BI257)</f>
        <v>57.460439325184126</v>
      </c>
      <c r="BK257" s="577">
        <f>BK258*BK225</f>
        <v>16.335610578136368</v>
      </c>
      <c r="BL257" s="577">
        <f>BL258*BL225</f>
        <v>12.370782491798717</v>
      </c>
      <c r="BM257" s="577">
        <f>BM258*BM225</f>
        <v>15.846663145531011</v>
      </c>
      <c r="BN257" s="577">
        <f>BN258*BN225</f>
        <v>16.433359687183689</v>
      </c>
      <c r="BO257" s="578">
        <f>SUM(BK257:BN257)</f>
        <v>60.986415902649789</v>
      </c>
      <c r="BP257" s="577">
        <f>BP258*BP225</f>
        <v>17.338021644838118</v>
      </c>
      <c r="BQ257" s="577">
        <f>BQ258*BQ225</f>
        <v>13.129897629505068</v>
      </c>
      <c r="BR257" s="577">
        <f>BR258*BR225</f>
        <v>16.819070661699115</v>
      </c>
      <c r="BS257" s="577">
        <f>BS258*BS225</f>
        <v>17.441768986287009</v>
      </c>
      <c r="BT257" s="578">
        <f>SUM(BP257:BS257)</f>
        <v>64.72875892232932</v>
      </c>
      <c r="BU257" s="577">
        <f>BU258*BU225</f>
        <v>18.401944213778481</v>
      </c>
      <c r="BV257" s="577">
        <f>BV258*BV225</f>
        <v>13.935594767394264</v>
      </c>
      <c r="BW257" s="577">
        <f>BW258*BW225</f>
        <v>17.851148555713735</v>
      </c>
      <c r="BX257" s="577">
        <f>BX258*BX225</f>
        <v>18.51205786046658</v>
      </c>
      <c r="BY257" s="578">
        <f>SUM(BU257:BX257)</f>
        <v>68.70074539735306</v>
      </c>
      <c r="BZ257" s="577">
        <f>BZ258*BZ225</f>
        <v>19.531152849139094</v>
      </c>
      <c r="CA257" s="577">
        <f>CA258*CA225</f>
        <v>14.790732342392742</v>
      </c>
      <c r="CB257" s="577">
        <f>CB258*CB225</f>
        <v>18.946558413826665</v>
      </c>
      <c r="CC257" s="577">
        <f>CC258*CC225</f>
        <v>19.648023460160246</v>
      </c>
      <c r="CD257" s="578">
        <f>SUM(BZ257:CC257)</f>
        <v>72.916467065518745</v>
      </c>
      <c r="CE257" s="577">
        <f>CE258*CE225</f>
        <v>20.72965373576185</v>
      </c>
      <c r="CF257" s="577">
        <f>CF258*CF225</f>
        <v>15.69834419526598</v>
      </c>
      <c r="CG257" s="577">
        <f>CG258*CG225</f>
        <v>20.109186510223033</v>
      </c>
      <c r="CH257" s="577">
        <f>CH258*CH225</f>
        <v>20.853695942438971</v>
      </c>
      <c r="CI257" s="578">
        <f>SUM(CE257:CH257)</f>
        <v>77.390880383689833</v>
      </c>
      <c r="CJ257" s="577">
        <f>CJ258*CJ225</f>
        <v>22.001698892214986</v>
      </c>
      <c r="CK257" s="577">
        <f>CK258*CK225</f>
        <v>16.661650334020855</v>
      </c>
      <c r="CL257" s="577">
        <f>CL258*CL225</f>
        <v>21.343157594670664</v>
      </c>
      <c r="CM257" s="577">
        <f>CM258*CM225</f>
        <v>22.133352769121171</v>
      </c>
      <c r="CN257" s="578">
        <f>SUM(CJ257:CM257)</f>
        <v>82.139859590027669</v>
      </c>
      <c r="CO257" s="577">
        <f>CO258*CO225</f>
        <v>23.351801256023414</v>
      </c>
      <c r="CP257" s="577">
        <f>CP258*CP225</f>
        <v>17.684068357788583</v>
      </c>
      <c r="CQ257" s="577">
        <f>CQ258*CQ225</f>
        <v>22.652849526228582</v>
      </c>
      <c r="CR257" s="577">
        <f>CR258*CR225</f>
        <v>23.491533882270115</v>
      </c>
      <c r="CS257" s="578">
        <f>SUM(CO257:CR257)</f>
        <v>87.180253022310694</v>
      </c>
      <c r="CT257" s="577">
        <f>CT258*CT225</f>
        <v>24.784750694582339</v>
      </c>
      <c r="CU257" s="577">
        <f>CU258*CU225</f>
        <v>18.769225581717695</v>
      </c>
      <c r="CV257" s="577">
        <f>CV258*CV225</f>
        <v>24.042908804931805</v>
      </c>
      <c r="CW257" s="577">
        <f>CW258*CW225</f>
        <v>24.933057810913688</v>
      </c>
      <c r="CX257" s="578">
        <f>SUM(CT257:CW257)</f>
        <v>92.529942892145527</v>
      </c>
      <c r="CY257" s="1732"/>
      <c r="DA257" s="564"/>
      <c r="DB257" s="560"/>
      <c r="DC257" s="560"/>
    </row>
    <row r="258" spans="1:107" ht="12" hidden="1" customHeight="1" outlineLevel="1">
      <c r="A258" s="579" t="s">
        <v>363</v>
      </c>
      <c r="B258" s="579"/>
      <c r="C258" s="584"/>
      <c r="D258" s="585"/>
      <c r="E258" s="585"/>
      <c r="F258" s="586">
        <f t="shared" ref="F258:AA258" si="291">F257/F$225</f>
        <v>6.0406973306589895E-2</v>
      </c>
      <c r="G258" s="587">
        <f t="shared" si="291"/>
        <v>6.0406973306589895E-2</v>
      </c>
      <c r="H258" s="584">
        <f t="shared" si="291"/>
        <v>6.7016581176189916E-2</v>
      </c>
      <c r="I258" s="585">
        <f t="shared" si="291"/>
        <v>6.545162154918252E-2</v>
      </c>
      <c r="J258" s="585">
        <f t="shared" si="291"/>
        <v>6.2913515068446793E-2</v>
      </c>
      <c r="K258" s="586">
        <f t="shared" si="291"/>
        <v>0.10684693092532579</v>
      </c>
      <c r="L258" s="584">
        <f t="shared" si="291"/>
        <v>7.3010439427045409E-2</v>
      </c>
      <c r="M258" s="584">
        <f t="shared" si="291"/>
        <v>8.876920837578757E-2</v>
      </c>
      <c r="N258" s="585">
        <f t="shared" si="291"/>
        <v>9.1294226211698581E-2</v>
      </c>
      <c r="O258" s="585">
        <f t="shared" si="291"/>
        <v>7.8939026875268867E-2</v>
      </c>
      <c r="P258" s="586">
        <f t="shared" si="291"/>
        <v>8.2508309486144932E-2</v>
      </c>
      <c r="Q258" s="587">
        <f t="shared" si="291"/>
        <v>8.5374617737003056E-2</v>
      </c>
      <c r="R258" s="588">
        <f t="shared" si="291"/>
        <v>8.1714633050556304E-2</v>
      </c>
      <c r="S258" s="588">
        <f t="shared" si="291"/>
        <v>9.786359737487782E-2</v>
      </c>
      <c r="T258" s="588">
        <f t="shared" si="291"/>
        <v>8.1097827301445422E-2</v>
      </c>
      <c r="U258" s="588">
        <f t="shared" si="291"/>
        <v>0.11084833689350015</v>
      </c>
      <c r="V258" s="587">
        <f t="shared" si="291"/>
        <v>9.3326359832635986E-2</v>
      </c>
      <c r="W258" s="588">
        <f t="shared" si="291"/>
        <v>9.2492379835873384E-2</v>
      </c>
      <c r="X258" s="588">
        <f t="shared" si="291"/>
        <v>6.900836072787514E-2</v>
      </c>
      <c r="Y258" s="588">
        <f t="shared" si="291"/>
        <v>8.7091610959420016E-2</v>
      </c>
      <c r="Z258" s="588">
        <f t="shared" si="291"/>
        <v>8.8981314359953614E-2</v>
      </c>
      <c r="AA258" s="587">
        <f t="shared" si="291"/>
        <v>8.4080406654343812E-2</v>
      </c>
      <c r="AB258" s="591">
        <f>W258</f>
        <v>9.2492379835873384E-2</v>
      </c>
      <c r="AC258" s="591">
        <f>X258</f>
        <v>6.900836072787514E-2</v>
      </c>
      <c r="AD258" s="591">
        <f>Y258</f>
        <v>8.7091610959420016E-2</v>
      </c>
      <c r="AE258" s="591">
        <f>Z258</f>
        <v>8.8981314359953614E-2</v>
      </c>
      <c r="AF258" s="587">
        <f>AF257/AF$225</f>
        <v>8.4408167445562204E-2</v>
      </c>
      <c r="AG258" s="588">
        <f>AB258</f>
        <v>9.2492379835873384E-2</v>
      </c>
      <c r="AH258" s="588">
        <f>AC258</f>
        <v>6.900836072787514E-2</v>
      </c>
      <c r="AI258" s="588">
        <f>AD258</f>
        <v>8.7091610959420016E-2</v>
      </c>
      <c r="AJ258" s="588">
        <f>AE258</f>
        <v>8.8981314359953614E-2</v>
      </c>
      <c r="AK258" s="587">
        <f>AK257/AK$225</f>
        <v>8.4408167445562218E-2</v>
      </c>
      <c r="AL258" s="588">
        <f>AG258</f>
        <v>9.2492379835873384E-2</v>
      </c>
      <c r="AM258" s="588">
        <f>AH258</f>
        <v>6.900836072787514E-2</v>
      </c>
      <c r="AN258" s="588">
        <f>AI258</f>
        <v>8.7091610959420016E-2</v>
      </c>
      <c r="AO258" s="588">
        <f>AJ258</f>
        <v>8.8981314359953614E-2</v>
      </c>
      <c r="AP258" s="587">
        <f>AP257/AP$225</f>
        <v>8.4408167445562204E-2</v>
      </c>
      <c r="AQ258" s="588">
        <f>AL258</f>
        <v>9.2492379835873384E-2</v>
      </c>
      <c r="AR258" s="589">
        <f>AM258</f>
        <v>6.900836072787514E-2</v>
      </c>
      <c r="AS258" s="589">
        <f>AN258</f>
        <v>8.7091610959420016E-2</v>
      </c>
      <c r="AT258" s="589">
        <f>AO258</f>
        <v>8.8981314359953614E-2</v>
      </c>
      <c r="AU258" s="590">
        <f>AU257/AU$225</f>
        <v>8.4408167445562218E-2</v>
      </c>
      <c r="AV258" s="588">
        <f>AQ258</f>
        <v>9.2492379835873384E-2</v>
      </c>
      <c r="AW258" s="588">
        <f>AR258</f>
        <v>6.900836072787514E-2</v>
      </c>
      <c r="AX258" s="589">
        <f>AS258</f>
        <v>8.7091610959420016E-2</v>
      </c>
      <c r="AY258" s="589">
        <f>AT258</f>
        <v>8.8981314359953614E-2</v>
      </c>
      <c r="AZ258" s="590">
        <f>AZ257/AZ$225</f>
        <v>8.4408167445562218E-2</v>
      </c>
      <c r="BA258" s="589">
        <f>AV258</f>
        <v>9.2492379835873384E-2</v>
      </c>
      <c r="BB258" s="589">
        <f>AW258</f>
        <v>6.900836072787514E-2</v>
      </c>
      <c r="BC258" s="588">
        <f>AX258</f>
        <v>8.7091610959420016E-2</v>
      </c>
      <c r="BD258" s="589">
        <f>AY258</f>
        <v>8.8981314359953614E-2</v>
      </c>
      <c r="BE258" s="590">
        <f>BE257/BE$225</f>
        <v>8.4408167445562232E-2</v>
      </c>
      <c r="BF258" s="588">
        <f>BA258</f>
        <v>9.2492379835873384E-2</v>
      </c>
      <c r="BG258" s="589">
        <f>BB258</f>
        <v>6.900836072787514E-2</v>
      </c>
      <c r="BH258" s="589">
        <f>BC258</f>
        <v>8.7091610959420016E-2</v>
      </c>
      <c r="BI258" s="589">
        <f>BD258</f>
        <v>8.8981314359953614E-2</v>
      </c>
      <c r="BJ258" s="590">
        <f>BJ257/BJ$225</f>
        <v>8.4408167445562218E-2</v>
      </c>
      <c r="BK258" s="589">
        <f>BF258</f>
        <v>9.2492379835873384E-2</v>
      </c>
      <c r="BL258" s="589">
        <f>BG258</f>
        <v>6.900836072787514E-2</v>
      </c>
      <c r="BM258" s="589">
        <f>BH258</f>
        <v>8.7091610959420016E-2</v>
      </c>
      <c r="BN258" s="589">
        <f>BI258</f>
        <v>8.8981314359953614E-2</v>
      </c>
      <c r="BO258" s="590">
        <f>BO257/BO$225</f>
        <v>8.4408167445562218E-2</v>
      </c>
      <c r="BP258" s="589">
        <f>BK258</f>
        <v>9.2492379835873384E-2</v>
      </c>
      <c r="BQ258" s="589">
        <f>BL258</f>
        <v>6.900836072787514E-2</v>
      </c>
      <c r="BR258" s="589">
        <f>BM258</f>
        <v>8.7091610959420016E-2</v>
      </c>
      <c r="BS258" s="589">
        <f>BN258</f>
        <v>8.8981314359953614E-2</v>
      </c>
      <c r="BT258" s="590">
        <f>BT257/BT$225</f>
        <v>8.4408167445562218E-2</v>
      </c>
      <c r="BU258" s="589">
        <f>BP258</f>
        <v>9.2492379835873384E-2</v>
      </c>
      <c r="BV258" s="589">
        <f>BQ258</f>
        <v>6.900836072787514E-2</v>
      </c>
      <c r="BW258" s="589">
        <f>BR258</f>
        <v>8.7091610959420016E-2</v>
      </c>
      <c r="BX258" s="589">
        <f>BS258</f>
        <v>8.8981314359953614E-2</v>
      </c>
      <c r="BY258" s="590">
        <f>BY257/BY$225</f>
        <v>8.4408167445562204E-2</v>
      </c>
      <c r="BZ258" s="589">
        <f>BU258</f>
        <v>9.2492379835873384E-2</v>
      </c>
      <c r="CA258" s="589">
        <f>BV258</f>
        <v>6.900836072787514E-2</v>
      </c>
      <c r="CB258" s="589">
        <f>BW258</f>
        <v>8.7091610959420016E-2</v>
      </c>
      <c r="CC258" s="589">
        <f>BX258</f>
        <v>8.8981314359953614E-2</v>
      </c>
      <c r="CD258" s="590">
        <f>CD257/CD$225</f>
        <v>8.4408167445562204E-2</v>
      </c>
      <c r="CE258" s="589">
        <f>BZ258</f>
        <v>9.2492379835873384E-2</v>
      </c>
      <c r="CF258" s="589">
        <f>CA258</f>
        <v>6.900836072787514E-2</v>
      </c>
      <c r="CG258" s="589">
        <f>CB258</f>
        <v>8.7091610959420016E-2</v>
      </c>
      <c r="CH258" s="589">
        <f>CC258</f>
        <v>8.8981314359953614E-2</v>
      </c>
      <c r="CI258" s="590">
        <f>CI257/CI$225</f>
        <v>8.4408167445562218E-2</v>
      </c>
      <c r="CJ258" s="589">
        <f>CE258</f>
        <v>9.2492379835873384E-2</v>
      </c>
      <c r="CK258" s="589">
        <f>CF258</f>
        <v>6.900836072787514E-2</v>
      </c>
      <c r="CL258" s="589">
        <f>CG258</f>
        <v>8.7091610959420016E-2</v>
      </c>
      <c r="CM258" s="589">
        <f>CH258</f>
        <v>8.8981314359953614E-2</v>
      </c>
      <c r="CN258" s="590">
        <f>CN257/CN$225</f>
        <v>8.4408167445562204E-2</v>
      </c>
      <c r="CO258" s="589">
        <f>CJ258</f>
        <v>9.2492379835873384E-2</v>
      </c>
      <c r="CP258" s="589">
        <f>CK258</f>
        <v>6.900836072787514E-2</v>
      </c>
      <c r="CQ258" s="589">
        <f>CL258</f>
        <v>8.7091610959420016E-2</v>
      </c>
      <c r="CR258" s="589">
        <f>CM258</f>
        <v>8.8981314359953614E-2</v>
      </c>
      <c r="CS258" s="590">
        <f>CS257/CS$225</f>
        <v>8.4408167445562218E-2</v>
      </c>
      <c r="CT258" s="589">
        <f>CO258</f>
        <v>9.2492379835873384E-2</v>
      </c>
      <c r="CU258" s="589">
        <f>CP258</f>
        <v>6.900836072787514E-2</v>
      </c>
      <c r="CV258" s="589">
        <f>CQ258</f>
        <v>8.7091610959420016E-2</v>
      </c>
      <c r="CW258" s="589">
        <f>CR258</f>
        <v>8.8981314359953614E-2</v>
      </c>
      <c r="CX258" s="590">
        <f>CX257/CX$225</f>
        <v>8.4408167445562218E-2</v>
      </c>
      <c r="CY258" s="1733"/>
      <c r="DA258" s="564"/>
      <c r="DB258" s="560"/>
      <c r="DC258" s="560"/>
    </row>
    <row r="259" spans="1:107" ht="12" hidden="1" customHeight="1" outlineLevel="1">
      <c r="A259" s="560"/>
      <c r="B259" s="560"/>
      <c r="C259" s="582"/>
      <c r="D259" s="585"/>
      <c r="E259" s="585"/>
      <c r="F259" s="586"/>
      <c r="G259" s="581"/>
      <c r="H259" s="582"/>
      <c r="I259" s="585"/>
      <c r="J259" s="585"/>
      <c r="K259" s="586"/>
      <c r="L259" s="582"/>
      <c r="M259" s="584"/>
      <c r="N259" s="585"/>
      <c r="O259" s="585"/>
      <c r="P259" s="586"/>
      <c r="Q259" s="581"/>
      <c r="R259" s="588"/>
      <c r="S259" s="588"/>
      <c r="T259" s="588"/>
      <c r="U259" s="588"/>
      <c r="V259" s="581"/>
      <c r="W259" s="588"/>
      <c r="X259" s="588"/>
      <c r="Y259" s="588"/>
      <c r="Z259" s="588"/>
      <c r="AA259" s="581"/>
      <c r="AB259" s="588"/>
      <c r="AC259" s="588"/>
      <c r="AD259" s="588"/>
      <c r="AE259" s="588"/>
      <c r="AF259" s="581"/>
      <c r="AG259" s="588"/>
      <c r="AH259" s="588"/>
      <c r="AI259" s="588"/>
      <c r="AJ259" s="588"/>
      <c r="AK259" s="581"/>
      <c r="AL259" s="588"/>
      <c r="AM259" s="588"/>
      <c r="AN259" s="588"/>
      <c r="AO259" s="588"/>
      <c r="AP259" s="581"/>
      <c r="AQ259" s="588"/>
      <c r="AR259" s="589"/>
      <c r="AS259" s="589"/>
      <c r="AT259" s="589"/>
      <c r="AU259" s="592"/>
      <c r="AV259" s="588"/>
      <c r="AW259" s="588"/>
      <c r="AX259" s="589"/>
      <c r="AY259" s="589"/>
      <c r="AZ259" s="592"/>
      <c r="BA259" s="589"/>
      <c r="BB259" s="589"/>
      <c r="BC259" s="588"/>
      <c r="BD259" s="589"/>
      <c r="BE259" s="592"/>
      <c r="BF259" s="588"/>
      <c r="BG259" s="589"/>
      <c r="BH259" s="589"/>
      <c r="BI259" s="589"/>
      <c r="BJ259" s="592"/>
      <c r="BK259" s="589"/>
      <c r="BL259" s="589"/>
      <c r="BM259" s="589"/>
      <c r="BN259" s="589"/>
      <c r="BO259" s="592"/>
      <c r="BP259" s="589"/>
      <c r="BQ259" s="589"/>
      <c r="BR259" s="589"/>
      <c r="BS259" s="589"/>
      <c r="BT259" s="592"/>
      <c r="BU259" s="589"/>
      <c r="BV259" s="589"/>
      <c r="BW259" s="589"/>
      <c r="BX259" s="589"/>
      <c r="BY259" s="592"/>
      <c r="BZ259" s="589"/>
      <c r="CA259" s="589"/>
      <c r="CB259" s="589"/>
      <c r="CC259" s="589"/>
      <c r="CD259" s="592"/>
      <c r="CE259" s="589"/>
      <c r="CF259" s="589"/>
      <c r="CG259" s="589"/>
      <c r="CH259" s="589"/>
      <c r="CI259" s="592"/>
      <c r="CJ259" s="589"/>
      <c r="CK259" s="589"/>
      <c r="CL259" s="589"/>
      <c r="CM259" s="589"/>
      <c r="CN259" s="592"/>
      <c r="CO259" s="589"/>
      <c r="CP259" s="589"/>
      <c r="CQ259" s="589"/>
      <c r="CR259" s="589"/>
      <c r="CS259" s="592"/>
      <c r="CT259" s="589"/>
      <c r="CU259" s="589"/>
      <c r="CV259" s="589"/>
      <c r="CW259" s="589"/>
      <c r="CX259" s="592"/>
      <c r="CY259" s="1734"/>
      <c r="DA259" s="564"/>
      <c r="DB259" s="560"/>
      <c r="DC259" s="560"/>
    </row>
    <row r="260" spans="1:107" ht="12" hidden="1" customHeight="1" outlineLevel="1">
      <c r="A260" s="553" t="s">
        <v>696</v>
      </c>
      <c r="B260" s="553"/>
      <c r="C260" s="571"/>
      <c r="D260" s="572"/>
      <c r="E260" s="572"/>
      <c r="F260" s="569">
        <f>33.827-SUM(C260:E260)</f>
        <v>33.826999999999998</v>
      </c>
      <c r="G260" s="570">
        <f>SUM(C260:F260)</f>
        <v>33.826999999999998</v>
      </c>
      <c r="H260" s="571">
        <v>9.02</v>
      </c>
      <c r="I260" s="572">
        <v>9.452</v>
      </c>
      <c r="J260" s="572">
        <v>15.762</v>
      </c>
      <c r="K260" s="569">
        <f>43.761-SUM(H260:J260)</f>
        <v>9.527000000000001</v>
      </c>
      <c r="L260" s="573">
        <f>SUM(H260:K260)</f>
        <v>43.761000000000003</v>
      </c>
      <c r="M260" s="571">
        <v>6.26</v>
      </c>
      <c r="N260" s="572">
        <v>5.1210000000000004</v>
      </c>
      <c r="O260" s="572">
        <v>4.2930000000000001</v>
      </c>
      <c r="P260" s="569">
        <f>20.818-SUM(M260:O260)</f>
        <v>5.1440000000000019</v>
      </c>
      <c r="Q260" s="570">
        <f>SUM(M260:P260)</f>
        <v>20.818000000000001</v>
      </c>
      <c r="R260" s="574">
        <v>5.4509999999999996</v>
      </c>
      <c r="S260" s="574">
        <v>4.8419999999999996</v>
      </c>
      <c r="T260" s="574">
        <v>5.8470000000000004</v>
      </c>
      <c r="U260" s="574">
        <f>21.125-SUM(R260:T260)</f>
        <v>4.9849999999999994</v>
      </c>
      <c r="V260" s="570">
        <f>SUM(R260:U260)</f>
        <v>21.125</v>
      </c>
      <c r="W260" s="574">
        <v>4.7089999999999996</v>
      </c>
      <c r="X260" s="574">
        <v>5.2910000000000004</v>
      </c>
      <c r="Y260" s="574">
        <v>7.0369999999999999</v>
      </c>
      <c r="Z260" s="574">
        <f>23.4-SUM(W260:Y260)</f>
        <v>6.3629999999999995</v>
      </c>
      <c r="AA260" s="570">
        <f>SUM(W260:Z260)</f>
        <v>23.4</v>
      </c>
      <c r="AB260" s="575">
        <f>AB261*AB229</f>
        <v>5.1045560000000005</v>
      </c>
      <c r="AC260" s="575">
        <f>AC261*AC229</f>
        <v>5.7354440000000011</v>
      </c>
      <c r="AD260" s="575">
        <f>AD261*AD229</f>
        <v>7.628108000000001</v>
      </c>
      <c r="AE260" s="575">
        <f>AE261*AE229</f>
        <v>6.8974920000000006</v>
      </c>
      <c r="AF260" s="570">
        <f>SUM(AB260:AE260)</f>
        <v>25.365600000000001</v>
      </c>
      <c r="AG260" s="576">
        <f>AG261*AG229</f>
        <v>5.4925022559999999</v>
      </c>
      <c r="AH260" s="576">
        <f>AH261*AH229</f>
        <v>6.1713377440000015</v>
      </c>
      <c r="AI260" s="576">
        <f>AI261*AI229</f>
        <v>8.2078442080000009</v>
      </c>
      <c r="AJ260" s="576">
        <f>AJ261*AJ229</f>
        <v>7.4217013920000001</v>
      </c>
      <c r="AK260" s="570">
        <f>SUM(AG260:AJ260)</f>
        <v>27.293385600000001</v>
      </c>
      <c r="AL260" s="576">
        <f>AL261*AL229</f>
        <v>5.9099324274560008</v>
      </c>
      <c r="AM260" s="576">
        <f>AM261*AM229</f>
        <v>6.6403594125440009</v>
      </c>
      <c r="AN260" s="576">
        <f>AN261*AN229</f>
        <v>8.8316403678080011</v>
      </c>
      <c r="AO260" s="576">
        <f>AO261*AO229</f>
        <v>7.9857506977920014</v>
      </c>
      <c r="AP260" s="570">
        <f>SUM(AL260:AO260)</f>
        <v>29.367682905600006</v>
      </c>
      <c r="AQ260" s="576">
        <f>AQ261*AQ229</f>
        <v>6.3590872919426564</v>
      </c>
      <c r="AR260" s="577">
        <f>AR261*AR229</f>
        <v>7.1450267278973456</v>
      </c>
      <c r="AS260" s="577">
        <f>AS261*AS229</f>
        <v>9.5028450357614105</v>
      </c>
      <c r="AT260" s="577">
        <f>AT261*AT229</f>
        <v>8.5926677508241944</v>
      </c>
      <c r="AU260" s="578">
        <f>SUM(AQ260:AT260)</f>
        <v>31.599626806425608</v>
      </c>
      <c r="AV260" s="576">
        <f>AV261*AV229</f>
        <v>6.8423779261302986</v>
      </c>
      <c r="AW260" s="576">
        <f>AW261*AW229</f>
        <v>7.6880487592175433</v>
      </c>
      <c r="AX260" s="577">
        <f>AX261*AX229</f>
        <v>10.225061258479279</v>
      </c>
      <c r="AY260" s="577">
        <f>AY261*AY229</f>
        <v>9.2457104998868331</v>
      </c>
      <c r="AZ260" s="578">
        <f>SUM(AV260:AY260)</f>
        <v>34.001198443713953</v>
      </c>
      <c r="BA260" s="577">
        <f>BA261*BA229</f>
        <v>7.3623986485162023</v>
      </c>
      <c r="BB260" s="577">
        <f>BB261*BB229</f>
        <v>8.2723404649180772</v>
      </c>
      <c r="BC260" s="576">
        <f>BC261*BC229</f>
        <v>11.002165914123704</v>
      </c>
      <c r="BD260" s="577">
        <f>BD261*BD229</f>
        <v>9.9483844978782336</v>
      </c>
      <c r="BE260" s="578">
        <f>SUM(BA260:BD260)</f>
        <v>36.585289525436217</v>
      </c>
      <c r="BF260" s="576">
        <f>BF261*BF229</f>
        <v>7.9219409458034349</v>
      </c>
      <c r="BG260" s="577">
        <f>BG261*BG229</f>
        <v>8.9010383402518514</v>
      </c>
      <c r="BH260" s="577">
        <f>BH261*BH229</f>
        <v>11.838330523597106</v>
      </c>
      <c r="BI260" s="577">
        <f>BI261*BI229</f>
        <v>10.70446171971698</v>
      </c>
      <c r="BJ260" s="578">
        <f>SUM(BF260:BI260)</f>
        <v>39.365771529369376</v>
      </c>
      <c r="BK260" s="577">
        <f>BK261*BK229</f>
        <v>8.5240084576844968</v>
      </c>
      <c r="BL260" s="577">
        <f>BL261*BL229</f>
        <v>9.5775172541109921</v>
      </c>
      <c r="BM260" s="577">
        <f>BM261*BM229</f>
        <v>12.738043643390489</v>
      </c>
      <c r="BN260" s="577">
        <f>BN261*BN229</f>
        <v>11.518000810415469</v>
      </c>
      <c r="BO260" s="578">
        <f>SUM(BK260:BN260)</f>
        <v>42.357570165601445</v>
      </c>
      <c r="BP260" s="577">
        <f>BP261*BP229</f>
        <v>9.1718331004685183</v>
      </c>
      <c r="BQ260" s="577">
        <f>BQ261*BQ229</f>
        <v>10.305408565423429</v>
      </c>
      <c r="BR260" s="577">
        <f>BR261*BR229</f>
        <v>13.706134960288166</v>
      </c>
      <c r="BS260" s="577">
        <f>BS261*BS229</f>
        <v>12.393368872007045</v>
      </c>
      <c r="BT260" s="578">
        <f>SUM(BP260:BS260)</f>
        <v>45.576745498187158</v>
      </c>
      <c r="BU260" s="577">
        <f>BU261*BU229</f>
        <v>9.868892416104126</v>
      </c>
      <c r="BV260" s="577">
        <f>BV261*BV229</f>
        <v>11.08861961639561</v>
      </c>
      <c r="BW260" s="577">
        <f>BW261*BW229</f>
        <v>14.747801217270069</v>
      </c>
      <c r="BX260" s="577">
        <f>BX261*BX229</f>
        <v>13.335264906279582</v>
      </c>
      <c r="BY260" s="578">
        <f>SUM(BU260:BX260)</f>
        <v>49.040578156049385</v>
      </c>
      <c r="BZ260" s="577">
        <f>BZ261*BZ229</f>
        <v>10.61892823972804</v>
      </c>
      <c r="CA260" s="577">
        <f>CA261*CA229</f>
        <v>11.931354707241676</v>
      </c>
      <c r="CB260" s="577">
        <f>CB261*CB229</f>
        <v>15.868634109782594</v>
      </c>
      <c r="CC260" s="577">
        <f>CC261*CC229</f>
        <v>14.34874503915683</v>
      </c>
      <c r="CD260" s="578">
        <f>SUM(BZ260:CC260)</f>
        <v>52.767662095909138</v>
      </c>
      <c r="CE260" s="577">
        <f>CE261*CE229</f>
        <v>11.425966785947372</v>
      </c>
      <c r="CF260" s="577">
        <f>CF261*CF229</f>
        <v>12.838137664992045</v>
      </c>
      <c r="CG260" s="577">
        <f>CG261*CG229</f>
        <v>17.074650302126074</v>
      </c>
      <c r="CH260" s="577">
        <f>CH261*CH229</f>
        <v>15.439249662132751</v>
      </c>
      <c r="CI260" s="578">
        <f>SUM(CE260:CH260)</f>
        <v>56.778004415198239</v>
      </c>
      <c r="CJ260" s="577">
        <f>CJ261*CJ229</f>
        <v>12.294340261679373</v>
      </c>
      <c r="CK260" s="577">
        <f>CK261*CK229</f>
        <v>13.813836127531442</v>
      </c>
      <c r="CL260" s="577">
        <f>CL261*CL229</f>
        <v>18.372323725087654</v>
      </c>
      <c r="CM260" s="577">
        <f>CM261*CM229</f>
        <v>16.61263263645484</v>
      </c>
      <c r="CN260" s="578">
        <f>SUM(CJ260:CM260)</f>
        <v>61.093132750753306</v>
      </c>
      <c r="CO260" s="577">
        <f>CO261*CO229</f>
        <v>13.228710121567005</v>
      </c>
      <c r="CP260" s="577">
        <f>CP261*CP229</f>
        <v>14.863687673223831</v>
      </c>
      <c r="CQ260" s="577">
        <f>CQ261*CQ229</f>
        <v>19.768620328194316</v>
      </c>
      <c r="CR260" s="577">
        <f>CR261*CR229</f>
        <v>17.87519271682541</v>
      </c>
      <c r="CS260" s="578">
        <f>SUM(CO260:CR260)</f>
        <v>65.736210839810553</v>
      </c>
      <c r="CT260" s="577">
        <f>CT261*CT229</f>
        <v>14.234092090806099</v>
      </c>
      <c r="CU260" s="577">
        <f>CU261*CU229</f>
        <v>15.993327936388845</v>
      </c>
      <c r="CV260" s="577">
        <f>CV261*CV229</f>
        <v>21.271035473137086</v>
      </c>
      <c r="CW260" s="577">
        <f>CW261*CW229</f>
        <v>19.233707363304141</v>
      </c>
      <c r="CX260" s="578">
        <f>SUM(CT260:CW260)</f>
        <v>70.732162863636177</v>
      </c>
      <c r="CY260" s="1732"/>
      <c r="DA260" s="564"/>
      <c r="DB260" s="560"/>
      <c r="DC260" s="560"/>
    </row>
    <row r="261" spans="1:107" ht="12" hidden="1" customHeight="1" outlineLevel="1">
      <c r="A261" s="579" t="s">
        <v>363</v>
      </c>
      <c r="B261" s="579"/>
      <c r="C261" s="584"/>
      <c r="D261" s="585"/>
      <c r="E261" s="585"/>
      <c r="F261" s="586">
        <f t="shared" ref="F261:AA261" si="292">F260/F$229</f>
        <v>8.6006168178200851E-2</v>
      </c>
      <c r="G261" s="587">
        <f t="shared" si="292"/>
        <v>8.6006168178200851E-2</v>
      </c>
      <c r="H261" s="584">
        <f t="shared" si="292"/>
        <v>0.10301507537688441</v>
      </c>
      <c r="I261" s="585">
        <f t="shared" si="292"/>
        <v>0.10486957872430129</v>
      </c>
      <c r="J261" s="585">
        <f t="shared" si="292"/>
        <v>0.24472875197962921</v>
      </c>
      <c r="K261" s="586">
        <f t="shared" si="292"/>
        <v>8.724119300751812E-2</v>
      </c>
      <c r="L261" s="584">
        <f t="shared" si="292"/>
        <v>0.12456874466268147</v>
      </c>
      <c r="M261" s="584">
        <f t="shared" si="292"/>
        <v>7.2906839965992329E-2</v>
      </c>
      <c r="N261" s="585">
        <f t="shared" si="292"/>
        <v>5.4654898235802642E-2</v>
      </c>
      <c r="O261" s="585">
        <f t="shared" si="292"/>
        <v>5.2316654073947692E-2</v>
      </c>
      <c r="P261" s="586">
        <f t="shared" si="292"/>
        <v>4.812784191912578E-2</v>
      </c>
      <c r="Q261" s="587">
        <f t="shared" si="292"/>
        <v>5.6493894165535963E-2</v>
      </c>
      <c r="R261" s="588">
        <f t="shared" si="292"/>
        <v>3.4475997723104161E-2</v>
      </c>
      <c r="S261" s="588">
        <f t="shared" si="292"/>
        <v>3.1560628083874873E-2</v>
      </c>
      <c r="T261" s="588">
        <f t="shared" si="292"/>
        <v>3.8877622261378371E-2</v>
      </c>
      <c r="U261" s="588">
        <f t="shared" si="292"/>
        <v>3.2974810816531711E-2</v>
      </c>
      <c r="V261" s="587">
        <f t="shared" si="292"/>
        <v>3.4456043059859727E-2</v>
      </c>
      <c r="W261" s="588">
        <f t="shared" si="292"/>
        <v>2.930450800288751E-2</v>
      </c>
      <c r="X261" s="588">
        <f t="shared" si="292"/>
        <v>2.8689791292748661E-2</v>
      </c>
      <c r="Y261" s="588">
        <f t="shared" si="292"/>
        <v>3.4109195959439287E-2</v>
      </c>
      <c r="Z261" s="588">
        <f t="shared" si="292"/>
        <v>3.3071038024157499E-2</v>
      </c>
      <c r="AA261" s="587">
        <f t="shared" si="292"/>
        <v>3.145901253655093E-2</v>
      </c>
      <c r="AB261" s="591">
        <f>W261</f>
        <v>2.930450800288751E-2</v>
      </c>
      <c r="AC261" s="591">
        <f>X261</f>
        <v>2.8689791292748661E-2</v>
      </c>
      <c r="AD261" s="591">
        <f>Y261</f>
        <v>3.4109195959439287E-2</v>
      </c>
      <c r="AE261" s="591">
        <f>Z261</f>
        <v>3.3071038024157499E-2</v>
      </c>
      <c r="AF261" s="587">
        <f>AF260/AF$229</f>
        <v>3.1459012536550937E-2</v>
      </c>
      <c r="AG261" s="588">
        <f>AB261</f>
        <v>2.930450800288751E-2</v>
      </c>
      <c r="AH261" s="588">
        <f>AC261</f>
        <v>2.8689791292748661E-2</v>
      </c>
      <c r="AI261" s="588">
        <f>AD261</f>
        <v>3.4109195959439287E-2</v>
      </c>
      <c r="AJ261" s="588">
        <f>AE261</f>
        <v>3.3071038024157499E-2</v>
      </c>
      <c r="AK261" s="587">
        <f>AK260/AK$229</f>
        <v>3.145901253655093E-2</v>
      </c>
      <c r="AL261" s="588">
        <f>AG261</f>
        <v>2.930450800288751E-2</v>
      </c>
      <c r="AM261" s="588">
        <f>AH261</f>
        <v>2.8689791292748661E-2</v>
      </c>
      <c r="AN261" s="588">
        <f>AI261</f>
        <v>3.4109195959439287E-2</v>
      </c>
      <c r="AO261" s="588">
        <f>AJ261</f>
        <v>3.3071038024157499E-2</v>
      </c>
      <c r="AP261" s="587">
        <f>AP260/AP$229</f>
        <v>3.1459012536550937E-2</v>
      </c>
      <c r="AQ261" s="588">
        <f>AL261</f>
        <v>2.930450800288751E-2</v>
      </c>
      <c r="AR261" s="589">
        <f>AM261</f>
        <v>2.8689791292748661E-2</v>
      </c>
      <c r="AS261" s="589">
        <f>AN261</f>
        <v>3.4109195959439287E-2</v>
      </c>
      <c r="AT261" s="589">
        <f>AO261</f>
        <v>3.3071038024157499E-2</v>
      </c>
      <c r="AU261" s="590">
        <f>AU260/AU$229</f>
        <v>3.1459012536550937E-2</v>
      </c>
      <c r="AV261" s="588">
        <f>AQ261</f>
        <v>2.930450800288751E-2</v>
      </c>
      <c r="AW261" s="588">
        <f>AR261</f>
        <v>2.8689791292748661E-2</v>
      </c>
      <c r="AX261" s="589">
        <f>AS261</f>
        <v>3.4109195959439287E-2</v>
      </c>
      <c r="AY261" s="589">
        <f>AT261</f>
        <v>3.3071038024157499E-2</v>
      </c>
      <c r="AZ261" s="590">
        <f>AZ260/AZ$229</f>
        <v>3.145901253655093E-2</v>
      </c>
      <c r="BA261" s="589">
        <f>AV261</f>
        <v>2.930450800288751E-2</v>
      </c>
      <c r="BB261" s="589">
        <f>AW261</f>
        <v>2.8689791292748661E-2</v>
      </c>
      <c r="BC261" s="588">
        <f>AX261</f>
        <v>3.4109195959439287E-2</v>
      </c>
      <c r="BD261" s="589">
        <f>AY261</f>
        <v>3.3071038024157499E-2</v>
      </c>
      <c r="BE261" s="590">
        <f>BE260/BE$229</f>
        <v>3.1459012536550937E-2</v>
      </c>
      <c r="BF261" s="588">
        <f>BA261</f>
        <v>2.930450800288751E-2</v>
      </c>
      <c r="BG261" s="589">
        <f>BB261</f>
        <v>2.8689791292748661E-2</v>
      </c>
      <c r="BH261" s="589">
        <f>BC261</f>
        <v>3.4109195959439287E-2</v>
      </c>
      <c r="BI261" s="589">
        <f>BD261</f>
        <v>3.3071038024157499E-2</v>
      </c>
      <c r="BJ261" s="590">
        <f>BJ260/BJ$229</f>
        <v>3.1459012536550937E-2</v>
      </c>
      <c r="BK261" s="589">
        <f>BF261</f>
        <v>2.930450800288751E-2</v>
      </c>
      <c r="BL261" s="589">
        <f>BG261</f>
        <v>2.8689791292748661E-2</v>
      </c>
      <c r="BM261" s="589">
        <f>BH261</f>
        <v>3.4109195959439287E-2</v>
      </c>
      <c r="BN261" s="589">
        <f>BI261</f>
        <v>3.3071038024157499E-2</v>
      </c>
      <c r="BO261" s="590">
        <f>BO260/BO$229</f>
        <v>3.145901253655093E-2</v>
      </c>
      <c r="BP261" s="589">
        <f>BK261</f>
        <v>2.930450800288751E-2</v>
      </c>
      <c r="BQ261" s="589">
        <f>BL261</f>
        <v>2.8689791292748661E-2</v>
      </c>
      <c r="BR261" s="589">
        <f>BM261</f>
        <v>3.4109195959439287E-2</v>
      </c>
      <c r="BS261" s="589">
        <f>BN261</f>
        <v>3.3071038024157499E-2</v>
      </c>
      <c r="BT261" s="590">
        <f>BT260/BT$229</f>
        <v>3.1459012536550937E-2</v>
      </c>
      <c r="BU261" s="589">
        <f>BP261</f>
        <v>2.930450800288751E-2</v>
      </c>
      <c r="BV261" s="589">
        <f>BQ261</f>
        <v>2.8689791292748661E-2</v>
      </c>
      <c r="BW261" s="589">
        <f>BR261</f>
        <v>3.4109195959439287E-2</v>
      </c>
      <c r="BX261" s="589">
        <f>BS261</f>
        <v>3.3071038024157499E-2</v>
      </c>
      <c r="BY261" s="590">
        <f>BY260/BY$229</f>
        <v>3.145901253655093E-2</v>
      </c>
      <c r="BZ261" s="589">
        <f>BU261</f>
        <v>2.930450800288751E-2</v>
      </c>
      <c r="CA261" s="589">
        <f>BV261</f>
        <v>2.8689791292748661E-2</v>
      </c>
      <c r="CB261" s="589">
        <f>BW261</f>
        <v>3.4109195959439287E-2</v>
      </c>
      <c r="CC261" s="589">
        <f>BX261</f>
        <v>3.3071038024157499E-2</v>
      </c>
      <c r="CD261" s="590">
        <f>CD260/CD$229</f>
        <v>3.145901253655093E-2</v>
      </c>
      <c r="CE261" s="589">
        <f>BZ261</f>
        <v>2.930450800288751E-2</v>
      </c>
      <c r="CF261" s="589">
        <f>CA261</f>
        <v>2.8689791292748661E-2</v>
      </c>
      <c r="CG261" s="589">
        <f>CB261</f>
        <v>3.4109195959439287E-2</v>
      </c>
      <c r="CH261" s="589">
        <f>CC261</f>
        <v>3.3071038024157499E-2</v>
      </c>
      <c r="CI261" s="590">
        <f>CI260/CI$229</f>
        <v>3.1459012536550937E-2</v>
      </c>
      <c r="CJ261" s="589">
        <f>CE261</f>
        <v>2.930450800288751E-2</v>
      </c>
      <c r="CK261" s="589">
        <f>CF261</f>
        <v>2.8689791292748661E-2</v>
      </c>
      <c r="CL261" s="589">
        <f>CG261</f>
        <v>3.4109195959439287E-2</v>
      </c>
      <c r="CM261" s="589">
        <f>CH261</f>
        <v>3.3071038024157499E-2</v>
      </c>
      <c r="CN261" s="590">
        <f>CN260/CN$229</f>
        <v>3.1459012536550937E-2</v>
      </c>
      <c r="CO261" s="589">
        <f>CJ261</f>
        <v>2.930450800288751E-2</v>
      </c>
      <c r="CP261" s="589">
        <f>CK261</f>
        <v>2.8689791292748661E-2</v>
      </c>
      <c r="CQ261" s="589">
        <f>CL261</f>
        <v>3.4109195959439287E-2</v>
      </c>
      <c r="CR261" s="589">
        <f>CM261</f>
        <v>3.3071038024157499E-2</v>
      </c>
      <c r="CS261" s="590">
        <f>CS260/CS$229</f>
        <v>3.145901253655093E-2</v>
      </c>
      <c r="CT261" s="589">
        <f>CO261</f>
        <v>2.930450800288751E-2</v>
      </c>
      <c r="CU261" s="589">
        <f>CP261</f>
        <v>2.8689791292748661E-2</v>
      </c>
      <c r="CV261" s="589">
        <f>CQ261</f>
        <v>3.4109195959439287E-2</v>
      </c>
      <c r="CW261" s="589">
        <f>CR261</f>
        <v>3.3071038024157499E-2</v>
      </c>
      <c r="CX261" s="590">
        <f>CX260/CX$229</f>
        <v>3.1459012536550944E-2</v>
      </c>
      <c r="CY261" s="1733"/>
      <c r="DA261" s="564"/>
      <c r="DB261" s="560"/>
      <c r="DC261" s="560"/>
    </row>
    <row r="262" spans="1:107" ht="12" hidden="1" customHeight="1" outlineLevel="1">
      <c r="A262" s="579"/>
      <c r="B262" s="579"/>
      <c r="C262" s="600"/>
      <c r="D262" s="599"/>
      <c r="E262" s="599"/>
      <c r="F262" s="596"/>
      <c r="G262" s="626"/>
      <c r="H262" s="600"/>
      <c r="I262" s="599"/>
      <c r="J262" s="599"/>
      <c r="K262" s="596"/>
      <c r="L262" s="600"/>
      <c r="M262" s="600"/>
      <c r="N262" s="599"/>
      <c r="O262" s="599"/>
      <c r="P262" s="596"/>
      <c r="Q262" s="626"/>
      <c r="R262" s="601"/>
      <c r="S262" s="601"/>
      <c r="T262" s="601"/>
      <c r="U262" s="601"/>
      <c r="V262" s="626"/>
      <c r="W262" s="601"/>
      <c r="X262" s="601"/>
      <c r="Y262" s="601"/>
      <c r="Z262" s="601"/>
      <c r="AA262" s="626"/>
      <c r="AB262" s="601"/>
      <c r="AC262" s="601"/>
      <c r="AD262" s="601"/>
      <c r="AE262" s="601"/>
      <c r="AF262" s="626"/>
      <c r="AG262" s="601"/>
      <c r="AH262" s="601"/>
      <c r="AI262" s="601"/>
      <c r="AJ262" s="601"/>
      <c r="AK262" s="626"/>
      <c r="AL262" s="601"/>
      <c r="AM262" s="601"/>
      <c r="AN262" s="601"/>
      <c r="AO262" s="601"/>
      <c r="AP262" s="626"/>
      <c r="AQ262" s="601"/>
      <c r="AR262" s="602"/>
      <c r="AS262" s="602"/>
      <c r="AT262" s="602"/>
      <c r="AU262" s="627"/>
      <c r="AV262" s="601"/>
      <c r="AW262" s="601"/>
      <c r="AX262" s="602"/>
      <c r="AY262" s="602"/>
      <c r="AZ262" s="627"/>
      <c r="BA262" s="602"/>
      <c r="BB262" s="602"/>
      <c r="BC262" s="601"/>
      <c r="BD262" s="602"/>
      <c r="BE262" s="627"/>
      <c r="BF262" s="601"/>
      <c r="BG262" s="602"/>
      <c r="BH262" s="602"/>
      <c r="BI262" s="602"/>
      <c r="BJ262" s="627"/>
      <c r="BK262" s="602"/>
      <c r="BL262" s="602"/>
      <c r="BM262" s="602"/>
      <c r="BN262" s="602"/>
      <c r="BO262" s="627"/>
      <c r="BP262" s="602"/>
      <c r="BQ262" s="602"/>
      <c r="BR262" s="602"/>
      <c r="BS262" s="602"/>
      <c r="BT262" s="627"/>
      <c r="BU262" s="602"/>
      <c r="BV262" s="602"/>
      <c r="BW262" s="602"/>
      <c r="BX262" s="602"/>
      <c r="BY262" s="627"/>
      <c r="BZ262" s="602"/>
      <c r="CA262" s="602"/>
      <c r="CB262" s="602"/>
      <c r="CC262" s="602"/>
      <c r="CD262" s="627"/>
      <c r="CE262" s="602"/>
      <c r="CF262" s="602"/>
      <c r="CG262" s="602"/>
      <c r="CH262" s="602"/>
      <c r="CI262" s="627"/>
      <c r="CJ262" s="602"/>
      <c r="CK262" s="602"/>
      <c r="CL262" s="602"/>
      <c r="CM262" s="602"/>
      <c r="CN262" s="627"/>
      <c r="CO262" s="602"/>
      <c r="CP262" s="602"/>
      <c r="CQ262" s="602"/>
      <c r="CR262" s="602"/>
      <c r="CS262" s="627"/>
      <c r="CT262" s="602"/>
      <c r="CU262" s="602"/>
      <c r="CV262" s="602"/>
      <c r="CW262" s="602"/>
      <c r="CX262" s="627"/>
      <c r="CY262" s="1738"/>
      <c r="DA262" s="564"/>
      <c r="DB262" s="560"/>
      <c r="DC262" s="560"/>
    </row>
    <row r="263" spans="1:107" ht="12" hidden="1" customHeight="1" outlineLevel="1">
      <c r="A263" s="553" t="s">
        <v>697</v>
      </c>
      <c r="B263" s="553"/>
      <c r="C263" s="571"/>
      <c r="D263" s="572"/>
      <c r="E263" s="572"/>
      <c r="F263" s="569">
        <f>15.835-SUM(C263:E263)</f>
        <v>15.835000000000001</v>
      </c>
      <c r="G263" s="570">
        <f>SUM(C263:F263)</f>
        <v>15.835000000000001</v>
      </c>
      <c r="H263" s="571">
        <v>4.5949999999999998</v>
      </c>
      <c r="I263" s="572">
        <v>5.7370000000000001</v>
      </c>
      <c r="J263" s="572">
        <v>7.1920000000000002</v>
      </c>
      <c r="K263" s="569">
        <f>24.682-SUM(H263:J263)</f>
        <v>7.1579999999999977</v>
      </c>
      <c r="L263" s="573">
        <f>SUM(H263:K263)</f>
        <v>24.681999999999999</v>
      </c>
      <c r="M263" s="571">
        <v>6.1120000000000001</v>
      </c>
      <c r="N263" s="572">
        <v>7.9720000000000004</v>
      </c>
      <c r="O263" s="572">
        <v>9.3539999999999992</v>
      </c>
      <c r="P263" s="569">
        <f>33.501-SUM(M263:O263)</f>
        <v>10.062999999999999</v>
      </c>
      <c r="Q263" s="570">
        <f>SUM(M263:P263)</f>
        <v>33.500999999999998</v>
      </c>
      <c r="R263" s="574">
        <v>8.3339999999999996</v>
      </c>
      <c r="S263" s="574">
        <v>11.317</v>
      </c>
      <c r="T263" s="574">
        <v>8.3230000000000004</v>
      </c>
      <c r="U263" s="574">
        <f>38.077-SUM(R263:T263)</f>
        <v>10.102999999999998</v>
      </c>
      <c r="V263" s="570">
        <f>SUM(R263:U263)</f>
        <v>38.076999999999998</v>
      </c>
      <c r="W263" s="574">
        <v>11.111000000000001</v>
      </c>
      <c r="X263" s="574">
        <v>12.775</v>
      </c>
      <c r="Y263" s="574">
        <v>10.864000000000001</v>
      </c>
      <c r="Z263" s="574">
        <f>46.354-SUM(W263:Y263)</f>
        <v>11.603999999999999</v>
      </c>
      <c r="AA263" s="570">
        <f>SUM(W263:Z263)</f>
        <v>46.353999999999999</v>
      </c>
      <c r="AB263" s="575">
        <f>AB264*AB241</f>
        <v>11.045686072813611</v>
      </c>
      <c r="AC263" s="575">
        <f>AC264*AC241</f>
        <v>13.523943672328079</v>
      </c>
      <c r="AD263" s="575">
        <f>AD264*AD241</f>
        <v>12.403461234460531</v>
      </c>
      <c r="AE263" s="575">
        <f>AE264*AE241</f>
        <v>12.316062641452495</v>
      </c>
      <c r="AF263" s="570">
        <f>SUM(AB263:AE263)</f>
        <v>49.289153621054716</v>
      </c>
      <c r="AG263" s="576">
        <f>AG264*AG241</f>
        <v>11.723488589330564</v>
      </c>
      <c r="AH263" s="576">
        <f>AH264*AH241</f>
        <v>14.353820874514627</v>
      </c>
      <c r="AI263" s="576">
        <f>AI264*AI241</f>
        <v>13.164581655846572</v>
      </c>
      <c r="AJ263" s="576">
        <f>AJ264*AJ241</f>
        <v>13.071819974851932</v>
      </c>
      <c r="AK263" s="570">
        <f>SUM(AG263:AJ263)</f>
        <v>52.313711094543692</v>
      </c>
      <c r="AL263" s="576">
        <f>AL264*AL241</f>
        <v>12.442883474883555</v>
      </c>
      <c r="AM263" s="576">
        <f>AM264*AM241</f>
        <v>15.234622288410081</v>
      </c>
      <c r="AN263" s="576">
        <f>AN264*AN241</f>
        <v>13.972407128742052</v>
      </c>
      <c r="AO263" s="576">
        <f>AO264*AO241</f>
        <v>13.873953261639638</v>
      </c>
      <c r="AP263" s="570">
        <f>SUM(AL263:AO263)</f>
        <v>55.523866153675328</v>
      </c>
      <c r="AQ263" s="576">
        <f>AQ264*AQ241</f>
        <v>13.206422984915543</v>
      </c>
      <c r="AR263" s="577">
        <f>AR264*AR241</f>
        <v>16.16947280445768</v>
      </c>
      <c r="AS263" s="577">
        <f>AS264*AS241</f>
        <v>14.829803640939721</v>
      </c>
      <c r="AT263" s="577">
        <f>AT264*AT241</f>
        <v>14.725308294979142</v>
      </c>
      <c r="AU263" s="578">
        <f>SUM(AQ263:AT263)</f>
        <v>58.931007725292091</v>
      </c>
      <c r="AV263" s="576">
        <f>AV264*AV241</f>
        <v>14.016815990325567</v>
      </c>
      <c r="AW263" s="576">
        <f>AW264*AW241</f>
        <v>17.161689067473574</v>
      </c>
      <c r="AX263" s="577">
        <f>AX264*AX241</f>
        <v>15.739813047419331</v>
      </c>
      <c r="AY263" s="577">
        <f>AY264*AY241</f>
        <v>15.628905496006821</v>
      </c>
      <c r="AZ263" s="578">
        <f>SUM(AV263:AY263)</f>
        <v>62.547223601225298</v>
      </c>
      <c r="BA263" s="577">
        <f>BA264*BA241</f>
        <v>14.876937587949215</v>
      </c>
      <c r="BB263" s="577">
        <f>BB264*BB241</f>
        <v>18.214791243375991</v>
      </c>
      <c r="BC263" s="576">
        <f>BC264*BC241</f>
        <v>16.705663862182675</v>
      </c>
      <c r="BD263" s="577">
        <f>BD264*BD241</f>
        <v>16.58795062962437</v>
      </c>
      <c r="BE263" s="578">
        <f>SUM(BA263:BD263)</f>
        <v>66.385343323132247</v>
      </c>
      <c r="BF263" s="576">
        <f>BF264*BF241</f>
        <v>15.789839300772295</v>
      </c>
      <c r="BG263" s="577">
        <f>BG264*BG241</f>
        <v>19.332515507962693</v>
      </c>
      <c r="BH263" s="577">
        <f>BH264*BH241</f>
        <v>17.73078271231395</v>
      </c>
      <c r="BI263" s="577">
        <f>BI264*BI241</f>
        <v>17.605846177850321</v>
      </c>
      <c r="BJ263" s="578">
        <f>SUM(BF263:BI263)</f>
        <v>70.45898369889926</v>
      </c>
      <c r="BK263" s="577">
        <f>BK264*BK241</f>
        <v>16.758759904065847</v>
      </c>
      <c r="BL263" s="577">
        <f>BL264*BL241</f>
        <v>20.518827302044155</v>
      </c>
      <c r="BM263" s="577">
        <f>BM264*BM241</f>
        <v>18.818806494901896</v>
      </c>
      <c r="BN263" s="577">
        <f>BN264*BN241</f>
        <v>18.686203411080797</v>
      </c>
      <c r="BO263" s="578">
        <f>SUM(BK263:BN263)</f>
        <v>74.782597112092688</v>
      </c>
      <c r="BP263" s="577">
        <f>BP264*BP241</f>
        <v>17.787136915851203</v>
      </c>
      <c r="BQ263" s="577">
        <f>BQ264*BQ241</f>
        <v>21.777935399958768</v>
      </c>
      <c r="BR263" s="577">
        <f>BR264*BR241</f>
        <v>19.97359527995388</v>
      </c>
      <c r="BS263" s="577">
        <f>BS264*BS241</f>
        <v>19.832855200085692</v>
      </c>
      <c r="BT263" s="578">
        <f>SUM(BP263:BS263)</f>
        <v>79.371522795849543</v>
      </c>
      <c r="BU263" s="577">
        <f>BU264*BU241</f>
        <v>18.878618792460838</v>
      </c>
      <c r="BV263" s="577">
        <f>BV264*BV241</f>
        <v>23.114306841382106</v>
      </c>
      <c r="BW263" s="577">
        <f>BW264*BW241</f>
        <v>21.199246005078582</v>
      </c>
      <c r="BX263" s="577">
        <f>BX264*BX241</f>
        <v>21.049869614194439</v>
      </c>
      <c r="BY263" s="578">
        <f>SUM(BU263:BX263)</f>
        <v>84.242041253115957</v>
      </c>
      <c r="BZ263" s="577">
        <f>BZ264*BZ241</f>
        <v>20.037077872462078</v>
      </c>
      <c r="CA263" s="577">
        <f>CA264*CA241</f>
        <v>24.532682779405032</v>
      </c>
      <c r="CB263" s="577">
        <f>CB264*CB241</f>
        <v>22.500107010523042</v>
      </c>
      <c r="CC263" s="577">
        <f>CC264*CC241</f>
        <v>22.341564353914698</v>
      </c>
      <c r="CD263" s="578">
        <f>SUM(BZ263:CC263)</f>
        <v>89.411432016304843</v>
      </c>
      <c r="CE263" s="577">
        <f>CE264*CE241</f>
        <v>21.266624114865962</v>
      </c>
      <c r="CF263" s="577">
        <f>CF264*CF241</f>
        <v>26.038095301106107</v>
      </c>
      <c r="CG263" s="577">
        <f>CG264*CG241</f>
        <v>23.88079346613118</v>
      </c>
      <c r="CH263" s="577">
        <f>CH264*CH241</f>
        <v>23.712522069187827</v>
      </c>
      <c r="CI263" s="578">
        <f>SUM(CE263:CH263)</f>
        <v>94.898034951291081</v>
      </c>
      <c r="CJ263" s="577">
        <f>CJ264*CJ241</f>
        <v>22.571619680361376</v>
      </c>
      <c r="CK263" s="577">
        <f>CK264*CK241</f>
        <v>27.635885280294097</v>
      </c>
      <c r="CL263" s="577">
        <f>CL264*CL241</f>
        <v>25.346203744955279</v>
      </c>
      <c r="CM263" s="577">
        <f>CM264*CM241</f>
        <v>25.167606617626859</v>
      </c>
      <c r="CN263" s="578">
        <f>SUM(CJ263:CM263)</f>
        <v>100.7213153232376</v>
      </c>
      <c r="CO263" s="577">
        <f>CO264*CO241</f>
        <v>23.95669440730547</v>
      </c>
      <c r="CP263" s="577">
        <f>CP264*CP241</f>
        <v>29.331721325758103</v>
      </c>
      <c r="CQ263" s="577">
        <f>CQ264*CQ241</f>
        <v>26.901536801610398</v>
      </c>
      <c r="CR263" s="577">
        <f>CR264*CR241</f>
        <v>26.71198032041768</v>
      </c>
      <c r="CS263" s="578">
        <f>SUM(CO263:CR263)</f>
        <v>106.90193285509166</v>
      </c>
      <c r="CT263" s="577">
        <f>CT264*CT241</f>
        <v>25.426762237375808</v>
      </c>
      <c r="CU263" s="577">
        <f>CU264*CU241</f>
        <v>31.131619892249642</v>
      </c>
      <c r="CV263" s="577">
        <f>CV264*CV241</f>
        <v>28.552310617026311</v>
      </c>
      <c r="CW263" s="577">
        <f>CW264*CW241</f>
        <v>28.351122277103624</v>
      </c>
      <c r="CX263" s="578">
        <f>SUM(CT263:CW263)</f>
        <v>113.46181502375539</v>
      </c>
      <c r="CY263" s="1732"/>
      <c r="DA263" s="564"/>
      <c r="DB263" s="560"/>
      <c r="DC263" s="560"/>
    </row>
    <row r="264" spans="1:107" ht="12" hidden="1" customHeight="1" outlineLevel="1">
      <c r="A264" s="579" t="s">
        <v>363</v>
      </c>
      <c r="B264" s="579"/>
      <c r="C264" s="584"/>
      <c r="D264" s="585"/>
      <c r="E264" s="585"/>
      <c r="F264" s="586">
        <f t="shared" ref="F264:AA264" si="293">F263/F$241</f>
        <v>5.4250632096092308E-2</v>
      </c>
      <c r="G264" s="587">
        <f t="shared" si="293"/>
        <v>5.4250632096092308E-2</v>
      </c>
      <c r="H264" s="584">
        <f t="shared" si="293"/>
        <v>6.2102147558486837E-2</v>
      </c>
      <c r="I264" s="585">
        <f t="shared" si="293"/>
        <v>7.589527853845035E-2</v>
      </c>
      <c r="J264" s="585">
        <f t="shared" si="293"/>
        <v>9.1547861507128306E-2</v>
      </c>
      <c r="K264" s="586">
        <f t="shared" si="293"/>
        <v>8.4752184517748408E-2</v>
      </c>
      <c r="L264" s="584">
        <f t="shared" si="293"/>
        <v>7.8957133717210484E-2</v>
      </c>
      <c r="M264" s="584">
        <f t="shared" si="293"/>
        <v>6.7250561154878749E-2</v>
      </c>
      <c r="N264" s="585">
        <f t="shared" si="293"/>
        <v>7.3747895428222549E-2</v>
      </c>
      <c r="O264" s="585">
        <f t="shared" si="293"/>
        <v>7.3680230634718083E-2</v>
      </c>
      <c r="P264" s="586">
        <f t="shared" si="293"/>
        <v>8.5161301242341114E-2</v>
      </c>
      <c r="Q264" s="587">
        <f t="shared" si="293"/>
        <v>7.543571267732492E-2</v>
      </c>
      <c r="R264" s="588">
        <f t="shared" si="293"/>
        <v>6.3964510211756753E-2</v>
      </c>
      <c r="S264" s="588">
        <f t="shared" si="293"/>
        <v>8.316187060932953E-2</v>
      </c>
      <c r="T264" s="588">
        <f t="shared" si="293"/>
        <v>6.1402602768023139E-2</v>
      </c>
      <c r="U264" s="588">
        <f t="shared" si="293"/>
        <v>7.2227742945587925E-2</v>
      </c>
      <c r="V264" s="587">
        <f t="shared" si="293"/>
        <v>7.0278700627537841E-2</v>
      </c>
      <c r="W264" s="588">
        <f t="shared" si="293"/>
        <v>6.0097467046726846E-2</v>
      </c>
      <c r="X264" s="588">
        <f t="shared" si="293"/>
        <v>7.2493786246893122E-2</v>
      </c>
      <c r="Y264" s="588">
        <f t="shared" si="293"/>
        <v>6.5504974374434741E-2</v>
      </c>
      <c r="Z264" s="588">
        <f t="shared" si="293"/>
        <v>6.408217362491718E-2</v>
      </c>
      <c r="AA264" s="587">
        <f t="shared" si="293"/>
        <v>6.5468514974542216E-2</v>
      </c>
      <c r="AB264" s="591">
        <f>W264</f>
        <v>6.0097467046726846E-2</v>
      </c>
      <c r="AC264" s="591">
        <f>X264</f>
        <v>7.2493786246893122E-2</v>
      </c>
      <c r="AD264" s="591">
        <f>Y264</f>
        <v>6.5504974374434741E-2</v>
      </c>
      <c r="AE264" s="591">
        <f>Z264</f>
        <v>6.408217362491718E-2</v>
      </c>
      <c r="AF264" s="587">
        <f>AF263/AF$241</f>
        <v>6.5553458713699553E-2</v>
      </c>
      <c r="AG264" s="588">
        <f>AB264</f>
        <v>6.0097467046726846E-2</v>
      </c>
      <c r="AH264" s="588">
        <f>AC264</f>
        <v>7.2493786246893122E-2</v>
      </c>
      <c r="AI264" s="588">
        <f>AD264</f>
        <v>6.5504974374434741E-2</v>
      </c>
      <c r="AJ264" s="588">
        <f>AE264</f>
        <v>6.408217362491718E-2</v>
      </c>
      <c r="AK264" s="587">
        <f>AK263/AK$241</f>
        <v>6.5553458713699553E-2</v>
      </c>
      <c r="AL264" s="588">
        <f>AG264</f>
        <v>6.0097467046726846E-2</v>
      </c>
      <c r="AM264" s="588">
        <f>AH264</f>
        <v>7.2493786246893122E-2</v>
      </c>
      <c r="AN264" s="588">
        <f>AI264</f>
        <v>6.5504974374434741E-2</v>
      </c>
      <c r="AO264" s="588">
        <f>AJ264</f>
        <v>6.408217362491718E-2</v>
      </c>
      <c r="AP264" s="587">
        <f>AP263/AP$241</f>
        <v>6.5553458713699553E-2</v>
      </c>
      <c r="AQ264" s="588">
        <f>AL264</f>
        <v>6.0097467046726846E-2</v>
      </c>
      <c r="AR264" s="589">
        <f>AM264</f>
        <v>7.2493786246893122E-2</v>
      </c>
      <c r="AS264" s="589">
        <f>AN264</f>
        <v>6.5504974374434741E-2</v>
      </c>
      <c r="AT264" s="589">
        <f>AO264</f>
        <v>6.408217362491718E-2</v>
      </c>
      <c r="AU264" s="590">
        <f>AU263/AU$241</f>
        <v>6.5553458713699553E-2</v>
      </c>
      <c r="AV264" s="588">
        <f>AQ264</f>
        <v>6.0097467046726846E-2</v>
      </c>
      <c r="AW264" s="588">
        <f>AR264</f>
        <v>7.2493786246893122E-2</v>
      </c>
      <c r="AX264" s="589">
        <f>AS264</f>
        <v>6.5504974374434741E-2</v>
      </c>
      <c r="AY264" s="589">
        <f>AT264</f>
        <v>6.408217362491718E-2</v>
      </c>
      <c r="AZ264" s="590">
        <f>AZ263/AZ$241</f>
        <v>6.5553458713699567E-2</v>
      </c>
      <c r="BA264" s="589">
        <f>AV264</f>
        <v>6.0097467046726846E-2</v>
      </c>
      <c r="BB264" s="589">
        <f>AW264</f>
        <v>7.2493786246893122E-2</v>
      </c>
      <c r="BC264" s="588">
        <f>AX264</f>
        <v>6.5504974374434741E-2</v>
      </c>
      <c r="BD264" s="589">
        <f>AY264</f>
        <v>6.408217362491718E-2</v>
      </c>
      <c r="BE264" s="590">
        <f>BE263/BE$241</f>
        <v>6.5553458713699553E-2</v>
      </c>
      <c r="BF264" s="588">
        <f>BA264</f>
        <v>6.0097467046726846E-2</v>
      </c>
      <c r="BG264" s="589">
        <f>BB264</f>
        <v>7.2493786246893122E-2</v>
      </c>
      <c r="BH264" s="589">
        <f>BC264</f>
        <v>6.5504974374434741E-2</v>
      </c>
      <c r="BI264" s="589">
        <f>BD264</f>
        <v>6.408217362491718E-2</v>
      </c>
      <c r="BJ264" s="590">
        <f>BJ263/BJ$241</f>
        <v>6.5553458713699553E-2</v>
      </c>
      <c r="BK264" s="589">
        <f>BF264</f>
        <v>6.0097467046726846E-2</v>
      </c>
      <c r="BL264" s="589">
        <f>BG264</f>
        <v>7.2493786246893122E-2</v>
      </c>
      <c r="BM264" s="589">
        <f>BH264</f>
        <v>6.5504974374434741E-2</v>
      </c>
      <c r="BN264" s="589">
        <f>BI264</f>
        <v>6.408217362491718E-2</v>
      </c>
      <c r="BO264" s="590">
        <f>BO263/BO$241</f>
        <v>6.5553458713699553E-2</v>
      </c>
      <c r="BP264" s="589">
        <f>BK264</f>
        <v>6.0097467046726846E-2</v>
      </c>
      <c r="BQ264" s="589">
        <f>BL264</f>
        <v>7.2493786246893122E-2</v>
      </c>
      <c r="BR264" s="589">
        <f>BM264</f>
        <v>6.5504974374434741E-2</v>
      </c>
      <c r="BS264" s="589">
        <f>BN264</f>
        <v>6.408217362491718E-2</v>
      </c>
      <c r="BT264" s="590">
        <f>BT263/BT$241</f>
        <v>6.5553458713699553E-2</v>
      </c>
      <c r="BU264" s="589">
        <f>BP264</f>
        <v>6.0097467046726846E-2</v>
      </c>
      <c r="BV264" s="589">
        <f>BQ264</f>
        <v>7.2493786246893122E-2</v>
      </c>
      <c r="BW264" s="589">
        <f>BR264</f>
        <v>6.5504974374434741E-2</v>
      </c>
      <c r="BX264" s="589">
        <f>BS264</f>
        <v>6.408217362491718E-2</v>
      </c>
      <c r="BY264" s="590">
        <f>BY263/BY$241</f>
        <v>6.5553458713699539E-2</v>
      </c>
      <c r="BZ264" s="589">
        <f>BU264</f>
        <v>6.0097467046726846E-2</v>
      </c>
      <c r="CA264" s="589">
        <f>BV264</f>
        <v>7.2493786246893122E-2</v>
      </c>
      <c r="CB264" s="589">
        <f>BW264</f>
        <v>6.5504974374434741E-2</v>
      </c>
      <c r="CC264" s="589">
        <f>BX264</f>
        <v>6.408217362491718E-2</v>
      </c>
      <c r="CD264" s="590">
        <f>CD263/CD$241</f>
        <v>6.5553458713699539E-2</v>
      </c>
      <c r="CE264" s="589">
        <f>BZ264</f>
        <v>6.0097467046726846E-2</v>
      </c>
      <c r="CF264" s="589">
        <f>CA264</f>
        <v>7.2493786246893122E-2</v>
      </c>
      <c r="CG264" s="589">
        <f>CB264</f>
        <v>6.5504974374434741E-2</v>
      </c>
      <c r="CH264" s="589">
        <f>CC264</f>
        <v>6.408217362491718E-2</v>
      </c>
      <c r="CI264" s="590">
        <f>CI263/CI$241</f>
        <v>6.5553458713699553E-2</v>
      </c>
      <c r="CJ264" s="589">
        <f>CE264</f>
        <v>6.0097467046726846E-2</v>
      </c>
      <c r="CK264" s="589">
        <f>CF264</f>
        <v>7.2493786246893122E-2</v>
      </c>
      <c r="CL264" s="589">
        <f>CG264</f>
        <v>6.5504974374434741E-2</v>
      </c>
      <c r="CM264" s="589">
        <f>CH264</f>
        <v>6.408217362491718E-2</v>
      </c>
      <c r="CN264" s="590">
        <f>CN263/CN$241</f>
        <v>6.5553458713699553E-2</v>
      </c>
      <c r="CO264" s="589">
        <f>CJ264</f>
        <v>6.0097467046726846E-2</v>
      </c>
      <c r="CP264" s="589">
        <f>CK264</f>
        <v>7.2493786246893122E-2</v>
      </c>
      <c r="CQ264" s="589">
        <f>CL264</f>
        <v>6.5504974374434741E-2</v>
      </c>
      <c r="CR264" s="589">
        <f>CM264</f>
        <v>6.408217362491718E-2</v>
      </c>
      <c r="CS264" s="590">
        <f>CS263/CS$241</f>
        <v>6.5553458713699553E-2</v>
      </c>
      <c r="CT264" s="589">
        <f>CO264</f>
        <v>6.0097467046726846E-2</v>
      </c>
      <c r="CU264" s="589">
        <f>CP264</f>
        <v>7.2493786246893122E-2</v>
      </c>
      <c r="CV264" s="589">
        <f>CQ264</f>
        <v>6.5504974374434741E-2</v>
      </c>
      <c r="CW264" s="589">
        <f>CR264</f>
        <v>6.408217362491718E-2</v>
      </c>
      <c r="CX264" s="590">
        <f>CX263/CX$241</f>
        <v>6.5553458713699553E-2</v>
      </c>
      <c r="CY264" s="1733"/>
      <c r="DA264" s="564"/>
      <c r="DB264" s="560"/>
      <c r="DC264" s="560"/>
    </row>
    <row r="265" spans="1:107" ht="12" hidden="1" customHeight="1" outlineLevel="1">
      <c r="A265" s="560"/>
      <c r="B265" s="560"/>
      <c r="C265" s="594"/>
      <c r="D265" s="595"/>
      <c r="E265" s="595"/>
      <c r="F265" s="593"/>
      <c r="G265" s="286"/>
      <c r="H265" s="594"/>
      <c r="I265" s="595"/>
      <c r="J265" s="595"/>
      <c r="K265" s="593"/>
      <c r="L265" s="594"/>
      <c r="M265" s="594"/>
      <c r="N265" s="595"/>
      <c r="O265" s="595"/>
      <c r="P265" s="593"/>
      <c r="Q265" s="286"/>
      <c r="R265" s="576"/>
      <c r="S265" s="576"/>
      <c r="T265" s="576"/>
      <c r="U265" s="576"/>
      <c r="V265" s="286"/>
      <c r="W265" s="576"/>
      <c r="X265" s="576"/>
      <c r="Y265" s="576"/>
      <c r="Z265" s="576"/>
      <c r="AA265" s="286"/>
      <c r="AB265" s="576"/>
      <c r="AC265" s="576"/>
      <c r="AD265" s="576"/>
      <c r="AE265" s="576"/>
      <c r="AF265" s="286"/>
      <c r="AG265" s="576"/>
      <c r="AH265" s="576"/>
      <c r="AI265" s="576"/>
      <c r="AJ265" s="576"/>
      <c r="AK265" s="286"/>
      <c r="AL265" s="576"/>
      <c r="AM265" s="576"/>
      <c r="AN265" s="576"/>
      <c r="AO265" s="576"/>
      <c r="AP265" s="286"/>
      <c r="AQ265" s="576"/>
      <c r="AR265" s="577"/>
      <c r="AS265" s="577"/>
      <c r="AT265" s="577"/>
      <c r="AU265" s="287"/>
      <c r="AV265" s="576"/>
      <c r="AW265" s="576"/>
      <c r="AX265" s="577"/>
      <c r="AY265" s="577"/>
      <c r="AZ265" s="287"/>
      <c r="BA265" s="577"/>
      <c r="BB265" s="577"/>
      <c r="BC265" s="576"/>
      <c r="BD265" s="577"/>
      <c r="BE265" s="287"/>
      <c r="BF265" s="576"/>
      <c r="BG265" s="577"/>
      <c r="BH265" s="577"/>
      <c r="BI265" s="577"/>
      <c r="BJ265" s="287"/>
      <c r="BK265" s="577"/>
      <c r="BL265" s="577"/>
      <c r="BM265" s="577"/>
      <c r="BN265" s="577"/>
      <c r="BO265" s="287"/>
      <c r="BP265" s="577"/>
      <c r="BQ265" s="577"/>
      <c r="BR265" s="577"/>
      <c r="BS265" s="577"/>
      <c r="BT265" s="287"/>
      <c r="BU265" s="577"/>
      <c r="BV265" s="577"/>
      <c r="BW265" s="577"/>
      <c r="BX265" s="577"/>
      <c r="BY265" s="287"/>
      <c r="BZ265" s="577"/>
      <c r="CA265" s="577"/>
      <c r="CB265" s="577"/>
      <c r="CC265" s="577"/>
      <c r="CD265" s="287"/>
      <c r="CE265" s="577"/>
      <c r="CF265" s="577"/>
      <c r="CG265" s="577"/>
      <c r="CH265" s="577"/>
      <c r="CI265" s="287"/>
      <c r="CJ265" s="577"/>
      <c r="CK265" s="577"/>
      <c r="CL265" s="577"/>
      <c r="CM265" s="577"/>
      <c r="CN265" s="287"/>
      <c r="CO265" s="577"/>
      <c r="CP265" s="577"/>
      <c r="CQ265" s="577"/>
      <c r="CR265" s="577"/>
      <c r="CS265" s="287"/>
      <c r="CT265" s="577"/>
      <c r="CU265" s="577"/>
      <c r="CV265" s="577"/>
      <c r="CW265" s="577"/>
      <c r="CX265" s="287"/>
      <c r="CY265" s="1735"/>
      <c r="DA265" s="564"/>
      <c r="DB265" s="560"/>
      <c r="DC265" s="560"/>
    </row>
    <row r="266" spans="1:107" ht="12" hidden="1" customHeight="1" outlineLevel="1">
      <c r="A266" s="553" t="s">
        <v>698</v>
      </c>
      <c r="B266" s="553"/>
      <c r="C266" s="571"/>
      <c r="D266" s="572"/>
      <c r="E266" s="572"/>
      <c r="F266" s="569">
        <f>5.226-SUM(C266:E266)</f>
        <v>5.226</v>
      </c>
      <c r="G266" s="570">
        <f>SUM(C266:F266)</f>
        <v>5.226</v>
      </c>
      <c r="H266" s="571">
        <v>1.764</v>
      </c>
      <c r="I266" s="572">
        <v>1.397</v>
      </c>
      <c r="J266" s="572">
        <v>1.246</v>
      </c>
      <c r="K266" s="569">
        <f>5.772-SUM(H266:J266)</f>
        <v>1.3650000000000002</v>
      </c>
      <c r="L266" s="573">
        <f>SUM(H266:K266)</f>
        <v>5.7720000000000002</v>
      </c>
      <c r="M266" s="571">
        <v>1.452</v>
      </c>
      <c r="N266" s="572">
        <v>1.5569999999999999</v>
      </c>
      <c r="O266" s="572">
        <v>1.4570000000000001</v>
      </c>
      <c r="P266" s="569">
        <f>5.202-SUM(M266:O266)</f>
        <v>0.73599999999999977</v>
      </c>
      <c r="Q266" s="570">
        <f>SUM(M266:P266)</f>
        <v>5.202</v>
      </c>
      <c r="R266" s="574">
        <v>1.121</v>
      </c>
      <c r="S266" s="574">
        <v>1.284</v>
      </c>
      <c r="T266" s="574">
        <v>1.415</v>
      </c>
      <c r="U266" s="574">
        <f>5.027-SUM(R266:T266)</f>
        <v>1.2069999999999999</v>
      </c>
      <c r="V266" s="570">
        <f>SUM(R266:U266)</f>
        <v>5.0270000000000001</v>
      </c>
      <c r="W266" s="574">
        <v>1.2869999999999999</v>
      </c>
      <c r="X266" s="574">
        <v>1.37</v>
      </c>
      <c r="Y266" s="574">
        <v>1.254</v>
      </c>
      <c r="Z266" s="574">
        <f>6.434-SUM(W266:Y266)</f>
        <v>2.5230000000000001</v>
      </c>
      <c r="AA266" s="570">
        <f>SUM(W266:Z266)</f>
        <v>6.4340000000000002</v>
      </c>
      <c r="AB266" s="575">
        <f>AB267*AB245</f>
        <v>1.164920657211066</v>
      </c>
      <c r="AC266" s="575">
        <f>AC267*AC245</f>
        <v>1.5607327962231234</v>
      </c>
      <c r="AD266" s="575">
        <f>AD267*AD245</f>
        <v>1.443023014721128</v>
      </c>
      <c r="AE266" s="575">
        <f>AE267*AE245</f>
        <v>2.5230000000000001</v>
      </c>
      <c r="AF266" s="570">
        <f>SUM(AB266:AE266)</f>
        <v>6.6916764681553165</v>
      </c>
      <c r="AG266" s="576">
        <f>AG267*AG245</f>
        <v>1.164920657211066</v>
      </c>
      <c r="AH266" s="576">
        <f>AH267*AH245</f>
        <v>1.5607327962231234</v>
      </c>
      <c r="AI266" s="576">
        <f>AI267*AI245</f>
        <v>1.443023014721128</v>
      </c>
      <c r="AJ266" s="576">
        <f>AJ267*AJ245</f>
        <v>2.5230000000000001</v>
      </c>
      <c r="AK266" s="570">
        <f>SUM(AG266:AJ266)</f>
        <v>6.6916764681553165</v>
      </c>
      <c r="AL266" s="576">
        <f>AL267*AL245</f>
        <v>1.164920657211066</v>
      </c>
      <c r="AM266" s="576">
        <f>AM267*AM245</f>
        <v>1.5607327962231234</v>
      </c>
      <c r="AN266" s="576">
        <f>AN267*AN245</f>
        <v>1.443023014721128</v>
      </c>
      <c r="AO266" s="576">
        <f>AO267*AO245</f>
        <v>2.5230000000000001</v>
      </c>
      <c r="AP266" s="570">
        <f>SUM(AL266:AO266)</f>
        <v>6.6916764681553165</v>
      </c>
      <c r="AQ266" s="576">
        <f>AQ267*AQ245</f>
        <v>1.164920657211066</v>
      </c>
      <c r="AR266" s="577">
        <f>AR267*AR245</f>
        <v>1.5607327962231234</v>
      </c>
      <c r="AS266" s="577">
        <f>AS267*AS245</f>
        <v>1.443023014721128</v>
      </c>
      <c r="AT266" s="577">
        <f>AT267*AT245</f>
        <v>2.5230000000000001</v>
      </c>
      <c r="AU266" s="578">
        <f>SUM(AQ266:AT266)</f>
        <v>6.6916764681553165</v>
      </c>
      <c r="AV266" s="576">
        <f>AV267*AV245</f>
        <v>1.164920657211066</v>
      </c>
      <c r="AW266" s="576">
        <f>AW267*AW245</f>
        <v>1.5607327962231234</v>
      </c>
      <c r="AX266" s="577">
        <f>AX267*AX245</f>
        <v>1.443023014721128</v>
      </c>
      <c r="AY266" s="577">
        <f>AY267*AY245</f>
        <v>2.5230000000000001</v>
      </c>
      <c r="AZ266" s="578">
        <f>SUM(AV266:AY266)</f>
        <v>6.6916764681553165</v>
      </c>
      <c r="BA266" s="577">
        <f>BA267*BA245</f>
        <v>1.164920657211066</v>
      </c>
      <c r="BB266" s="577">
        <f>BB267*BB245</f>
        <v>1.5607327962231234</v>
      </c>
      <c r="BC266" s="576">
        <f>BC267*BC245</f>
        <v>1.443023014721128</v>
      </c>
      <c r="BD266" s="577">
        <f>BD267*BD245</f>
        <v>2.5230000000000001</v>
      </c>
      <c r="BE266" s="578">
        <f>SUM(BA266:BD266)</f>
        <v>6.6916764681553165</v>
      </c>
      <c r="BF266" s="576">
        <f>BF267*BF245</f>
        <v>1.164920657211066</v>
      </c>
      <c r="BG266" s="577">
        <f>BG267*BG245</f>
        <v>1.5607327962231234</v>
      </c>
      <c r="BH266" s="577">
        <f>BH267*BH245</f>
        <v>1.443023014721128</v>
      </c>
      <c r="BI266" s="577">
        <f>BI267*BI245</f>
        <v>2.5230000000000001</v>
      </c>
      <c r="BJ266" s="578">
        <f>SUM(BF266:BI266)</f>
        <v>6.6916764681553165</v>
      </c>
      <c r="BK266" s="577">
        <f>BK267*BK245</f>
        <v>1.164920657211066</v>
      </c>
      <c r="BL266" s="577">
        <f>BL267*BL245</f>
        <v>1.5607327962231234</v>
      </c>
      <c r="BM266" s="577">
        <f>BM267*BM245</f>
        <v>1.443023014721128</v>
      </c>
      <c r="BN266" s="577">
        <f>BN267*BN245</f>
        <v>2.5230000000000001</v>
      </c>
      <c r="BO266" s="578">
        <f>SUM(BK266:BN266)</f>
        <v>6.6916764681553165</v>
      </c>
      <c r="BP266" s="577">
        <f>BP267*BP245</f>
        <v>1.164920657211066</v>
      </c>
      <c r="BQ266" s="577">
        <f>BQ267*BQ245</f>
        <v>1.5607327962231234</v>
      </c>
      <c r="BR266" s="577">
        <f>BR267*BR245</f>
        <v>1.443023014721128</v>
      </c>
      <c r="BS266" s="577">
        <f>BS267*BS245</f>
        <v>2.5230000000000001</v>
      </c>
      <c r="BT266" s="578">
        <f>SUM(BP266:BS266)</f>
        <v>6.6916764681553165</v>
      </c>
      <c r="BU266" s="577">
        <f>BU267*BU245</f>
        <v>1.164920657211066</v>
      </c>
      <c r="BV266" s="577">
        <f>BV267*BV245</f>
        <v>1.5607327962231234</v>
      </c>
      <c r="BW266" s="577">
        <f>BW267*BW245</f>
        <v>1.443023014721128</v>
      </c>
      <c r="BX266" s="577">
        <f>BX267*BX245</f>
        <v>2.5230000000000001</v>
      </c>
      <c r="BY266" s="578">
        <f>SUM(BU266:BX266)</f>
        <v>6.6916764681553165</v>
      </c>
      <c r="BZ266" s="577">
        <f>BZ267*BZ245</f>
        <v>1.164920657211066</v>
      </c>
      <c r="CA266" s="577">
        <f>CA267*CA245</f>
        <v>1.5607327962231234</v>
      </c>
      <c r="CB266" s="577">
        <f>CB267*CB245</f>
        <v>1.443023014721128</v>
      </c>
      <c r="CC266" s="577">
        <f>CC267*CC245</f>
        <v>2.5230000000000001</v>
      </c>
      <c r="CD266" s="578">
        <f>SUM(BZ266:CC266)</f>
        <v>6.6916764681553165</v>
      </c>
      <c r="CE266" s="577">
        <f>CE267*CE245</f>
        <v>1.164920657211066</v>
      </c>
      <c r="CF266" s="577">
        <f>CF267*CF245</f>
        <v>1.5607327962231234</v>
      </c>
      <c r="CG266" s="577">
        <f>CG267*CG245</f>
        <v>1.443023014721128</v>
      </c>
      <c r="CH266" s="577">
        <f>CH267*CH245</f>
        <v>2.5230000000000001</v>
      </c>
      <c r="CI266" s="578">
        <f>SUM(CE266:CH266)</f>
        <v>6.6916764681553165</v>
      </c>
      <c r="CJ266" s="577">
        <f>CJ267*CJ245</f>
        <v>1.164920657211066</v>
      </c>
      <c r="CK266" s="577">
        <f>CK267*CK245</f>
        <v>1.5607327962231234</v>
      </c>
      <c r="CL266" s="577">
        <f>CL267*CL245</f>
        <v>1.443023014721128</v>
      </c>
      <c r="CM266" s="577">
        <f>CM267*CM245</f>
        <v>2.5230000000000001</v>
      </c>
      <c r="CN266" s="578">
        <f>SUM(CJ266:CM266)</f>
        <v>6.6916764681553165</v>
      </c>
      <c r="CO266" s="577">
        <f>CO267*CO245</f>
        <v>1.164920657211066</v>
      </c>
      <c r="CP266" s="577">
        <f>CP267*CP245</f>
        <v>1.5607327962231234</v>
      </c>
      <c r="CQ266" s="577">
        <f>CQ267*CQ245</f>
        <v>1.443023014721128</v>
      </c>
      <c r="CR266" s="577">
        <f>CR267*CR245</f>
        <v>2.5230000000000001</v>
      </c>
      <c r="CS266" s="578">
        <f>SUM(CO266:CR266)</f>
        <v>6.6916764681553165</v>
      </c>
      <c r="CT266" s="577">
        <f>CT267*CT245</f>
        <v>1.164920657211066</v>
      </c>
      <c r="CU266" s="577">
        <f>CU267*CU245</f>
        <v>1.5607327962231234</v>
      </c>
      <c r="CV266" s="577">
        <f>CV267*CV245</f>
        <v>1.443023014721128</v>
      </c>
      <c r="CW266" s="577">
        <f>CW267*CW245</f>
        <v>2.5230000000000001</v>
      </c>
      <c r="CX266" s="578">
        <f>SUM(CT266:CW266)</f>
        <v>6.6916764681553165</v>
      </c>
      <c r="CY266" s="1732"/>
      <c r="DA266" s="564"/>
      <c r="DB266" s="560"/>
      <c r="DC266" s="560"/>
    </row>
    <row r="267" spans="1:107" ht="12" hidden="1" customHeight="1" outlineLevel="1">
      <c r="A267" s="579" t="s">
        <v>363</v>
      </c>
      <c r="B267" s="579"/>
      <c r="C267" s="584"/>
      <c r="D267" s="585"/>
      <c r="E267" s="585"/>
      <c r="F267" s="586">
        <f t="shared" ref="F267:V267" si="294">F266/F$245</f>
        <v>4.9870695002433414E-2</v>
      </c>
      <c r="G267" s="587">
        <f t="shared" si="294"/>
        <v>4.9870695002433414E-2</v>
      </c>
      <c r="H267" s="584">
        <f t="shared" si="294"/>
        <v>7.8347768154563624E-2</v>
      </c>
      <c r="I267" s="585">
        <f t="shared" si="294"/>
        <v>6.6359490784723543E-2</v>
      </c>
      <c r="J267" s="585">
        <f t="shared" si="294"/>
        <v>5.2551665963728379E-2</v>
      </c>
      <c r="K267" s="586">
        <f t="shared" si="294"/>
        <v>6.2836624775583494E-2</v>
      </c>
      <c r="L267" s="584">
        <f t="shared" si="294"/>
        <v>6.4853932584269663E-2</v>
      </c>
      <c r="M267" s="584">
        <f t="shared" si="294"/>
        <v>6.0585829925728113E-2</v>
      </c>
      <c r="N267" s="585">
        <f t="shared" si="294"/>
        <v>6.7728043847057287E-2</v>
      </c>
      <c r="O267" s="585">
        <f t="shared" si="294"/>
        <v>6.6908523144746518E-2</v>
      </c>
      <c r="P267" s="586">
        <f t="shared" si="294"/>
        <v>3.5099432495588702E-2</v>
      </c>
      <c r="Q267" s="587">
        <f t="shared" si="294"/>
        <v>5.7993311036789293E-2</v>
      </c>
      <c r="R267" s="588">
        <f t="shared" si="294"/>
        <v>5.2473903477975939E-2</v>
      </c>
      <c r="S267" s="588">
        <f t="shared" si="294"/>
        <v>6.318897637795276E-2</v>
      </c>
      <c r="T267" s="588">
        <f t="shared" si="294"/>
        <v>7.3236374928833906E-2</v>
      </c>
      <c r="U267" s="588">
        <f t="shared" si="294"/>
        <v>5.8889539422326317E-2</v>
      </c>
      <c r="V267" s="587">
        <f t="shared" si="294"/>
        <v>6.1680981595092027E-2</v>
      </c>
      <c r="W267" s="591">
        <f>R267</f>
        <v>5.2473903477975939E-2</v>
      </c>
      <c r="X267" s="588">
        <f>X266/X$245</f>
        <v>7.0303279109149699E-2</v>
      </c>
      <c r="Y267" s="588">
        <f>Y266/Y$245</f>
        <v>6.5001036699149903E-2</v>
      </c>
      <c r="Z267" s="588">
        <f>Z266/Z$245</f>
        <v>0.11364864864864864</v>
      </c>
      <c r="AA267" s="587">
        <f>AA266/AA$245</f>
        <v>7.878914047097145E-2</v>
      </c>
      <c r="AB267" s="591">
        <f>W267</f>
        <v>5.2473903477975939E-2</v>
      </c>
      <c r="AC267" s="591">
        <f>X267</f>
        <v>7.0303279109149699E-2</v>
      </c>
      <c r="AD267" s="591">
        <f>Y267</f>
        <v>6.5001036699149903E-2</v>
      </c>
      <c r="AE267" s="591">
        <f>Z267</f>
        <v>0.11364864864864864</v>
      </c>
      <c r="AF267" s="587">
        <f>AF266/AF$245</f>
        <v>7.5356716983731031E-2</v>
      </c>
      <c r="AG267" s="588">
        <f>AB267</f>
        <v>5.2473903477975939E-2</v>
      </c>
      <c r="AH267" s="588">
        <f>AC267</f>
        <v>7.0303279109149699E-2</v>
      </c>
      <c r="AI267" s="588">
        <f>AD267</f>
        <v>6.5001036699149903E-2</v>
      </c>
      <c r="AJ267" s="588">
        <f>AE267</f>
        <v>0.11364864864864864</v>
      </c>
      <c r="AK267" s="587">
        <f>AK266/AK$245</f>
        <v>7.5356716983731031E-2</v>
      </c>
      <c r="AL267" s="588">
        <f>AG267</f>
        <v>5.2473903477975939E-2</v>
      </c>
      <c r="AM267" s="588">
        <f>AH267</f>
        <v>7.0303279109149699E-2</v>
      </c>
      <c r="AN267" s="588">
        <f>AI267</f>
        <v>6.5001036699149903E-2</v>
      </c>
      <c r="AO267" s="588">
        <f>AJ267</f>
        <v>0.11364864864864864</v>
      </c>
      <c r="AP267" s="587">
        <f>AP266/AP$245</f>
        <v>7.5356716983731031E-2</v>
      </c>
      <c r="AQ267" s="588">
        <f>AL267</f>
        <v>5.2473903477975939E-2</v>
      </c>
      <c r="AR267" s="589">
        <f>AM267</f>
        <v>7.0303279109149699E-2</v>
      </c>
      <c r="AS267" s="589">
        <f>AN267</f>
        <v>6.5001036699149903E-2</v>
      </c>
      <c r="AT267" s="589">
        <f>AO267</f>
        <v>0.11364864864864864</v>
      </c>
      <c r="AU267" s="590">
        <f>AU266/AU$245</f>
        <v>7.5356716983731031E-2</v>
      </c>
      <c r="AV267" s="588">
        <f>AQ267</f>
        <v>5.2473903477975939E-2</v>
      </c>
      <c r="AW267" s="588">
        <f>AR267</f>
        <v>7.0303279109149699E-2</v>
      </c>
      <c r="AX267" s="589">
        <f>AS267</f>
        <v>6.5001036699149903E-2</v>
      </c>
      <c r="AY267" s="589">
        <f>AT267</f>
        <v>0.11364864864864864</v>
      </c>
      <c r="AZ267" s="590">
        <f>AZ266/AZ$245</f>
        <v>7.5356716983731031E-2</v>
      </c>
      <c r="BA267" s="589">
        <f>AV267</f>
        <v>5.2473903477975939E-2</v>
      </c>
      <c r="BB267" s="589">
        <f>AW267</f>
        <v>7.0303279109149699E-2</v>
      </c>
      <c r="BC267" s="588">
        <f>AX267</f>
        <v>6.5001036699149903E-2</v>
      </c>
      <c r="BD267" s="589">
        <f>AY267</f>
        <v>0.11364864864864864</v>
      </c>
      <c r="BE267" s="590">
        <f>BE266/BE$245</f>
        <v>7.5356716983731031E-2</v>
      </c>
      <c r="BF267" s="588">
        <f>BA267</f>
        <v>5.2473903477975939E-2</v>
      </c>
      <c r="BG267" s="589">
        <f>BB267</f>
        <v>7.0303279109149699E-2</v>
      </c>
      <c r="BH267" s="589">
        <f>BC267</f>
        <v>6.5001036699149903E-2</v>
      </c>
      <c r="BI267" s="589">
        <f>BD267</f>
        <v>0.11364864864864864</v>
      </c>
      <c r="BJ267" s="590">
        <f>BJ266/BJ$245</f>
        <v>7.5356716983731031E-2</v>
      </c>
      <c r="BK267" s="589">
        <f>BF267</f>
        <v>5.2473903477975939E-2</v>
      </c>
      <c r="BL267" s="589">
        <f>BG267</f>
        <v>7.0303279109149699E-2</v>
      </c>
      <c r="BM267" s="589">
        <f>BH267</f>
        <v>6.5001036699149903E-2</v>
      </c>
      <c r="BN267" s="589">
        <f>BI267</f>
        <v>0.11364864864864864</v>
      </c>
      <c r="BO267" s="590">
        <f>BO266/BO$245</f>
        <v>7.5356716983731031E-2</v>
      </c>
      <c r="BP267" s="589">
        <f>BK267</f>
        <v>5.2473903477975939E-2</v>
      </c>
      <c r="BQ267" s="589">
        <f>BL267</f>
        <v>7.0303279109149699E-2</v>
      </c>
      <c r="BR267" s="589">
        <f>BM267</f>
        <v>6.5001036699149903E-2</v>
      </c>
      <c r="BS267" s="589">
        <f>BN267</f>
        <v>0.11364864864864864</v>
      </c>
      <c r="BT267" s="590">
        <f>BT266/BT$245</f>
        <v>7.5356716983731031E-2</v>
      </c>
      <c r="BU267" s="589">
        <f>BP267</f>
        <v>5.2473903477975939E-2</v>
      </c>
      <c r="BV267" s="589">
        <f>BQ267</f>
        <v>7.0303279109149699E-2</v>
      </c>
      <c r="BW267" s="589">
        <f>BR267</f>
        <v>6.5001036699149903E-2</v>
      </c>
      <c r="BX267" s="589">
        <f>BS267</f>
        <v>0.11364864864864864</v>
      </c>
      <c r="BY267" s="590">
        <f>BY266/BY$245</f>
        <v>7.5356716983731031E-2</v>
      </c>
      <c r="BZ267" s="589">
        <f>BU267</f>
        <v>5.2473903477975939E-2</v>
      </c>
      <c r="CA267" s="589">
        <f>BV267</f>
        <v>7.0303279109149699E-2</v>
      </c>
      <c r="CB267" s="589">
        <f>BW267</f>
        <v>6.5001036699149903E-2</v>
      </c>
      <c r="CC267" s="589">
        <f>BX267</f>
        <v>0.11364864864864864</v>
      </c>
      <c r="CD267" s="590">
        <f>CD266/CD$245</f>
        <v>7.5356716983731031E-2</v>
      </c>
      <c r="CE267" s="589">
        <f>BZ267</f>
        <v>5.2473903477975939E-2</v>
      </c>
      <c r="CF267" s="589">
        <f>CA267</f>
        <v>7.0303279109149699E-2</v>
      </c>
      <c r="CG267" s="589">
        <f>CB267</f>
        <v>6.5001036699149903E-2</v>
      </c>
      <c r="CH267" s="589">
        <f>CC267</f>
        <v>0.11364864864864864</v>
      </c>
      <c r="CI267" s="590">
        <f>CI266/CI$245</f>
        <v>7.5356716983731031E-2</v>
      </c>
      <c r="CJ267" s="589">
        <f>CE267</f>
        <v>5.2473903477975939E-2</v>
      </c>
      <c r="CK267" s="589">
        <f>CF267</f>
        <v>7.0303279109149699E-2</v>
      </c>
      <c r="CL267" s="589">
        <f>CG267</f>
        <v>6.5001036699149903E-2</v>
      </c>
      <c r="CM267" s="589">
        <f>CH267</f>
        <v>0.11364864864864864</v>
      </c>
      <c r="CN267" s="590">
        <f>CN266/CN$245</f>
        <v>7.5356716983731031E-2</v>
      </c>
      <c r="CO267" s="589">
        <f>CJ267</f>
        <v>5.2473903477975939E-2</v>
      </c>
      <c r="CP267" s="589">
        <f>CK267</f>
        <v>7.0303279109149699E-2</v>
      </c>
      <c r="CQ267" s="589">
        <f>CL267</f>
        <v>6.5001036699149903E-2</v>
      </c>
      <c r="CR267" s="589">
        <f>CM267</f>
        <v>0.11364864864864864</v>
      </c>
      <c r="CS267" s="590">
        <f>CS266/CS$245</f>
        <v>7.5356716983731031E-2</v>
      </c>
      <c r="CT267" s="589">
        <f>CO267</f>
        <v>5.2473903477975939E-2</v>
      </c>
      <c r="CU267" s="589">
        <f>CP267</f>
        <v>7.0303279109149699E-2</v>
      </c>
      <c r="CV267" s="589">
        <f>CQ267</f>
        <v>6.5001036699149903E-2</v>
      </c>
      <c r="CW267" s="589">
        <f>CR267</f>
        <v>0.11364864864864864</v>
      </c>
      <c r="CX267" s="590">
        <f>CX266/CX$245</f>
        <v>7.5356716983731031E-2</v>
      </c>
      <c r="CY267" s="1733"/>
      <c r="DA267" s="564"/>
      <c r="DB267" s="560"/>
      <c r="DC267" s="560"/>
    </row>
    <row r="268" spans="1:107" ht="12" hidden="1" customHeight="1" outlineLevel="1">
      <c r="A268" s="560"/>
      <c r="B268" s="560"/>
      <c r="C268" s="594"/>
      <c r="D268" s="595"/>
      <c r="E268" s="595"/>
      <c r="F268" s="593"/>
      <c r="G268" s="286"/>
      <c r="H268" s="594"/>
      <c r="I268" s="595"/>
      <c r="J268" s="595"/>
      <c r="K268" s="593"/>
      <c r="L268" s="594"/>
      <c r="M268" s="594"/>
      <c r="N268" s="595"/>
      <c r="O268" s="595"/>
      <c r="P268" s="593"/>
      <c r="Q268" s="286"/>
      <c r="R268" s="576"/>
      <c r="S268" s="576"/>
      <c r="T268" s="576"/>
      <c r="U268" s="576"/>
      <c r="V268" s="286"/>
      <c r="W268" s="576"/>
      <c r="X268" s="576"/>
      <c r="Y268" s="576"/>
      <c r="Z268" s="576"/>
      <c r="AA268" s="286"/>
      <c r="AB268" s="576"/>
      <c r="AC268" s="576"/>
      <c r="AD268" s="576"/>
      <c r="AE268" s="576"/>
      <c r="AF268" s="286"/>
      <c r="AG268" s="576"/>
      <c r="AH268" s="576"/>
      <c r="AI268" s="576"/>
      <c r="AJ268" s="576"/>
      <c r="AK268" s="286"/>
      <c r="AL268" s="576"/>
      <c r="AM268" s="576"/>
      <c r="AN268" s="576"/>
      <c r="AO268" s="576"/>
      <c r="AP268" s="286"/>
      <c r="AQ268" s="576"/>
      <c r="AR268" s="577"/>
      <c r="AS268" s="577"/>
      <c r="AT268" s="577"/>
      <c r="AU268" s="287"/>
      <c r="AV268" s="576"/>
      <c r="AW268" s="576"/>
      <c r="AX268" s="577"/>
      <c r="AY268" s="577"/>
      <c r="AZ268" s="287"/>
      <c r="BA268" s="577"/>
      <c r="BB268" s="577"/>
      <c r="BC268" s="576"/>
      <c r="BD268" s="577"/>
      <c r="BE268" s="287"/>
      <c r="BF268" s="576"/>
      <c r="BG268" s="577"/>
      <c r="BH268" s="577"/>
      <c r="BI268" s="577"/>
      <c r="BJ268" s="287"/>
      <c r="BK268" s="577"/>
      <c r="BL268" s="577"/>
      <c r="BM268" s="577"/>
      <c r="BN268" s="577"/>
      <c r="BO268" s="287"/>
      <c r="BP268" s="577"/>
      <c r="BQ268" s="577"/>
      <c r="BR268" s="577"/>
      <c r="BS268" s="577"/>
      <c r="BT268" s="287"/>
      <c r="BU268" s="577"/>
      <c r="BV268" s="577"/>
      <c r="BW268" s="577"/>
      <c r="BX268" s="577"/>
      <c r="BY268" s="287"/>
      <c r="BZ268" s="577"/>
      <c r="CA268" s="577"/>
      <c r="CB268" s="577"/>
      <c r="CC268" s="577"/>
      <c r="CD268" s="287"/>
      <c r="CE268" s="577"/>
      <c r="CF268" s="577"/>
      <c r="CG268" s="577"/>
      <c r="CH268" s="577"/>
      <c r="CI268" s="287"/>
      <c r="CJ268" s="577"/>
      <c r="CK268" s="577"/>
      <c r="CL268" s="577"/>
      <c r="CM268" s="577"/>
      <c r="CN268" s="287"/>
      <c r="CO268" s="577"/>
      <c r="CP268" s="577"/>
      <c r="CQ268" s="577"/>
      <c r="CR268" s="577"/>
      <c r="CS268" s="287"/>
      <c r="CT268" s="577"/>
      <c r="CU268" s="577"/>
      <c r="CV268" s="577"/>
      <c r="CW268" s="577"/>
      <c r="CX268" s="287"/>
      <c r="CY268" s="1735"/>
      <c r="DA268" s="564"/>
      <c r="DB268" s="560"/>
      <c r="DC268" s="560"/>
    </row>
    <row r="269" spans="1:107" ht="12" hidden="1" customHeight="1" outlineLevel="1">
      <c r="A269" s="553" t="s">
        <v>443</v>
      </c>
      <c r="B269" s="553"/>
      <c r="C269" s="594"/>
      <c r="D269" s="595"/>
      <c r="E269" s="595"/>
      <c r="F269" s="593">
        <f t="shared" ref="F269:AZ269" si="295">F257+F260+F266+F263</f>
        <v>81.450999999999993</v>
      </c>
      <c r="G269" s="570">
        <f t="shared" si="295"/>
        <v>81.450999999999993</v>
      </c>
      <c r="H269" s="594">
        <f t="shared" si="295"/>
        <v>20.997</v>
      </c>
      <c r="I269" s="595">
        <f t="shared" si="295"/>
        <v>25.133000000000003</v>
      </c>
      <c r="J269" s="595">
        <f t="shared" si="295"/>
        <v>31.635999999999999</v>
      </c>
      <c r="K269" s="593">
        <f t="shared" si="295"/>
        <v>26.522000000000002</v>
      </c>
      <c r="L269" s="573">
        <f t="shared" si="295"/>
        <v>104.28800000000001</v>
      </c>
      <c r="M269" s="594">
        <f t="shared" si="295"/>
        <v>22.362000000000002</v>
      </c>
      <c r="N269" s="595">
        <f t="shared" si="295"/>
        <v>23.356000000000002</v>
      </c>
      <c r="O269" s="595">
        <f t="shared" si="295"/>
        <v>22.076999999999998</v>
      </c>
      <c r="P269" s="593">
        <f t="shared" si="295"/>
        <v>25.227</v>
      </c>
      <c r="Q269" s="570">
        <f t="shared" si="295"/>
        <v>93.021999999999991</v>
      </c>
      <c r="R269" s="576">
        <f t="shared" si="295"/>
        <v>24.182000000000002</v>
      </c>
      <c r="S269" s="576">
        <f t="shared" si="295"/>
        <v>27.255000000000003</v>
      </c>
      <c r="T269" s="576">
        <f t="shared" si="295"/>
        <v>23.568999999999999</v>
      </c>
      <c r="U269" s="576">
        <f t="shared" si="295"/>
        <v>29.371999999999996</v>
      </c>
      <c r="V269" s="570">
        <f t="shared" si="295"/>
        <v>104.378</v>
      </c>
      <c r="W269" s="576">
        <f t="shared" si="295"/>
        <v>26.969000000000001</v>
      </c>
      <c r="X269" s="576">
        <f t="shared" si="295"/>
        <v>27.434000000000005</v>
      </c>
      <c r="Y269" s="576">
        <f t="shared" si="295"/>
        <v>27.48</v>
      </c>
      <c r="Z269" s="576">
        <f t="shared" si="295"/>
        <v>30.695</v>
      </c>
      <c r="AA269" s="570">
        <f t="shared" si="295"/>
        <v>112.578</v>
      </c>
      <c r="AB269" s="576">
        <f t="shared" si="295"/>
        <v>28.081951399755042</v>
      </c>
      <c r="AC269" s="576">
        <f t="shared" si="295"/>
        <v>28.973693922772981</v>
      </c>
      <c r="AD269" s="576">
        <f t="shared" si="295"/>
        <v>31.919116033110015</v>
      </c>
      <c r="AE269" s="576">
        <f t="shared" si="295"/>
        <v>32.567769675580621</v>
      </c>
      <c r="AF269" s="570">
        <f t="shared" si="295"/>
        <v>121.54253103121866</v>
      </c>
      <c r="AG269" s="576">
        <f t="shared" si="295"/>
        <v>29.808388553875666</v>
      </c>
      <c r="AH269" s="576">
        <f t="shared" si="295"/>
        <v>30.739797086392322</v>
      </c>
      <c r="AI269" s="576">
        <f t="shared" si="295"/>
        <v>33.900885726465162</v>
      </c>
      <c r="AJ269" s="576">
        <f t="shared" si="295"/>
        <v>34.512378213057033</v>
      </c>
      <c r="AK269" s="570">
        <f t="shared" si="295"/>
        <v>128.96144957979018</v>
      </c>
      <c r="AL269" s="576">
        <f t="shared" si="295"/>
        <v>31.646444177440209</v>
      </c>
      <c r="AM269" s="576">
        <f t="shared" si="295"/>
        <v>32.620654547618322</v>
      </c>
      <c r="AN269" s="576">
        <f t="shared" si="295"/>
        <v>36.012749124384825</v>
      </c>
      <c r="AO269" s="576">
        <f t="shared" si="295"/>
        <v>36.583987399196594</v>
      </c>
      <c r="AP269" s="570">
        <f t="shared" si="295"/>
        <v>136.86383524863996</v>
      </c>
      <c r="AQ269" s="576">
        <f t="shared" si="295"/>
        <v>33.60339911588504</v>
      </c>
      <c r="AR269" s="577">
        <f t="shared" si="295"/>
        <v>34.623792912792098</v>
      </c>
      <c r="AS269" s="577">
        <f t="shared" si="295"/>
        <v>38.263334119749182</v>
      </c>
      <c r="AT269" s="577">
        <f t="shared" si="295"/>
        <v>38.790973559614272</v>
      </c>
      <c r="AU269" s="578">
        <f t="shared" si="295"/>
        <v>145.2814997080406</v>
      </c>
      <c r="AV269" s="576">
        <f t="shared" si="295"/>
        <v>35.687013790201568</v>
      </c>
      <c r="AW269" s="576">
        <f t="shared" si="295"/>
        <v>36.757237498058473</v>
      </c>
      <c r="AX269" s="577">
        <f t="shared" si="295"/>
        <v>40.66184705455521</v>
      </c>
      <c r="AY269" s="577">
        <f t="shared" si="295"/>
        <v>41.14227133773695</v>
      </c>
      <c r="AZ269" s="578">
        <f t="shared" si="295"/>
        <v>154.24836968055223</v>
      </c>
      <c r="BA269" s="577">
        <f t="shared" ref="BA269:BJ269" si="296">BA257+BA260+BA266+BA263</f>
        <v>37.905560117969216</v>
      </c>
      <c r="BB269" s="577">
        <f t="shared" si="296"/>
        <v>39.029545732609407</v>
      </c>
      <c r="BC269" s="576">
        <f t="shared" si="296"/>
        <v>43.218111940442526</v>
      </c>
      <c r="BD269" s="577">
        <f t="shared" si="296"/>
        <v>43.647411323238273</v>
      </c>
      <c r="BE269" s="578">
        <f t="shared" si="296"/>
        <v>163.80062911425941</v>
      </c>
      <c r="BF269" s="576">
        <f t="shared" si="296"/>
        <v>40.26785558261188</v>
      </c>
      <c r="BG269" s="577">
        <f t="shared" si="296"/>
        <v>41.449842824517532</v>
      </c>
      <c r="BH269" s="577">
        <f t="shared" si="296"/>
        <v>45.942612369017318</v>
      </c>
      <c r="BI269" s="577">
        <f t="shared" si="296"/>
        <v>46.316560245461346</v>
      </c>
      <c r="BJ269" s="578">
        <f t="shared" si="296"/>
        <v>173.97687102160808</v>
      </c>
      <c r="BK269" s="577">
        <f t="shared" ref="BK269:BT269" si="297">BK257+BK260+BK266+BK263</f>
        <v>42.783299597097781</v>
      </c>
      <c r="BL269" s="577">
        <f t="shared" si="297"/>
        <v>44.027859844176987</v>
      </c>
      <c r="BM269" s="577">
        <f t="shared" si="297"/>
        <v>48.846536298544521</v>
      </c>
      <c r="BN269" s="577">
        <f t="shared" si="297"/>
        <v>49.160563908679954</v>
      </c>
      <c r="BO269" s="578">
        <f t="shared" si="297"/>
        <v>184.81825964849924</v>
      </c>
      <c r="BP269" s="577">
        <f t="shared" si="297"/>
        <v>45.461912318368903</v>
      </c>
      <c r="BQ269" s="577">
        <f t="shared" si="297"/>
        <v>46.773974391110386</v>
      </c>
      <c r="BR269" s="577">
        <f t="shared" si="297"/>
        <v>51.941823916662287</v>
      </c>
      <c r="BS269" s="577">
        <f t="shared" si="297"/>
        <v>52.190993058379746</v>
      </c>
      <c r="BT269" s="578">
        <f t="shared" si="297"/>
        <v>196.36870368452134</v>
      </c>
      <c r="BU269" s="577">
        <f t="shared" ref="BU269:CD269" si="298">BU257+BU260+BU266+BU263</f>
        <v>48.314376079554513</v>
      </c>
      <c r="BV269" s="577">
        <f t="shared" si="298"/>
        <v>49.699254021395106</v>
      </c>
      <c r="BW269" s="577">
        <f t="shared" si="298"/>
        <v>55.241218792783513</v>
      </c>
      <c r="BX269" s="577">
        <f t="shared" si="298"/>
        <v>55.420192380940605</v>
      </c>
      <c r="BY269" s="578">
        <f t="shared" si="298"/>
        <v>208.67504127467373</v>
      </c>
      <c r="BZ269" s="577">
        <f t="shared" si="298"/>
        <v>51.352079618540273</v>
      </c>
      <c r="CA269" s="577">
        <f t="shared" si="298"/>
        <v>52.815502625262575</v>
      </c>
      <c r="CB269" s="577">
        <f t="shared" si="298"/>
        <v>58.758322548853428</v>
      </c>
      <c r="CC269" s="577">
        <f t="shared" si="298"/>
        <v>58.861332853231779</v>
      </c>
      <c r="CD269" s="578">
        <f t="shared" si="298"/>
        <v>221.78723764588804</v>
      </c>
      <c r="CE269" s="577">
        <f t="shared" ref="CE269:CN269" si="299">CE257+CE260+CE266+CE263</f>
        <v>54.587165293786249</v>
      </c>
      <c r="CF269" s="577">
        <f t="shared" si="299"/>
        <v>56.135309957587253</v>
      </c>
      <c r="CG269" s="577">
        <f t="shared" si="299"/>
        <v>62.507653293201415</v>
      </c>
      <c r="CH269" s="577">
        <f t="shared" si="299"/>
        <v>62.52846767375955</v>
      </c>
      <c r="CI269" s="578">
        <f t="shared" si="299"/>
        <v>235.7585962183345</v>
      </c>
      <c r="CJ269" s="577">
        <f t="shared" si="299"/>
        <v>58.032579491466791</v>
      </c>
      <c r="CK269" s="577">
        <f t="shared" si="299"/>
        <v>59.672104538069519</v>
      </c>
      <c r="CL269" s="577">
        <f t="shared" si="299"/>
        <v>66.504708079434721</v>
      </c>
      <c r="CM269" s="577">
        <f t="shared" si="299"/>
        <v>66.436592023202877</v>
      </c>
      <c r="CN269" s="578">
        <f t="shared" si="299"/>
        <v>250.64598413217391</v>
      </c>
      <c r="CO269" s="577">
        <f t="shared" ref="CO269:CX269" si="300">CO257+CO260+CO266+CO263</f>
        <v>61.702126442106952</v>
      </c>
      <c r="CP269" s="577">
        <f t="shared" si="300"/>
        <v>63.440210152993636</v>
      </c>
      <c r="CQ269" s="577">
        <f t="shared" si="300"/>
        <v>70.766029670754421</v>
      </c>
      <c r="CR269" s="577">
        <f t="shared" si="300"/>
        <v>70.601706919513219</v>
      </c>
      <c r="CS269" s="578">
        <f t="shared" si="300"/>
        <v>266.51007318536824</v>
      </c>
      <c r="CT269" s="577">
        <f t="shared" si="300"/>
        <v>65.610525679975311</v>
      </c>
      <c r="CU269" s="577">
        <f t="shared" si="300"/>
        <v>67.454906206579309</v>
      </c>
      <c r="CV269" s="577">
        <f t="shared" si="300"/>
        <v>75.309277909816331</v>
      </c>
      <c r="CW269" s="577">
        <f t="shared" si="300"/>
        <v>75.040887451321453</v>
      </c>
      <c r="CX269" s="578">
        <f t="shared" si="300"/>
        <v>283.4155972476924</v>
      </c>
      <c r="CY269" s="1732"/>
      <c r="DA269" s="564"/>
      <c r="DB269" s="560"/>
      <c r="DC269" s="560"/>
    </row>
    <row r="270" spans="1:107" ht="12" hidden="1" customHeight="1" outlineLevel="1">
      <c r="A270" s="579" t="s">
        <v>364</v>
      </c>
      <c r="B270" s="579"/>
      <c r="C270" s="584"/>
      <c r="D270" s="585"/>
      <c r="E270" s="585"/>
      <c r="F270" s="586">
        <f t="shared" ref="F270:AZ270" si="301">F269/F$249</f>
        <v>6.6235403181211974E-2</v>
      </c>
      <c r="G270" s="587">
        <f t="shared" si="301"/>
        <v>6.6235403181211974E-2</v>
      </c>
      <c r="H270" s="584">
        <f t="shared" si="301"/>
        <v>7.8377430047481128E-2</v>
      </c>
      <c r="I270" s="585">
        <f t="shared" si="301"/>
        <v>7.9194224836856703E-2</v>
      </c>
      <c r="J270" s="585">
        <f t="shared" si="301"/>
        <v>0.11105416505774564</v>
      </c>
      <c r="K270" s="586">
        <f t="shared" si="301"/>
        <v>9.0004241961483017E-2</v>
      </c>
      <c r="L270" s="584">
        <f t="shared" si="301"/>
        <v>8.9532967032967023E-2</v>
      </c>
      <c r="M270" s="584">
        <f t="shared" si="301"/>
        <v>7.531955741928964E-2</v>
      </c>
      <c r="N270" s="585">
        <f t="shared" si="301"/>
        <v>7.2954214639570691E-2</v>
      </c>
      <c r="O270" s="585">
        <f t="shared" si="301"/>
        <v>6.9180438829037155E-2</v>
      </c>
      <c r="P270" s="586">
        <f t="shared" si="301"/>
        <v>7.0360939038369819E-2</v>
      </c>
      <c r="Q270" s="587">
        <f t="shared" si="301"/>
        <v>7.1848304626554407E-2</v>
      </c>
      <c r="R270" s="588">
        <f t="shared" si="301"/>
        <v>5.7129897160515121E-2</v>
      </c>
      <c r="S270" s="588">
        <f t="shared" si="301"/>
        <v>6.6461831083799702E-2</v>
      </c>
      <c r="T270" s="588">
        <f t="shared" si="301"/>
        <v>5.8380582245307927E-2</v>
      </c>
      <c r="U270" s="588">
        <f t="shared" si="301"/>
        <v>6.8383152395342719E-2</v>
      </c>
      <c r="V270" s="587">
        <f t="shared" si="301"/>
        <v>6.2629305172206898E-2</v>
      </c>
      <c r="W270" s="588">
        <f t="shared" si="301"/>
        <v>5.7031140961170013E-2</v>
      </c>
      <c r="X270" s="588">
        <f t="shared" si="301"/>
        <v>5.5307250180937011E-2</v>
      </c>
      <c r="Y270" s="588">
        <f t="shared" si="301"/>
        <v>5.6422586281591414E-2</v>
      </c>
      <c r="Z270" s="588">
        <f t="shared" si="301"/>
        <v>6.0142523771922786E-2</v>
      </c>
      <c r="AA270" s="587">
        <f t="shared" si="301"/>
        <v>5.7253113810003559E-2</v>
      </c>
      <c r="AB270" s="588">
        <f t="shared" si="301"/>
        <v>5.6549157165200793E-2</v>
      </c>
      <c r="AC270" s="588">
        <f t="shared" si="301"/>
        <v>5.4997443592481481E-2</v>
      </c>
      <c r="AD270" s="588">
        <f t="shared" si="301"/>
        <v>5.750000347070245E-2</v>
      </c>
      <c r="AE270" s="588">
        <f t="shared" si="301"/>
        <v>5.9792236150100903E-2</v>
      </c>
      <c r="AF270" s="587">
        <f t="shared" si="301"/>
        <v>5.7244709972294416E-2</v>
      </c>
      <c r="AG270" s="588">
        <f t="shared" si="301"/>
        <v>5.642817491279762E-2</v>
      </c>
      <c r="AH270" s="588">
        <f t="shared" si="301"/>
        <v>5.4822973636383443E-2</v>
      </c>
      <c r="AI270" s="588">
        <f t="shared" si="301"/>
        <v>5.7353185290780102E-2</v>
      </c>
      <c r="AJ270" s="588">
        <f t="shared" si="301"/>
        <v>5.9525008013716268E-2</v>
      </c>
      <c r="AK270" s="587">
        <f t="shared" si="301"/>
        <v>5.7066378329294384E-2</v>
      </c>
      <c r="AL270" s="588">
        <f t="shared" si="301"/>
        <v>5.630537223637215E-2</v>
      </c>
      <c r="AM270" s="588">
        <f t="shared" si="301"/>
        <v>5.4649803819876504E-2</v>
      </c>
      <c r="AN270" s="588">
        <f t="shared" si="301"/>
        <v>5.7206590446974806E-2</v>
      </c>
      <c r="AO270" s="588">
        <f t="shared" si="301"/>
        <v>5.9264803384090105E-2</v>
      </c>
      <c r="AP270" s="587">
        <f t="shared" si="301"/>
        <v>5.6889787399093915E-2</v>
      </c>
      <c r="AQ270" s="588">
        <f t="shared" si="301"/>
        <v>5.6180848810100312E-2</v>
      </c>
      <c r="AR270" s="589">
        <f t="shared" si="301"/>
        <v>5.4477879025908248E-2</v>
      </c>
      <c r="AS270" s="589">
        <f t="shared" si="301"/>
        <v>5.7060223441210013E-2</v>
      </c>
      <c r="AT270" s="589">
        <f t="shared" si="301"/>
        <v>5.9011266368878372E-2</v>
      </c>
      <c r="AU270" s="590">
        <f t="shared" si="301"/>
        <v>5.6714858561349925E-2</v>
      </c>
      <c r="AV270" s="588">
        <f t="shared" si="301"/>
        <v>5.605469953822232E-2</v>
      </c>
      <c r="AW270" s="588">
        <f t="shared" si="301"/>
        <v>5.4307145514003459E-2</v>
      </c>
      <c r="AX270" s="589">
        <f t="shared" si="301"/>
        <v>5.6914087818606719E-2</v>
      </c>
      <c r="AY270" s="589">
        <f t="shared" si="301"/>
        <v>5.8764054983898875E-2</v>
      </c>
      <c r="AZ270" s="590">
        <f t="shared" si="301"/>
        <v>5.6541515572262634E-2</v>
      </c>
      <c r="BA270" s="589">
        <f t="shared" ref="BA270:BJ270" si="302">BA269/BA$249</f>
        <v>5.5927014715318399E-2</v>
      </c>
      <c r="BB270" s="589">
        <f t="shared" si="302"/>
        <v>5.4137551057791042E-2</v>
      </c>
      <c r="BC270" s="588">
        <f t="shared" si="302"/>
        <v>5.6768186309927665E-2</v>
      </c>
      <c r="BD270" s="589">
        <f t="shared" si="302"/>
        <v>5.852284115743453E-2</v>
      </c>
      <c r="BE270" s="590">
        <f t="shared" si="302"/>
        <v>5.6369684688428838E-2</v>
      </c>
      <c r="BF270" s="588">
        <f t="shared" si="302"/>
        <v>5.5797880195237425E-2</v>
      </c>
      <c r="BG270" s="589">
        <f t="shared" si="302"/>
        <v>5.3969045058588759E-2</v>
      </c>
      <c r="BH270" s="589">
        <f t="shared" si="302"/>
        <v>5.6622520962320663E-2</v>
      </c>
      <c r="BI270" s="589">
        <f t="shared" si="302"/>
        <v>5.8287310656507461E-2</v>
      </c>
      <c r="BJ270" s="590">
        <f t="shared" si="302"/>
        <v>5.6199294762766694E-2</v>
      </c>
      <c r="BK270" s="589">
        <f t="shared" ref="BK270:BT270" si="303">BK269/BK$249</f>
        <v>5.5667377566182071E-2</v>
      </c>
      <c r="BL270" s="589">
        <f t="shared" si="303"/>
        <v>5.3801578637255716E-2</v>
      </c>
      <c r="BM270" s="589">
        <f t="shared" si="303"/>
        <v>5.6477093258846568E-2</v>
      </c>
      <c r="BN270" s="589">
        <f t="shared" si="303"/>
        <v>5.8057162945868879E-2</v>
      </c>
      <c r="BO270" s="590">
        <f t="shared" si="303"/>
        <v>5.6030277315383382E-2</v>
      </c>
      <c r="BP270" s="589">
        <f t="shared" si="303"/>
        <v>5.5535584329758837E-2</v>
      </c>
      <c r="BQ270" s="589">
        <f t="shared" si="303"/>
        <v>5.3635104706411398E-2</v>
      </c>
      <c r="BR270" s="589">
        <f t="shared" si="303"/>
        <v>5.6331904227316335E-2</v>
      </c>
      <c r="BS270" s="589">
        <f t="shared" si="303"/>
        <v>5.7832110989523865E-2</v>
      </c>
      <c r="BT270" s="590">
        <f t="shared" si="303"/>
        <v>5.5862566582082003E-2</v>
      </c>
      <c r="BU270" s="589">
        <f t="shared" ref="BU270:CD270" si="304">BU269/BU$249</f>
        <v>5.540257408208573E-2</v>
      </c>
      <c r="BV270" s="589">
        <f t="shared" si="304"/>
        <v>5.3469578025002538E-2</v>
      </c>
      <c r="BW270" s="589">
        <f t="shared" si="304"/>
        <v>5.6186954538988532E-2</v>
      </c>
      <c r="BX270" s="589">
        <f t="shared" si="304"/>
        <v>5.7611881003716524E-2</v>
      </c>
      <c r="BY270" s="590">
        <f t="shared" si="304"/>
        <v>5.5696099543022896E-2</v>
      </c>
      <c r="BZ270" s="589">
        <f t="shared" si="304"/>
        <v>5.5268416695309651E-2</v>
      </c>
      <c r="CA270" s="589">
        <f t="shared" si="304"/>
        <v>5.3304955237075284E-2</v>
      </c>
      <c r="CB270" s="589">
        <f t="shared" si="304"/>
        <v>5.6042244597693094E-2</v>
      </c>
      <c r="CC270" s="589">
        <f t="shared" si="304"/>
        <v>5.7396212169443725E-2</v>
      </c>
      <c r="CD270" s="590">
        <f t="shared" si="304"/>
        <v>5.5530815933873934E-2</v>
      </c>
      <c r="CE270" s="589">
        <f t="shared" ref="CE270:CN270" si="305">CE269/CE$249</f>
        <v>5.5133178498124817E-2</v>
      </c>
      <c r="CF270" s="589">
        <f t="shared" si="305"/>
        <v>5.3141194896485645E-2</v>
      </c>
      <c r="CG270" s="589">
        <f t="shared" si="305"/>
        <v>5.5897774619954037E-2</v>
      </c>
      <c r="CH270" s="589">
        <f t="shared" si="305"/>
        <v>5.7184856311754934E-2</v>
      </c>
      <c r="CI270" s="590">
        <f t="shared" si="305"/>
        <v>5.5366658241604159E-2</v>
      </c>
      <c r="CJ270" s="589">
        <f t="shared" si="305"/>
        <v>5.4996922454098443E-2</v>
      </c>
      <c r="CK270" s="589">
        <f t="shared" si="305"/>
        <v>5.2978257479155487E-2</v>
      </c>
      <c r="CL270" s="589">
        <f t="shared" si="305"/>
        <v>5.5753544706682125E-2</v>
      </c>
      <c r="CM270" s="589">
        <f t="shared" si="305"/>
        <v>5.6977577552331224E-2</v>
      </c>
      <c r="CN270" s="590">
        <f t="shared" si="305"/>
        <v>5.5203571686899981E-2</v>
      </c>
      <c r="CO270" s="589">
        <f t="shared" ref="CO270:CX270" si="306">CO269/CO$249</f>
        <v>5.4859708336805681E-2</v>
      </c>
      <c r="CP270" s="589">
        <f t="shared" si="306"/>
        <v>5.2816105384358804E-2</v>
      </c>
      <c r="CQ270" s="589">
        <f t="shared" si="306"/>
        <v>5.5609554907000681E-2</v>
      </c>
      <c r="CR270" s="589">
        <f t="shared" si="306"/>
        <v>5.6774151941124083E-2</v>
      </c>
      <c r="CS270" s="590">
        <f t="shared" si="306"/>
        <v>5.5041504195013781E-2</v>
      </c>
      <c r="CT270" s="589">
        <f t="shared" si="306"/>
        <v>5.472159290094944E-2</v>
      </c>
      <c r="CU270" s="589">
        <f t="shared" si="306"/>
        <v>5.2654702926402876E-2</v>
      </c>
      <c r="CV270" s="589">
        <f t="shared" si="306"/>
        <v>5.5465805274755128E-2</v>
      </c>
      <c r="CW270" s="589">
        <f t="shared" si="306"/>
        <v>5.6574367072172595E-2</v>
      </c>
      <c r="CX270" s="590">
        <f t="shared" si="306"/>
        <v>5.4880406356691828E-2</v>
      </c>
      <c r="CY270" s="1733"/>
      <c r="DA270" s="564"/>
      <c r="DB270" s="560"/>
      <c r="DC270" s="560"/>
    </row>
    <row r="271" spans="1:107" ht="12" hidden="1" customHeight="1" outlineLevel="1">
      <c r="A271" s="579"/>
      <c r="B271" s="579"/>
      <c r="C271" s="594"/>
      <c r="D271" s="595"/>
      <c r="E271" s="595"/>
      <c r="F271" s="593"/>
      <c r="G271" s="286"/>
      <c r="H271" s="594"/>
      <c r="I271" s="595"/>
      <c r="J271" s="595"/>
      <c r="K271" s="593"/>
      <c r="L271" s="594"/>
      <c r="M271" s="594"/>
      <c r="N271" s="595"/>
      <c r="O271" s="595"/>
      <c r="P271" s="593"/>
      <c r="Q271" s="286"/>
      <c r="R271" s="576"/>
      <c r="S271" s="576"/>
      <c r="T271" s="576"/>
      <c r="U271" s="576"/>
      <c r="V271" s="286"/>
      <c r="W271" s="576"/>
      <c r="X271" s="576"/>
      <c r="Y271" s="576"/>
      <c r="Z271" s="576"/>
      <c r="AA271" s="286"/>
      <c r="AB271" s="576"/>
      <c r="AC271" s="576"/>
      <c r="AD271" s="576"/>
      <c r="AE271" s="576"/>
      <c r="AF271" s="286"/>
      <c r="AG271" s="576"/>
      <c r="AH271" s="576"/>
      <c r="AI271" s="576"/>
      <c r="AJ271" s="576"/>
      <c r="AK271" s="286"/>
      <c r="AL271" s="576"/>
      <c r="AM271" s="576"/>
      <c r="AN271" s="576"/>
      <c r="AO271" s="576"/>
      <c r="AP271" s="286"/>
      <c r="AQ271" s="576"/>
      <c r="AR271" s="577"/>
      <c r="AS271" s="577"/>
      <c r="AT271" s="577"/>
      <c r="AU271" s="287"/>
      <c r="AV271" s="576"/>
      <c r="AW271" s="576"/>
      <c r="AX271" s="577"/>
      <c r="AY271" s="577"/>
      <c r="AZ271" s="287"/>
      <c r="BA271" s="577"/>
      <c r="BB271" s="577"/>
      <c r="BC271" s="576"/>
      <c r="BD271" s="577"/>
      <c r="BE271" s="287"/>
      <c r="BF271" s="576"/>
      <c r="BG271" s="577"/>
      <c r="BH271" s="577"/>
      <c r="BI271" s="577"/>
      <c r="BJ271" s="287"/>
      <c r="BK271" s="577"/>
      <c r="BL271" s="577"/>
      <c r="BM271" s="577"/>
      <c r="BN271" s="577"/>
      <c r="BO271" s="287"/>
      <c r="BP271" s="577"/>
      <c r="BQ271" s="577"/>
      <c r="BR271" s="577"/>
      <c r="BS271" s="577"/>
      <c r="BT271" s="287"/>
      <c r="BU271" s="577"/>
      <c r="BV271" s="577"/>
      <c r="BW271" s="577"/>
      <c r="BX271" s="577"/>
      <c r="BY271" s="287"/>
      <c r="BZ271" s="577"/>
      <c r="CA271" s="577"/>
      <c r="CB271" s="577"/>
      <c r="CC271" s="577"/>
      <c r="CD271" s="287"/>
      <c r="CE271" s="577"/>
      <c r="CF271" s="577"/>
      <c r="CG271" s="577"/>
      <c r="CH271" s="577"/>
      <c r="CI271" s="287"/>
      <c r="CJ271" s="577"/>
      <c r="CK271" s="577"/>
      <c r="CL271" s="577"/>
      <c r="CM271" s="577"/>
      <c r="CN271" s="287"/>
      <c r="CO271" s="577"/>
      <c r="CP271" s="577"/>
      <c r="CQ271" s="577"/>
      <c r="CR271" s="577"/>
      <c r="CS271" s="287"/>
      <c r="CT271" s="577"/>
      <c r="CU271" s="577"/>
      <c r="CV271" s="577"/>
      <c r="CW271" s="577"/>
      <c r="CX271" s="287"/>
      <c r="CY271" s="1735"/>
      <c r="DA271" s="564"/>
      <c r="DB271" s="560"/>
      <c r="DC271" s="560"/>
    </row>
    <row r="272" spans="1:107" ht="12" hidden="1" customHeight="1" outlineLevel="1">
      <c r="A272" s="560"/>
      <c r="B272" s="560"/>
      <c r="C272" s="594"/>
      <c r="D272" s="595"/>
      <c r="E272" s="595"/>
      <c r="F272" s="593"/>
      <c r="G272" s="286"/>
      <c r="H272" s="594"/>
      <c r="I272" s="595"/>
      <c r="J272" s="595"/>
      <c r="K272" s="593"/>
      <c r="L272" s="594"/>
      <c r="M272" s="594"/>
      <c r="N272" s="595"/>
      <c r="O272" s="595"/>
      <c r="P272" s="593"/>
      <c r="Q272" s="286"/>
      <c r="R272" s="576"/>
      <c r="S272" s="576"/>
      <c r="T272" s="576"/>
      <c r="U272" s="576"/>
      <c r="V272" s="286"/>
      <c r="W272" s="576"/>
      <c r="X272" s="576"/>
      <c r="Y272" s="576"/>
      <c r="Z272" s="576"/>
      <c r="AA272" s="286"/>
      <c r="AB272" s="576"/>
      <c r="AC272" s="576"/>
      <c r="AD272" s="576"/>
      <c r="AE272" s="576"/>
      <c r="AF272" s="286"/>
      <c r="AG272" s="576"/>
      <c r="AH272" s="576"/>
      <c r="AI272" s="576"/>
      <c r="AJ272" s="576"/>
      <c r="AK272" s="286"/>
      <c r="AL272" s="576"/>
      <c r="AM272" s="576"/>
      <c r="AN272" s="576"/>
      <c r="AO272" s="576"/>
      <c r="AP272" s="286"/>
      <c r="AQ272" s="576"/>
      <c r="AR272" s="577"/>
      <c r="AS272" s="577"/>
      <c r="AT272" s="577"/>
      <c r="AU272" s="287"/>
      <c r="AV272" s="576"/>
      <c r="AW272" s="576"/>
      <c r="AX272" s="577"/>
      <c r="AY272" s="577"/>
      <c r="AZ272" s="287"/>
      <c r="BA272" s="577"/>
      <c r="BB272" s="577"/>
      <c r="BC272" s="576"/>
      <c r="BD272" s="577"/>
      <c r="BE272" s="287"/>
      <c r="BF272" s="576"/>
      <c r="BG272" s="577"/>
      <c r="BH272" s="577"/>
      <c r="BI272" s="577"/>
      <c r="BJ272" s="287"/>
      <c r="BK272" s="577"/>
      <c r="BL272" s="577"/>
      <c r="BM272" s="577"/>
      <c r="BN272" s="577"/>
      <c r="BO272" s="287"/>
      <c r="BP272" s="577"/>
      <c r="BQ272" s="577"/>
      <c r="BR272" s="577"/>
      <c r="BS272" s="577"/>
      <c r="BT272" s="287"/>
      <c r="BU272" s="577"/>
      <c r="BV272" s="577"/>
      <c r="BW272" s="577"/>
      <c r="BX272" s="577"/>
      <c r="BY272" s="287"/>
      <c r="BZ272" s="577"/>
      <c r="CA272" s="577"/>
      <c r="CB272" s="577"/>
      <c r="CC272" s="577"/>
      <c r="CD272" s="287"/>
      <c r="CE272" s="577"/>
      <c r="CF272" s="577"/>
      <c r="CG272" s="577"/>
      <c r="CH272" s="577"/>
      <c r="CI272" s="287"/>
      <c r="CJ272" s="577"/>
      <c r="CK272" s="577"/>
      <c r="CL272" s="577"/>
      <c r="CM272" s="577"/>
      <c r="CN272" s="287"/>
      <c r="CO272" s="577"/>
      <c r="CP272" s="577"/>
      <c r="CQ272" s="577"/>
      <c r="CR272" s="577"/>
      <c r="CS272" s="287"/>
      <c r="CT272" s="577"/>
      <c r="CU272" s="577"/>
      <c r="CV272" s="577"/>
      <c r="CW272" s="577"/>
      <c r="CX272" s="287"/>
      <c r="CY272" s="1735"/>
      <c r="DA272" s="564"/>
      <c r="DB272" s="560"/>
      <c r="DC272" s="560"/>
    </row>
    <row r="273" spans="1:107" ht="12" hidden="1" customHeight="1" outlineLevel="1">
      <c r="A273" s="553" t="s">
        <v>366</v>
      </c>
      <c r="B273" s="553"/>
      <c r="C273" s="573"/>
      <c r="D273" s="622"/>
      <c r="E273" s="622"/>
      <c r="F273" s="623"/>
      <c r="G273" s="570"/>
      <c r="H273" s="573"/>
      <c r="I273" s="622"/>
      <c r="J273" s="622"/>
      <c r="K273" s="623"/>
      <c r="L273" s="573"/>
      <c r="M273" s="573"/>
      <c r="N273" s="622"/>
      <c r="O273" s="622"/>
      <c r="P273" s="623"/>
      <c r="Q273" s="570"/>
      <c r="R273" s="624"/>
      <c r="S273" s="624"/>
      <c r="T273" s="624"/>
      <c r="U273" s="624"/>
      <c r="V273" s="570"/>
      <c r="W273" s="624"/>
      <c r="X273" s="624"/>
      <c r="Y273" s="624"/>
      <c r="Z273" s="624"/>
      <c r="AA273" s="570"/>
      <c r="AB273" s="624"/>
      <c r="AC273" s="624"/>
      <c r="AD273" s="624"/>
      <c r="AE273" s="624"/>
      <c r="AF273" s="570"/>
      <c r="AG273" s="624"/>
      <c r="AH273" s="624"/>
      <c r="AI273" s="624"/>
      <c r="AJ273" s="624"/>
      <c r="AK273" s="570"/>
      <c r="AL273" s="624"/>
      <c r="AM273" s="624"/>
      <c r="AN273" s="624"/>
      <c r="AO273" s="624"/>
      <c r="AP273" s="570"/>
      <c r="AQ273" s="624"/>
      <c r="AR273" s="625"/>
      <c r="AS273" s="625"/>
      <c r="AT273" s="625"/>
      <c r="AU273" s="578"/>
      <c r="AV273" s="624"/>
      <c r="AW273" s="624"/>
      <c r="AX273" s="625"/>
      <c r="AY273" s="625"/>
      <c r="AZ273" s="578"/>
      <c r="BA273" s="625"/>
      <c r="BB273" s="625"/>
      <c r="BC273" s="624"/>
      <c r="BD273" s="625"/>
      <c r="BE273" s="578"/>
      <c r="BF273" s="624"/>
      <c r="BG273" s="625"/>
      <c r="BH273" s="625"/>
      <c r="BI273" s="625"/>
      <c r="BJ273" s="578"/>
      <c r="BK273" s="625"/>
      <c r="BL273" s="625"/>
      <c r="BM273" s="625"/>
      <c r="BN273" s="625"/>
      <c r="BO273" s="578"/>
      <c r="BP273" s="625"/>
      <c r="BQ273" s="625"/>
      <c r="BR273" s="625"/>
      <c r="BS273" s="625"/>
      <c r="BT273" s="578"/>
      <c r="BU273" s="625"/>
      <c r="BV273" s="625"/>
      <c r="BW273" s="625"/>
      <c r="BX273" s="625"/>
      <c r="BY273" s="578"/>
      <c r="BZ273" s="625"/>
      <c r="CA273" s="625"/>
      <c r="CB273" s="625"/>
      <c r="CC273" s="625"/>
      <c r="CD273" s="578"/>
      <c r="CE273" s="625"/>
      <c r="CF273" s="625"/>
      <c r="CG273" s="625"/>
      <c r="CH273" s="625"/>
      <c r="CI273" s="578"/>
      <c r="CJ273" s="625"/>
      <c r="CK273" s="625"/>
      <c r="CL273" s="625"/>
      <c r="CM273" s="625"/>
      <c r="CN273" s="578"/>
      <c r="CO273" s="625"/>
      <c r="CP273" s="625"/>
      <c r="CQ273" s="625"/>
      <c r="CR273" s="625"/>
      <c r="CS273" s="578"/>
      <c r="CT273" s="625"/>
      <c r="CU273" s="625"/>
      <c r="CV273" s="625"/>
      <c r="CW273" s="625"/>
      <c r="CX273" s="578"/>
      <c r="CY273" s="1732"/>
      <c r="DA273" s="564"/>
      <c r="DB273" s="560"/>
      <c r="DC273" s="560"/>
    </row>
    <row r="274" spans="1:107" ht="12" hidden="1" customHeight="1" outlineLevel="1">
      <c r="A274" s="560"/>
      <c r="B274" s="560"/>
      <c r="C274" s="594"/>
      <c r="D274" s="595"/>
      <c r="E274" s="595"/>
      <c r="F274" s="593"/>
      <c r="G274" s="286"/>
      <c r="H274" s="594"/>
      <c r="I274" s="595"/>
      <c r="J274" s="595"/>
      <c r="K274" s="593"/>
      <c r="L274" s="594"/>
      <c r="M274" s="594"/>
      <c r="N274" s="595"/>
      <c r="O274" s="595"/>
      <c r="P274" s="593"/>
      <c r="Q274" s="286"/>
      <c r="R274" s="576"/>
      <c r="S274" s="576"/>
      <c r="T274" s="576"/>
      <c r="U274" s="576"/>
      <c r="V274" s="286"/>
      <c r="W274" s="576"/>
      <c r="X274" s="576"/>
      <c r="Y274" s="576"/>
      <c r="Z274" s="576"/>
      <c r="AA274" s="286"/>
      <c r="AB274" s="576"/>
      <c r="AC274" s="576"/>
      <c r="AD274" s="576"/>
      <c r="AE274" s="576"/>
      <c r="AF274" s="286"/>
      <c r="AG274" s="576"/>
      <c r="AH274" s="576"/>
      <c r="AI274" s="576"/>
      <c r="AJ274" s="576"/>
      <c r="AK274" s="286"/>
      <c r="AL274" s="576"/>
      <c r="AM274" s="576"/>
      <c r="AN274" s="576"/>
      <c r="AO274" s="576"/>
      <c r="AP274" s="286"/>
      <c r="AQ274" s="576"/>
      <c r="AR274" s="577"/>
      <c r="AS274" s="577"/>
      <c r="AT274" s="577"/>
      <c r="AU274" s="287"/>
      <c r="AV274" s="576"/>
      <c r="AW274" s="576"/>
      <c r="AX274" s="577"/>
      <c r="AY274" s="577"/>
      <c r="AZ274" s="287"/>
      <c r="BA274" s="577"/>
      <c r="BB274" s="577"/>
      <c r="BC274" s="576"/>
      <c r="BD274" s="577"/>
      <c r="BE274" s="287"/>
      <c r="BF274" s="576"/>
      <c r="BG274" s="577"/>
      <c r="BH274" s="577"/>
      <c r="BI274" s="577"/>
      <c r="BJ274" s="287"/>
      <c r="BK274" s="577"/>
      <c r="BL274" s="577"/>
      <c r="BM274" s="577"/>
      <c r="BN274" s="577"/>
      <c r="BO274" s="287"/>
      <c r="BP274" s="577"/>
      <c r="BQ274" s="577"/>
      <c r="BR274" s="577"/>
      <c r="BS274" s="577"/>
      <c r="BT274" s="287"/>
      <c r="BU274" s="577"/>
      <c r="BV274" s="577"/>
      <c r="BW274" s="577"/>
      <c r="BX274" s="577"/>
      <c r="BY274" s="287"/>
      <c r="BZ274" s="577"/>
      <c r="CA274" s="577"/>
      <c r="CB274" s="577"/>
      <c r="CC274" s="577"/>
      <c r="CD274" s="287"/>
      <c r="CE274" s="577"/>
      <c r="CF274" s="577"/>
      <c r="CG274" s="577"/>
      <c r="CH274" s="577"/>
      <c r="CI274" s="287"/>
      <c r="CJ274" s="577"/>
      <c r="CK274" s="577"/>
      <c r="CL274" s="577"/>
      <c r="CM274" s="577"/>
      <c r="CN274" s="287"/>
      <c r="CO274" s="577"/>
      <c r="CP274" s="577"/>
      <c r="CQ274" s="577"/>
      <c r="CR274" s="577"/>
      <c r="CS274" s="287"/>
      <c r="CT274" s="577"/>
      <c r="CU274" s="577"/>
      <c r="CV274" s="577"/>
      <c r="CW274" s="577"/>
      <c r="CX274" s="287"/>
      <c r="CY274" s="1735"/>
      <c r="DA274" s="564"/>
      <c r="DB274" s="560"/>
      <c r="DC274" s="560"/>
    </row>
    <row r="275" spans="1:107" ht="12" hidden="1" customHeight="1" outlineLevel="1">
      <c r="A275" s="553" t="s">
        <v>695</v>
      </c>
      <c r="B275" s="553"/>
      <c r="C275" s="628"/>
      <c r="D275" s="629"/>
      <c r="E275" s="629"/>
      <c r="F275" s="630">
        <f>F225-F257</f>
        <v>413.17099999999999</v>
      </c>
      <c r="G275" s="570">
        <f>SUM(C275:F275)</f>
        <v>413.17099999999999</v>
      </c>
      <c r="H275" s="628">
        <f>H225-H257</f>
        <v>78.212000000000003</v>
      </c>
      <c r="I275" s="629">
        <f>I225-I257</f>
        <v>122.03800000000001</v>
      </c>
      <c r="J275" s="629">
        <f>J225-J257</f>
        <v>110.75800000000001</v>
      </c>
      <c r="K275" s="630">
        <f>K225-K257</f>
        <v>70.818999999999932</v>
      </c>
      <c r="L275" s="573">
        <f>SUM(H275:K275)</f>
        <v>381.827</v>
      </c>
      <c r="M275" s="628">
        <f>M225-M257</f>
        <v>87.644000000000005</v>
      </c>
      <c r="N275" s="629">
        <f>N225-N257</f>
        <v>86.655999999999992</v>
      </c>
      <c r="O275" s="629">
        <f>O225-O257</f>
        <v>81.361000000000004</v>
      </c>
      <c r="P275" s="630">
        <f>P225-P257</f>
        <v>103.238</v>
      </c>
      <c r="Q275" s="570">
        <f>SUM(M275:P275)</f>
        <v>358.899</v>
      </c>
      <c r="R275" s="575">
        <f>R225-R257</f>
        <v>104.241</v>
      </c>
      <c r="S275" s="575">
        <f>S225-S257</f>
        <v>90.45</v>
      </c>
      <c r="T275" s="575">
        <f>T225-T257</f>
        <v>90.465000000000003</v>
      </c>
      <c r="U275" s="575">
        <f>U225-U257</f>
        <v>104.89499999999998</v>
      </c>
      <c r="V275" s="570">
        <f>SUM(R275:U275)</f>
        <v>390.05099999999999</v>
      </c>
      <c r="W275" s="575">
        <f>W225-W257</f>
        <v>96.763000000000005</v>
      </c>
      <c r="X275" s="575">
        <f>X225-X257</f>
        <v>107.901</v>
      </c>
      <c r="Y275" s="575">
        <f>Y225-Y257</f>
        <v>87.263999999999996</v>
      </c>
      <c r="Z275" s="575">
        <f>Z225-Z257</f>
        <v>104.48200000000001</v>
      </c>
      <c r="AA275" s="570">
        <f>SUM(W275:Z275)</f>
        <v>396.41</v>
      </c>
      <c r="AB275" s="575">
        <f>AB225-AB257</f>
        <v>105.64051633026963</v>
      </c>
      <c r="AC275" s="575">
        <f>AC225-AC257</f>
        <v>109.9998411207782</v>
      </c>
      <c r="AD275" s="575">
        <f>AD225-AD257</f>
        <v>109.48119200969661</v>
      </c>
      <c r="AE275" s="575">
        <f>AE225-AE257</f>
        <v>110.89338649640122</v>
      </c>
      <c r="AF275" s="570">
        <f>SUM(AB275:AE275)</f>
        <v>436.01493595714567</v>
      </c>
      <c r="AG275" s="576">
        <f>AG225-AG257</f>
        <v>112.12299350215324</v>
      </c>
      <c r="AH275" s="576">
        <f>AH225-AH257</f>
        <v>116.74982194013499</v>
      </c>
      <c r="AI275" s="576">
        <f>AI225-AI257</f>
        <v>116.19934667806893</v>
      </c>
      <c r="AJ275" s="576">
        <f>AJ225-AJ257</f>
        <v>117.69819843265077</v>
      </c>
      <c r="AK275" s="570">
        <f>SUM(AG275:AJ275)</f>
        <v>462.77036055300795</v>
      </c>
      <c r="AL275" s="576">
        <f>AL225-AL257</f>
        <v>119.00325849014909</v>
      </c>
      <c r="AM275" s="576">
        <f>AM225-AM257</f>
        <v>123.91400554921815</v>
      </c>
      <c r="AN275" s="576">
        <f>AN225-AN257</f>
        <v>123.32975117054049</v>
      </c>
      <c r="AO275" s="576">
        <f>AO225-AO257</f>
        <v>124.92057779064399</v>
      </c>
      <c r="AP275" s="570">
        <f>SUM(AL275:AO275)</f>
        <v>491.16759300055173</v>
      </c>
      <c r="AQ275" s="576">
        <f>AQ225-AQ257</f>
        <v>126.30572096704928</v>
      </c>
      <c r="AR275" s="577">
        <f>AR225-AR257</f>
        <v>131.51780890188408</v>
      </c>
      <c r="AS275" s="577">
        <f>AS225-AS257</f>
        <v>130.89770260006256</v>
      </c>
      <c r="AT275" s="577">
        <f>AT225-AT257</f>
        <v>132.58614799000438</v>
      </c>
      <c r="AU275" s="578">
        <f>SUM(AQ275:AT275)</f>
        <v>521.30738045900034</v>
      </c>
      <c r="AV275" s="576">
        <f>AV225-AV257</f>
        <v>134.05628846983788</v>
      </c>
      <c r="AW275" s="576">
        <f>AW225-AW257</f>
        <v>139.58820862652388</v>
      </c>
      <c r="AX275" s="577">
        <f>AX225-AX257</f>
        <v>138.93005040025764</v>
      </c>
      <c r="AY275" s="577">
        <f>AY225-AY257</f>
        <v>140.72210479436268</v>
      </c>
      <c r="AZ275" s="578">
        <f>SUM(AV275:AY275)</f>
        <v>553.29665229098214</v>
      </c>
      <c r="BA275" s="577">
        <f>BA225-BA257</f>
        <v>142.28245831395631</v>
      </c>
      <c r="BB275" s="577">
        <f>BB225-BB257</f>
        <v>148.15383673323055</v>
      </c>
      <c r="BC275" s="576">
        <f>BC225-BC257</f>
        <v>147.45529158132757</v>
      </c>
      <c r="BD275" s="577">
        <f>BD225-BD257</f>
        <v>149.35731279596803</v>
      </c>
      <c r="BE275" s="578">
        <f>SUM(BA275:BD275)</f>
        <v>587.24889942448249</v>
      </c>
      <c r="BF275" s="576">
        <f>BF225-BF257</f>
        <v>151.01341514775419</v>
      </c>
      <c r="BG275" s="577">
        <f>BG225-BG257</f>
        <v>157.24508219389807</v>
      </c>
      <c r="BH275" s="577">
        <f>BH225-BH257</f>
        <v>156.50367183120244</v>
      </c>
      <c r="BI275" s="577">
        <f>BI225-BI257</f>
        <v>158.52240782093733</v>
      </c>
      <c r="BJ275" s="578">
        <f>SUM(BF275:BI275)</f>
        <v>623.28457699379203</v>
      </c>
      <c r="BK275" s="577">
        <f>BK225-BK257</f>
        <v>160.28013449322748</v>
      </c>
      <c r="BL275" s="577">
        <f>BL225-BL257</f>
        <v>166.89419875563559</v>
      </c>
      <c r="BM275" s="577">
        <f>BM225-BM257</f>
        <v>166.10729282061479</v>
      </c>
      <c r="BN275" s="577">
        <f>BN225-BN257</f>
        <v>168.24990561845428</v>
      </c>
      <c r="BO275" s="578">
        <f>SUM(BK275:BN275)</f>
        <v>661.5315316879321</v>
      </c>
      <c r="BP275" s="577">
        <f>BP225-BP257</f>
        <v>170.11549264038442</v>
      </c>
      <c r="BQ275" s="577">
        <f>BQ225-BQ257</f>
        <v>177.13541936999576</v>
      </c>
      <c r="BR275" s="577">
        <f>BR225-BR257</f>
        <v>176.30022609279422</v>
      </c>
      <c r="BS275" s="577">
        <f>BS225-BS257</f>
        <v>178.57431721952369</v>
      </c>
      <c r="BT275" s="578">
        <f>SUM(BP275:BS275)</f>
        <v>702.12545532269803</v>
      </c>
      <c r="BU275" s="577">
        <f>BU225-BU257</f>
        <v>180.55438328511937</v>
      </c>
      <c r="BV275" s="577">
        <f>BV225-BV257</f>
        <v>188.00507764398702</v>
      </c>
      <c r="BW275" s="577">
        <f>BW225-BW257</f>
        <v>187.11863394183825</v>
      </c>
      <c r="BX275" s="577">
        <f>BX225-BX257</f>
        <v>189.53227137454869</v>
      </c>
      <c r="BY275" s="578">
        <f>SUM(BU275:BX275)</f>
        <v>745.21036624549345</v>
      </c>
      <c r="BZ275" s="577">
        <f>BZ225-BZ257</f>
        <v>191.63384132440137</v>
      </c>
      <c r="CA275" s="577">
        <f>CA225-CA257</f>
        <v>199.54173674375082</v>
      </c>
      <c r="CB275" s="577">
        <f>CB225-CB257</f>
        <v>198.60089770860904</v>
      </c>
      <c r="CC275" s="577">
        <f>CC225-CC257</f>
        <v>201.162644504112</v>
      </c>
      <c r="CD275" s="578">
        <f>SUM(BZ275:CC275)</f>
        <v>790.93912028087323</v>
      </c>
      <c r="CE275" s="577">
        <f>CE225-CE257</f>
        <v>203.39317424797446</v>
      </c>
      <c r="CF275" s="577">
        <f>CF225-CF257</f>
        <v>211.78632620822634</v>
      </c>
      <c r="CG275" s="577">
        <f>CG225-CG257</f>
        <v>210.78775394932165</v>
      </c>
      <c r="CH275" s="577">
        <f>CH225-CH257</f>
        <v>213.50669862399886</v>
      </c>
      <c r="CI275" s="578">
        <f>SUM(CE275:CH275)</f>
        <v>839.47395302952134</v>
      </c>
      <c r="CJ275" s="577">
        <f>CJ225-CJ257</f>
        <v>215.8741015927194</v>
      </c>
      <c r="CK275" s="577">
        <f>CK225-CK257</f>
        <v>224.78228715818753</v>
      </c>
      <c r="CL275" s="577">
        <f>CL225-CL257</f>
        <v>223.72243895992082</v>
      </c>
      <c r="CM275" s="577">
        <f>CM225-CM257</f>
        <v>226.60822773378916</v>
      </c>
      <c r="CN275" s="578">
        <f>SUM(CJ275:CM275)</f>
        <v>890.98705544461689</v>
      </c>
      <c r="CO275" s="577">
        <f>CO225-CO257</f>
        <v>229.12090295443053</v>
      </c>
      <c r="CP275" s="577">
        <f>CP225-CP257</f>
        <v>238.57572641582215</v>
      </c>
      <c r="CQ275" s="577">
        <f>CQ225-CQ257</f>
        <v>237.4508421689863</v>
      </c>
      <c r="CR275" s="577">
        <f>CR225-CR257</f>
        <v>240.51371318837295</v>
      </c>
      <c r="CS275" s="578">
        <f>SUM(CO275:CR275)</f>
        <v>945.66118472761195</v>
      </c>
      <c r="CT275" s="577">
        <f>CT225-CT257</f>
        <v>243.18057508212036</v>
      </c>
      <c r="CU275" s="577">
        <f>CU225-CU257</f>
        <v>253.21558008163549</v>
      </c>
      <c r="CV275" s="577">
        <f>CV225-CV257</f>
        <v>252.02166894337165</v>
      </c>
      <c r="CW275" s="577">
        <f>CW225-CW257</f>
        <v>255.27248860361431</v>
      </c>
      <c r="CX275" s="578">
        <f>SUM(CT275:CW275)</f>
        <v>1003.6903127107418</v>
      </c>
      <c r="CY275" s="1732"/>
      <c r="DA275" s="564"/>
      <c r="DB275" s="560"/>
      <c r="DC275" s="560"/>
    </row>
    <row r="276" spans="1:107" ht="12" hidden="1" customHeight="1" outlineLevel="1">
      <c r="A276" s="579" t="s">
        <v>363</v>
      </c>
      <c r="B276" s="579"/>
      <c r="C276" s="584"/>
      <c r="D276" s="585"/>
      <c r="E276" s="585"/>
      <c r="F276" s="586">
        <f t="shared" ref="F276:AZ276" si="307">F275/F$225</f>
        <v>0.93959302669341016</v>
      </c>
      <c r="G276" s="587">
        <f t="shared" si="307"/>
        <v>0.93959302669341016</v>
      </c>
      <c r="H276" s="584">
        <f t="shared" si="307"/>
        <v>0.9329834188238102</v>
      </c>
      <c r="I276" s="585">
        <f t="shared" si="307"/>
        <v>0.93454837845081751</v>
      </c>
      <c r="J276" s="585">
        <f t="shared" si="307"/>
        <v>0.93708648493155322</v>
      </c>
      <c r="K276" s="586">
        <f t="shared" si="307"/>
        <v>0.89315306907467407</v>
      </c>
      <c r="L276" s="584">
        <f t="shared" si="307"/>
        <v>0.92698956057295467</v>
      </c>
      <c r="M276" s="584">
        <f t="shared" si="307"/>
        <v>0.9112307916242125</v>
      </c>
      <c r="N276" s="585">
        <f t="shared" si="307"/>
        <v>0.90870577378830142</v>
      </c>
      <c r="O276" s="585">
        <f t="shared" si="307"/>
        <v>0.92106097312473112</v>
      </c>
      <c r="P276" s="586">
        <f t="shared" si="307"/>
        <v>0.91749169051385515</v>
      </c>
      <c r="Q276" s="587">
        <f t="shared" si="307"/>
        <v>0.91462538226299694</v>
      </c>
      <c r="R276" s="588">
        <f t="shared" si="307"/>
        <v>0.91828536694944374</v>
      </c>
      <c r="S276" s="588">
        <f t="shared" si="307"/>
        <v>0.90213640262512218</v>
      </c>
      <c r="T276" s="588">
        <f t="shared" si="307"/>
        <v>0.91890217269855468</v>
      </c>
      <c r="U276" s="588">
        <f t="shared" si="307"/>
        <v>0.88915166310649985</v>
      </c>
      <c r="V276" s="587">
        <f t="shared" si="307"/>
        <v>0.90667364016736396</v>
      </c>
      <c r="W276" s="588">
        <f t="shared" si="307"/>
        <v>0.90750762016412667</v>
      </c>
      <c r="X276" s="588">
        <f t="shared" si="307"/>
        <v>0.9309916392721248</v>
      </c>
      <c r="Y276" s="588">
        <f t="shared" si="307"/>
        <v>0.91290838904057992</v>
      </c>
      <c r="Z276" s="588">
        <f t="shared" si="307"/>
        <v>0.9110186856400464</v>
      </c>
      <c r="AA276" s="587">
        <f t="shared" si="307"/>
        <v>0.9159195933456562</v>
      </c>
      <c r="AB276" s="588">
        <f t="shared" si="307"/>
        <v>0.90750762016412667</v>
      </c>
      <c r="AC276" s="588">
        <f t="shared" si="307"/>
        <v>0.9309916392721248</v>
      </c>
      <c r="AD276" s="588">
        <f t="shared" si="307"/>
        <v>0.91290838904057992</v>
      </c>
      <c r="AE276" s="588">
        <f t="shared" si="307"/>
        <v>0.9110186856400464</v>
      </c>
      <c r="AF276" s="587">
        <f t="shared" si="307"/>
        <v>0.91559183255443777</v>
      </c>
      <c r="AG276" s="588">
        <f t="shared" si="307"/>
        <v>0.90750762016412656</v>
      </c>
      <c r="AH276" s="588">
        <f t="shared" si="307"/>
        <v>0.93099163927212492</v>
      </c>
      <c r="AI276" s="588">
        <f t="shared" si="307"/>
        <v>0.91290838904058003</v>
      </c>
      <c r="AJ276" s="588">
        <f t="shared" si="307"/>
        <v>0.9110186856400464</v>
      </c>
      <c r="AK276" s="587">
        <f t="shared" si="307"/>
        <v>0.91559183255443777</v>
      </c>
      <c r="AL276" s="588">
        <f t="shared" si="307"/>
        <v>0.90750762016412667</v>
      </c>
      <c r="AM276" s="588">
        <f t="shared" si="307"/>
        <v>0.93099163927212492</v>
      </c>
      <c r="AN276" s="588">
        <f t="shared" si="307"/>
        <v>0.91290838904058003</v>
      </c>
      <c r="AO276" s="588">
        <f t="shared" si="307"/>
        <v>0.9110186856400464</v>
      </c>
      <c r="AP276" s="587">
        <f t="shared" si="307"/>
        <v>0.91559183255443777</v>
      </c>
      <c r="AQ276" s="588">
        <f t="shared" si="307"/>
        <v>0.90750762016412656</v>
      </c>
      <c r="AR276" s="589">
        <f t="shared" si="307"/>
        <v>0.9309916392721248</v>
      </c>
      <c r="AS276" s="589">
        <f t="shared" si="307"/>
        <v>0.91290838904057992</v>
      </c>
      <c r="AT276" s="589">
        <f t="shared" si="307"/>
        <v>0.91101868564004651</v>
      </c>
      <c r="AU276" s="590">
        <f t="shared" si="307"/>
        <v>0.91559183255443788</v>
      </c>
      <c r="AV276" s="588">
        <f t="shared" si="307"/>
        <v>0.90750762016412656</v>
      </c>
      <c r="AW276" s="588">
        <f t="shared" si="307"/>
        <v>0.93099163927212492</v>
      </c>
      <c r="AX276" s="589">
        <f t="shared" si="307"/>
        <v>0.91290838904058003</v>
      </c>
      <c r="AY276" s="589">
        <f t="shared" si="307"/>
        <v>0.9110186856400464</v>
      </c>
      <c r="AZ276" s="590">
        <f t="shared" si="307"/>
        <v>0.91559183255443788</v>
      </c>
      <c r="BA276" s="589">
        <f t="shared" ref="BA276:BJ276" si="308">BA275/BA$225</f>
        <v>0.90750762016412656</v>
      </c>
      <c r="BB276" s="589">
        <f t="shared" si="308"/>
        <v>0.93099163927212492</v>
      </c>
      <c r="BC276" s="588">
        <f t="shared" si="308"/>
        <v>0.91290838904058003</v>
      </c>
      <c r="BD276" s="589">
        <f t="shared" si="308"/>
        <v>0.91101868564004629</v>
      </c>
      <c r="BE276" s="590">
        <f t="shared" si="308"/>
        <v>0.91559183255443788</v>
      </c>
      <c r="BF276" s="588">
        <f t="shared" si="308"/>
        <v>0.90750762016412667</v>
      </c>
      <c r="BG276" s="589">
        <f t="shared" si="308"/>
        <v>0.93099163927212492</v>
      </c>
      <c r="BH276" s="589">
        <f t="shared" si="308"/>
        <v>0.91290838904057992</v>
      </c>
      <c r="BI276" s="589">
        <f t="shared" si="308"/>
        <v>0.9110186856400464</v>
      </c>
      <c r="BJ276" s="590">
        <f t="shared" si="308"/>
        <v>0.91559183255443777</v>
      </c>
      <c r="BK276" s="589">
        <f t="shared" ref="BK276:BT276" si="309">BK275/BK$225</f>
        <v>0.90750762016412656</v>
      </c>
      <c r="BL276" s="589">
        <f t="shared" si="309"/>
        <v>0.93099163927212492</v>
      </c>
      <c r="BM276" s="589">
        <f t="shared" si="309"/>
        <v>0.91290838904058003</v>
      </c>
      <c r="BN276" s="589">
        <f t="shared" si="309"/>
        <v>0.91101868564004629</v>
      </c>
      <c r="BO276" s="590">
        <f t="shared" si="309"/>
        <v>0.91559183255443777</v>
      </c>
      <c r="BP276" s="589">
        <f t="shared" si="309"/>
        <v>0.90750762016412667</v>
      </c>
      <c r="BQ276" s="589">
        <f t="shared" si="309"/>
        <v>0.9309916392721248</v>
      </c>
      <c r="BR276" s="589">
        <f t="shared" si="309"/>
        <v>0.91290838904058003</v>
      </c>
      <c r="BS276" s="589">
        <f t="shared" si="309"/>
        <v>0.9110186856400464</v>
      </c>
      <c r="BT276" s="590">
        <f t="shared" si="309"/>
        <v>0.91559183255443777</v>
      </c>
      <c r="BU276" s="589">
        <f t="shared" ref="BU276:CD276" si="310">BU275/BU$225</f>
        <v>0.90750762016412667</v>
      </c>
      <c r="BV276" s="589">
        <f t="shared" si="310"/>
        <v>0.9309916392721248</v>
      </c>
      <c r="BW276" s="589">
        <f t="shared" si="310"/>
        <v>0.91290838904058003</v>
      </c>
      <c r="BX276" s="589">
        <f t="shared" si="310"/>
        <v>0.9110186856400464</v>
      </c>
      <c r="BY276" s="590">
        <f t="shared" si="310"/>
        <v>0.91559183255443788</v>
      </c>
      <c r="BZ276" s="589">
        <f t="shared" si="310"/>
        <v>0.90750762016412667</v>
      </c>
      <c r="CA276" s="589">
        <f t="shared" si="310"/>
        <v>0.9309916392721248</v>
      </c>
      <c r="CB276" s="589">
        <f t="shared" si="310"/>
        <v>0.91290838904058003</v>
      </c>
      <c r="CC276" s="589">
        <f t="shared" si="310"/>
        <v>0.9110186856400464</v>
      </c>
      <c r="CD276" s="590">
        <f t="shared" si="310"/>
        <v>0.91559183255443777</v>
      </c>
      <c r="CE276" s="589">
        <f t="shared" ref="CE276:CN276" si="311">CE275/CE$225</f>
        <v>0.90750762016412667</v>
      </c>
      <c r="CF276" s="589">
        <f t="shared" si="311"/>
        <v>0.93099163927212492</v>
      </c>
      <c r="CG276" s="589">
        <f t="shared" si="311"/>
        <v>0.91290838904058003</v>
      </c>
      <c r="CH276" s="589">
        <f t="shared" si="311"/>
        <v>0.9110186856400464</v>
      </c>
      <c r="CI276" s="590">
        <f t="shared" si="311"/>
        <v>0.91559183255443788</v>
      </c>
      <c r="CJ276" s="589">
        <f t="shared" si="311"/>
        <v>0.90750762016412656</v>
      </c>
      <c r="CK276" s="589">
        <f t="shared" si="311"/>
        <v>0.9309916392721248</v>
      </c>
      <c r="CL276" s="589">
        <f t="shared" si="311"/>
        <v>0.91290838904058003</v>
      </c>
      <c r="CM276" s="589">
        <f t="shared" si="311"/>
        <v>0.9110186856400464</v>
      </c>
      <c r="CN276" s="590">
        <f t="shared" si="311"/>
        <v>0.91559183255443766</v>
      </c>
      <c r="CO276" s="589">
        <f t="shared" ref="CO276:CX276" si="312">CO275/CO$225</f>
        <v>0.90750762016412667</v>
      </c>
      <c r="CP276" s="589">
        <f t="shared" si="312"/>
        <v>0.9309916392721248</v>
      </c>
      <c r="CQ276" s="589">
        <f t="shared" si="312"/>
        <v>0.91290838904058003</v>
      </c>
      <c r="CR276" s="589">
        <f t="shared" si="312"/>
        <v>0.9110186856400464</v>
      </c>
      <c r="CS276" s="590">
        <f t="shared" si="312"/>
        <v>0.91559183255443788</v>
      </c>
      <c r="CT276" s="589">
        <f t="shared" si="312"/>
        <v>0.90750762016412667</v>
      </c>
      <c r="CU276" s="589">
        <f t="shared" si="312"/>
        <v>0.9309916392721248</v>
      </c>
      <c r="CV276" s="589">
        <f t="shared" si="312"/>
        <v>0.91290838904057992</v>
      </c>
      <c r="CW276" s="589">
        <f t="shared" si="312"/>
        <v>0.9110186856400464</v>
      </c>
      <c r="CX276" s="590">
        <f t="shared" si="312"/>
        <v>0.91559183255443766</v>
      </c>
      <c r="CY276" s="1733"/>
      <c r="DA276" s="564"/>
      <c r="DB276" s="560"/>
      <c r="DC276" s="560"/>
    </row>
    <row r="277" spans="1:107" ht="12" hidden="1" customHeight="1" outlineLevel="1">
      <c r="A277" s="560"/>
      <c r="B277" s="560"/>
      <c r="C277" s="628"/>
      <c r="D277" s="629"/>
      <c r="E277" s="629"/>
      <c r="F277" s="630"/>
      <c r="G277" s="286"/>
      <c r="H277" s="628"/>
      <c r="I277" s="629"/>
      <c r="J277" s="629"/>
      <c r="K277" s="630"/>
      <c r="L277" s="594"/>
      <c r="M277" s="628"/>
      <c r="N277" s="629"/>
      <c r="O277" s="629"/>
      <c r="P277" s="630"/>
      <c r="Q277" s="286"/>
      <c r="R277" s="575"/>
      <c r="S277" s="575"/>
      <c r="T277" s="575"/>
      <c r="U277" s="575"/>
      <c r="V277" s="286"/>
      <c r="W277" s="575"/>
      <c r="X277" s="575"/>
      <c r="Y277" s="575"/>
      <c r="Z277" s="575"/>
      <c r="AA277" s="286"/>
      <c r="AB277" s="575"/>
      <c r="AC277" s="575"/>
      <c r="AD277" s="575"/>
      <c r="AE277" s="575"/>
      <c r="AF277" s="286"/>
      <c r="AG277" s="576"/>
      <c r="AH277" s="576"/>
      <c r="AI277" s="576"/>
      <c r="AJ277" s="576"/>
      <c r="AK277" s="286"/>
      <c r="AL277" s="576"/>
      <c r="AM277" s="576"/>
      <c r="AN277" s="576"/>
      <c r="AO277" s="576"/>
      <c r="AP277" s="286"/>
      <c r="AQ277" s="576"/>
      <c r="AR277" s="577"/>
      <c r="AS277" s="577"/>
      <c r="AT277" s="577"/>
      <c r="AU277" s="287"/>
      <c r="AV277" s="576"/>
      <c r="AW277" s="576"/>
      <c r="AX277" s="577"/>
      <c r="AY277" s="577"/>
      <c r="AZ277" s="287"/>
      <c r="BA277" s="577"/>
      <c r="BB277" s="577"/>
      <c r="BC277" s="576"/>
      <c r="BD277" s="577"/>
      <c r="BE277" s="287"/>
      <c r="BF277" s="576"/>
      <c r="BG277" s="577"/>
      <c r="BH277" s="577"/>
      <c r="BI277" s="577"/>
      <c r="BJ277" s="287"/>
      <c r="BK277" s="577"/>
      <c r="BL277" s="577"/>
      <c r="BM277" s="577"/>
      <c r="BN277" s="577"/>
      <c r="BO277" s="287"/>
      <c r="BP277" s="577"/>
      <c r="BQ277" s="577"/>
      <c r="BR277" s="577"/>
      <c r="BS277" s="577"/>
      <c r="BT277" s="287"/>
      <c r="BU277" s="577"/>
      <c r="BV277" s="577"/>
      <c r="BW277" s="577"/>
      <c r="BX277" s="577"/>
      <c r="BY277" s="287"/>
      <c r="BZ277" s="577"/>
      <c r="CA277" s="577"/>
      <c r="CB277" s="577"/>
      <c r="CC277" s="577"/>
      <c r="CD277" s="287"/>
      <c r="CE277" s="577"/>
      <c r="CF277" s="577"/>
      <c r="CG277" s="577"/>
      <c r="CH277" s="577"/>
      <c r="CI277" s="287"/>
      <c r="CJ277" s="577"/>
      <c r="CK277" s="577"/>
      <c r="CL277" s="577"/>
      <c r="CM277" s="577"/>
      <c r="CN277" s="287"/>
      <c r="CO277" s="577"/>
      <c r="CP277" s="577"/>
      <c r="CQ277" s="577"/>
      <c r="CR277" s="577"/>
      <c r="CS277" s="287"/>
      <c r="CT277" s="577"/>
      <c r="CU277" s="577"/>
      <c r="CV277" s="577"/>
      <c r="CW277" s="577"/>
      <c r="CX277" s="287"/>
      <c r="CY277" s="1735"/>
      <c r="DA277" s="564"/>
      <c r="DB277" s="560"/>
      <c r="DC277" s="560"/>
    </row>
    <row r="278" spans="1:107" ht="12" hidden="1" customHeight="1" outlineLevel="1">
      <c r="A278" s="553" t="s">
        <v>696</v>
      </c>
      <c r="B278" s="553"/>
      <c r="C278" s="628"/>
      <c r="D278" s="629"/>
      <c r="E278" s="629"/>
      <c r="F278" s="630">
        <f>F229-F260</f>
        <v>359.48200000000003</v>
      </c>
      <c r="G278" s="570">
        <f>SUM(C278:F278)</f>
        <v>359.48200000000003</v>
      </c>
      <c r="H278" s="628">
        <f>H229-H260</f>
        <v>78.540000000000006</v>
      </c>
      <c r="I278" s="629">
        <f>I229-I260</f>
        <v>80.679000000000002</v>
      </c>
      <c r="J278" s="629">
        <f>J229-J260</f>
        <v>48.644000000000005</v>
      </c>
      <c r="K278" s="630">
        <f>K229-K260</f>
        <v>99.676000000000002</v>
      </c>
      <c r="L278" s="573">
        <f>SUM(H278:K278)</f>
        <v>307.53899999999999</v>
      </c>
      <c r="M278" s="628">
        <f>M229-M260</f>
        <v>79.602999999999994</v>
      </c>
      <c r="N278" s="629">
        <f>N229-N260</f>
        <v>88.576000000000008</v>
      </c>
      <c r="O278" s="629">
        <f>O229-O260</f>
        <v>77.765000000000001</v>
      </c>
      <c r="P278" s="630">
        <f>P229-P260</f>
        <v>101.738</v>
      </c>
      <c r="Q278" s="570">
        <f>SUM(M278:P278)</f>
        <v>347.68200000000002</v>
      </c>
      <c r="R278" s="575">
        <f>R229-R260</f>
        <v>152.65900000000002</v>
      </c>
      <c r="S278" s="575">
        <f>S229-S260</f>
        <v>148.577</v>
      </c>
      <c r="T278" s="575">
        <f>T229-T260</f>
        <v>144.548</v>
      </c>
      <c r="U278" s="575">
        <f>U229-U260</f>
        <v>146.19100000000003</v>
      </c>
      <c r="V278" s="570">
        <f>SUM(R278:U278)</f>
        <v>591.97500000000002</v>
      </c>
      <c r="W278" s="575">
        <f>W229-W260</f>
        <v>155.983</v>
      </c>
      <c r="X278" s="575">
        <f>X229-X260</f>
        <v>179.13</v>
      </c>
      <c r="Y278" s="575">
        <f>Y229-Y260</f>
        <v>199.27099999999999</v>
      </c>
      <c r="Z278" s="575">
        <f>Z229-Z260</f>
        <v>186.041</v>
      </c>
      <c r="AA278" s="570">
        <f>SUM(W278:Z278)</f>
        <v>720.42499999999995</v>
      </c>
      <c r="AB278" s="575">
        <f>AB229-AB260</f>
        <v>169.08557200000001</v>
      </c>
      <c r="AC278" s="575">
        <f>AC229-AC260</f>
        <v>194.17692</v>
      </c>
      <c r="AD278" s="575">
        <f>AD229-AD260</f>
        <v>216.00976400000002</v>
      </c>
      <c r="AE278" s="575">
        <f>AE229-AE260</f>
        <v>201.66844400000002</v>
      </c>
      <c r="AF278" s="570">
        <f>SUM(AB278:AE278)</f>
        <v>780.94069999999999</v>
      </c>
      <c r="AG278" s="576">
        <f>AG229-AG260</f>
        <v>181.93607547200003</v>
      </c>
      <c r="AH278" s="576">
        <f>AH229-AH260</f>
        <v>208.93436592</v>
      </c>
      <c r="AI278" s="576">
        <f>AI229-AI260</f>
        <v>232.42650606400002</v>
      </c>
      <c r="AJ278" s="576">
        <f>AJ229-AJ260</f>
        <v>216.99524574400004</v>
      </c>
      <c r="AK278" s="570">
        <f>SUM(AG278:AJ278)</f>
        <v>840.29219320000004</v>
      </c>
      <c r="AL278" s="576">
        <f>AL229-AL260</f>
        <v>195.76321720787203</v>
      </c>
      <c r="AM278" s="576">
        <f>AM229-AM260</f>
        <v>224.81337772992001</v>
      </c>
      <c r="AN278" s="576">
        <f>AN229-AN260</f>
        <v>250.09092052486403</v>
      </c>
      <c r="AO278" s="576">
        <f>AO229-AO260</f>
        <v>233.48688442054404</v>
      </c>
      <c r="AP278" s="570">
        <f>SUM(AL278:AO278)</f>
        <v>904.15439988320009</v>
      </c>
      <c r="AQ278" s="576">
        <f>AQ229-AQ260</f>
        <v>210.64122171567033</v>
      </c>
      <c r="AR278" s="577">
        <f>AR229-AR260</f>
        <v>241.89919443739393</v>
      </c>
      <c r="AS278" s="577">
        <f>AS229-AS260</f>
        <v>269.09783048475373</v>
      </c>
      <c r="AT278" s="577">
        <f>AT229-AT260</f>
        <v>251.23188763650541</v>
      </c>
      <c r="AU278" s="578">
        <f>SUM(AQ278:AT278)</f>
        <v>972.87013427432339</v>
      </c>
      <c r="AV278" s="576">
        <f>AV229-AV260</f>
        <v>226.64995456606127</v>
      </c>
      <c r="AW278" s="576">
        <f>AW229-AW260</f>
        <v>260.28353321463584</v>
      </c>
      <c r="AX278" s="577">
        <f>AX229-AX260</f>
        <v>289.54926560159504</v>
      </c>
      <c r="AY278" s="577">
        <f>AY229-AY260</f>
        <v>270.32551109687984</v>
      </c>
      <c r="AZ278" s="578">
        <f>SUM(AV278:AY278)</f>
        <v>1046.8082644791721</v>
      </c>
      <c r="BA278" s="577">
        <f>BA229-BA260</f>
        <v>243.87535111308193</v>
      </c>
      <c r="BB278" s="577">
        <f>BB229-BB260</f>
        <v>280.06508173894815</v>
      </c>
      <c r="BC278" s="576">
        <f>BC229-BC260</f>
        <v>311.55500978731629</v>
      </c>
      <c r="BD278" s="577">
        <f>BD229-BD260</f>
        <v>290.87024994024273</v>
      </c>
      <c r="BE278" s="578">
        <f>SUM(BA278:BD278)</f>
        <v>1126.365692579589</v>
      </c>
      <c r="BF278" s="576">
        <f>BF229-BF260</f>
        <v>262.40987779767619</v>
      </c>
      <c r="BG278" s="577">
        <f>BG229-BG260</f>
        <v>301.3500279511083</v>
      </c>
      <c r="BH278" s="577">
        <f>BH229-BH260</f>
        <v>335.23319053115233</v>
      </c>
      <c r="BI278" s="577">
        <f>BI229-BI260</f>
        <v>312.97638893570121</v>
      </c>
      <c r="BJ278" s="578">
        <f>SUM(BF278:BI278)</f>
        <v>1211.9694852156381</v>
      </c>
      <c r="BK278" s="577">
        <f>BK229-BK260</f>
        <v>282.35302851029962</v>
      </c>
      <c r="BL278" s="577">
        <f>BL229-BL260</f>
        <v>324.25263007539252</v>
      </c>
      <c r="BM278" s="577">
        <f>BM229-BM260</f>
        <v>360.71091301151995</v>
      </c>
      <c r="BN278" s="577">
        <f>BN229-BN260</f>
        <v>336.76259449481449</v>
      </c>
      <c r="BO278" s="578">
        <f>SUM(BK278:BN278)</f>
        <v>1304.0791660920265</v>
      </c>
      <c r="BP278" s="577">
        <f>BP229-BP260</f>
        <v>303.8118586770824</v>
      </c>
      <c r="BQ278" s="577">
        <f>BQ229-BQ260</f>
        <v>348.89582996112239</v>
      </c>
      <c r="BR278" s="577">
        <f>BR229-BR260</f>
        <v>388.12494240039547</v>
      </c>
      <c r="BS278" s="577">
        <f>BS229-BS260</f>
        <v>362.35655167642039</v>
      </c>
      <c r="BT278" s="578">
        <f>SUM(BP278:BS278)</f>
        <v>1403.1891827150207</v>
      </c>
      <c r="BU278" s="577">
        <f>BU229-BU260</f>
        <v>326.90155993654065</v>
      </c>
      <c r="BV278" s="577">
        <f>BV229-BV260</f>
        <v>375.41191303816771</v>
      </c>
      <c r="BW278" s="577">
        <f>BW229-BW260</f>
        <v>417.62243802282558</v>
      </c>
      <c r="BX278" s="577">
        <f>BX229-BX260</f>
        <v>389.89564960382836</v>
      </c>
      <c r="BY278" s="578">
        <f>SUM(BU278:BX278)</f>
        <v>1509.8315606013623</v>
      </c>
      <c r="BZ278" s="577">
        <f>BZ229-BZ260</f>
        <v>351.74607849171775</v>
      </c>
      <c r="CA278" s="577">
        <f>CA229-CA260</f>
        <v>403.94321842906845</v>
      </c>
      <c r="CB278" s="577">
        <f>CB229-CB260</f>
        <v>449.36174331256035</v>
      </c>
      <c r="CC278" s="577">
        <f>CC229-CC260</f>
        <v>419.52771897371935</v>
      </c>
      <c r="CD278" s="578">
        <f>SUM(BZ278:CC278)</f>
        <v>1624.578759207066</v>
      </c>
      <c r="CE278" s="577">
        <f>CE229-CE260</f>
        <v>378.47878045708836</v>
      </c>
      <c r="CF278" s="577">
        <f>CF229-CF260</f>
        <v>434.64290302967771</v>
      </c>
      <c r="CG278" s="577">
        <f>CG229-CG260</f>
        <v>483.51323580431495</v>
      </c>
      <c r="CH278" s="577">
        <f>CH229-CH260</f>
        <v>451.41182561572202</v>
      </c>
      <c r="CI278" s="578">
        <f>SUM(CE278:CH278)</f>
        <v>1748.0467449068033</v>
      </c>
      <c r="CJ278" s="577">
        <f>CJ229-CJ260</f>
        <v>407.24316777182707</v>
      </c>
      <c r="CK278" s="577">
        <f>CK229-CK260</f>
        <v>467.67576365993324</v>
      </c>
      <c r="CL278" s="577">
        <f>CL229-CL260</f>
        <v>520.26024172544294</v>
      </c>
      <c r="CM278" s="577">
        <f>CM229-CM260</f>
        <v>485.71912436251688</v>
      </c>
      <c r="CN278" s="578">
        <f>SUM(CJ278:CM278)</f>
        <v>1880.89829751972</v>
      </c>
      <c r="CO278" s="577">
        <f>CO229-CO260</f>
        <v>438.19364852248594</v>
      </c>
      <c r="CP278" s="577">
        <f>CP229-CP260</f>
        <v>503.2191216980882</v>
      </c>
      <c r="CQ278" s="577">
        <f>CQ229-CQ260</f>
        <v>559.80002009657665</v>
      </c>
      <c r="CR278" s="577">
        <f>CR229-CR260</f>
        <v>522.63377781406825</v>
      </c>
      <c r="CS278" s="578">
        <f>SUM(CO278:CR278)</f>
        <v>2023.8465681312191</v>
      </c>
      <c r="CT278" s="577">
        <f>CT229-CT260</f>
        <v>471.49636581019496</v>
      </c>
      <c r="CU278" s="577">
        <f>CU229-CU260</f>
        <v>541.46377494714295</v>
      </c>
      <c r="CV278" s="577">
        <f>CV229-CV260</f>
        <v>602.34482162391646</v>
      </c>
      <c r="CW278" s="577">
        <f>CW229-CW260</f>
        <v>562.3539449279375</v>
      </c>
      <c r="CX278" s="578">
        <f>SUM(CT278:CW278)</f>
        <v>2177.6589073091918</v>
      </c>
      <c r="CY278" s="1732"/>
      <c r="DA278" s="564"/>
      <c r="DB278" s="560"/>
      <c r="DC278" s="560"/>
    </row>
    <row r="279" spans="1:107" ht="12" hidden="1" customHeight="1" outlineLevel="1">
      <c r="A279" s="579" t="s">
        <v>363</v>
      </c>
      <c r="B279" s="579"/>
      <c r="C279" s="584"/>
      <c r="D279" s="585"/>
      <c r="E279" s="585"/>
      <c r="F279" s="586">
        <f t="shared" ref="F279:AZ279" si="313">F278/F$229</f>
        <v>0.91399383182179916</v>
      </c>
      <c r="G279" s="587">
        <f t="shared" si="313"/>
        <v>0.91399383182179916</v>
      </c>
      <c r="H279" s="584">
        <f t="shared" si="313"/>
        <v>0.89698492462311563</v>
      </c>
      <c r="I279" s="585">
        <f t="shared" si="313"/>
        <v>0.89513042127569875</v>
      </c>
      <c r="J279" s="585">
        <f t="shared" si="313"/>
        <v>0.75527124802037082</v>
      </c>
      <c r="K279" s="586">
        <f t="shared" si="313"/>
        <v>0.91275880699248191</v>
      </c>
      <c r="L279" s="584">
        <f t="shared" si="313"/>
        <v>0.87543125533731847</v>
      </c>
      <c r="M279" s="584">
        <f t="shared" si="313"/>
        <v>0.92709316003400766</v>
      </c>
      <c r="N279" s="585">
        <f t="shared" si="313"/>
        <v>0.94534510176419739</v>
      </c>
      <c r="O279" s="585">
        <f t="shared" si="313"/>
        <v>0.94768334592605219</v>
      </c>
      <c r="P279" s="586">
        <f t="shared" si="313"/>
        <v>0.95187215808087422</v>
      </c>
      <c r="Q279" s="587">
        <f t="shared" si="313"/>
        <v>0.94350610583446404</v>
      </c>
      <c r="R279" s="588">
        <f t="shared" si="313"/>
        <v>0.96552400227689583</v>
      </c>
      <c r="S279" s="588">
        <f t="shared" si="313"/>
        <v>0.96843937191612506</v>
      </c>
      <c r="T279" s="588">
        <f t="shared" si="313"/>
        <v>0.96112237773862153</v>
      </c>
      <c r="U279" s="588">
        <f t="shared" si="313"/>
        <v>0.96702518918346825</v>
      </c>
      <c r="V279" s="587">
        <f t="shared" si="313"/>
        <v>0.96554395694014028</v>
      </c>
      <c r="W279" s="588">
        <f t="shared" si="313"/>
        <v>0.97069549199711247</v>
      </c>
      <c r="X279" s="588">
        <f t="shared" si="313"/>
        <v>0.97131020870725138</v>
      </c>
      <c r="Y279" s="588">
        <f t="shared" si="313"/>
        <v>0.96589080404056071</v>
      </c>
      <c r="Z279" s="588">
        <f t="shared" si="313"/>
        <v>0.96692896197584255</v>
      </c>
      <c r="AA279" s="587">
        <f t="shared" si="313"/>
        <v>0.96854098746344897</v>
      </c>
      <c r="AB279" s="588">
        <f t="shared" si="313"/>
        <v>0.97069549199711247</v>
      </c>
      <c r="AC279" s="588">
        <f t="shared" si="313"/>
        <v>0.97131020870725138</v>
      </c>
      <c r="AD279" s="588">
        <f t="shared" si="313"/>
        <v>0.96589080404056071</v>
      </c>
      <c r="AE279" s="588">
        <f t="shared" si="313"/>
        <v>0.96692896197584255</v>
      </c>
      <c r="AF279" s="587">
        <f t="shared" si="313"/>
        <v>0.96854098746344908</v>
      </c>
      <c r="AG279" s="588">
        <f t="shared" si="313"/>
        <v>0.97069549199711247</v>
      </c>
      <c r="AH279" s="588">
        <f t="shared" si="313"/>
        <v>0.97131020870725138</v>
      </c>
      <c r="AI279" s="588">
        <f t="shared" si="313"/>
        <v>0.96589080404056071</v>
      </c>
      <c r="AJ279" s="588">
        <f t="shared" si="313"/>
        <v>0.96692896197584255</v>
      </c>
      <c r="AK279" s="587">
        <f t="shared" si="313"/>
        <v>0.96854098746344897</v>
      </c>
      <c r="AL279" s="588">
        <f t="shared" si="313"/>
        <v>0.97069549199711247</v>
      </c>
      <c r="AM279" s="588">
        <f t="shared" si="313"/>
        <v>0.97131020870725138</v>
      </c>
      <c r="AN279" s="588">
        <f t="shared" si="313"/>
        <v>0.96589080404056071</v>
      </c>
      <c r="AO279" s="588">
        <f t="shared" si="313"/>
        <v>0.96692896197584244</v>
      </c>
      <c r="AP279" s="587">
        <f t="shared" si="313"/>
        <v>0.96854098746344897</v>
      </c>
      <c r="AQ279" s="588">
        <f t="shared" si="313"/>
        <v>0.97069549199711258</v>
      </c>
      <c r="AR279" s="589">
        <f t="shared" si="313"/>
        <v>0.97131020870725138</v>
      </c>
      <c r="AS279" s="589">
        <f t="shared" si="313"/>
        <v>0.96589080404056071</v>
      </c>
      <c r="AT279" s="589">
        <f t="shared" si="313"/>
        <v>0.96692896197584244</v>
      </c>
      <c r="AU279" s="590">
        <f t="shared" si="313"/>
        <v>0.96854098746344897</v>
      </c>
      <c r="AV279" s="588">
        <f t="shared" si="313"/>
        <v>0.97069549199711247</v>
      </c>
      <c r="AW279" s="588">
        <f t="shared" si="313"/>
        <v>0.97131020870725127</v>
      </c>
      <c r="AX279" s="589">
        <f t="shared" si="313"/>
        <v>0.96589080404056071</v>
      </c>
      <c r="AY279" s="589">
        <f t="shared" si="313"/>
        <v>0.96692896197584244</v>
      </c>
      <c r="AZ279" s="590">
        <f t="shared" si="313"/>
        <v>0.96854098746344908</v>
      </c>
      <c r="BA279" s="589">
        <f t="shared" ref="BA279:BJ279" si="314">BA278/BA$229</f>
        <v>0.97069549199711247</v>
      </c>
      <c r="BB279" s="589">
        <f t="shared" si="314"/>
        <v>0.97131020870725127</v>
      </c>
      <c r="BC279" s="588">
        <f t="shared" si="314"/>
        <v>0.96589080404056082</v>
      </c>
      <c r="BD279" s="589">
        <f t="shared" si="314"/>
        <v>0.96692896197584244</v>
      </c>
      <c r="BE279" s="590">
        <f t="shared" si="314"/>
        <v>0.96854098746344897</v>
      </c>
      <c r="BF279" s="588">
        <f t="shared" si="314"/>
        <v>0.97069549199711247</v>
      </c>
      <c r="BG279" s="589">
        <f t="shared" si="314"/>
        <v>0.97131020870725138</v>
      </c>
      <c r="BH279" s="589">
        <f t="shared" si="314"/>
        <v>0.96589080404056071</v>
      </c>
      <c r="BI279" s="589">
        <f t="shared" si="314"/>
        <v>0.96692896197584255</v>
      </c>
      <c r="BJ279" s="590">
        <f t="shared" si="314"/>
        <v>0.96854098746344908</v>
      </c>
      <c r="BK279" s="589">
        <f t="shared" ref="BK279:BT279" si="315">BK278/BK$229</f>
        <v>0.97069549199711247</v>
      </c>
      <c r="BL279" s="589">
        <f t="shared" si="315"/>
        <v>0.97131020870725127</v>
      </c>
      <c r="BM279" s="589">
        <f t="shared" si="315"/>
        <v>0.96589080404056071</v>
      </c>
      <c r="BN279" s="589">
        <f t="shared" si="315"/>
        <v>0.96692896197584255</v>
      </c>
      <c r="BO279" s="590">
        <f t="shared" si="315"/>
        <v>0.96854098746344897</v>
      </c>
      <c r="BP279" s="589">
        <f t="shared" si="315"/>
        <v>0.97069549199711247</v>
      </c>
      <c r="BQ279" s="589">
        <f t="shared" si="315"/>
        <v>0.97131020870725138</v>
      </c>
      <c r="BR279" s="589">
        <f t="shared" si="315"/>
        <v>0.96589080404056071</v>
      </c>
      <c r="BS279" s="589">
        <f t="shared" si="315"/>
        <v>0.96692896197584255</v>
      </c>
      <c r="BT279" s="590">
        <f t="shared" si="315"/>
        <v>0.96854098746344919</v>
      </c>
      <c r="BU279" s="589">
        <f t="shared" ref="BU279:CD279" si="316">BU278/BU$229</f>
        <v>0.97069549199711247</v>
      </c>
      <c r="BV279" s="589">
        <f t="shared" si="316"/>
        <v>0.97131020870725138</v>
      </c>
      <c r="BW279" s="589">
        <f t="shared" si="316"/>
        <v>0.96589080404056071</v>
      </c>
      <c r="BX279" s="589">
        <f t="shared" si="316"/>
        <v>0.96692896197584255</v>
      </c>
      <c r="BY279" s="590">
        <f t="shared" si="316"/>
        <v>0.96854098746344897</v>
      </c>
      <c r="BZ279" s="589">
        <f t="shared" si="316"/>
        <v>0.97069549199711247</v>
      </c>
      <c r="CA279" s="589">
        <f t="shared" si="316"/>
        <v>0.97131020870725138</v>
      </c>
      <c r="CB279" s="589">
        <f t="shared" si="316"/>
        <v>0.96589080404056071</v>
      </c>
      <c r="CC279" s="589">
        <f t="shared" si="316"/>
        <v>0.96692896197584255</v>
      </c>
      <c r="CD279" s="590">
        <f t="shared" si="316"/>
        <v>0.96854098746344908</v>
      </c>
      <c r="CE279" s="589">
        <f t="shared" ref="CE279:CN279" si="317">CE278/CE$229</f>
        <v>0.97069549199711247</v>
      </c>
      <c r="CF279" s="589">
        <f t="shared" si="317"/>
        <v>0.97131020870725138</v>
      </c>
      <c r="CG279" s="589">
        <f t="shared" si="317"/>
        <v>0.96589080404056071</v>
      </c>
      <c r="CH279" s="589">
        <f t="shared" si="317"/>
        <v>0.96692896197584255</v>
      </c>
      <c r="CI279" s="590">
        <f t="shared" si="317"/>
        <v>0.96854098746344919</v>
      </c>
      <c r="CJ279" s="589">
        <f t="shared" si="317"/>
        <v>0.97069549199711247</v>
      </c>
      <c r="CK279" s="589">
        <f t="shared" si="317"/>
        <v>0.97131020870725138</v>
      </c>
      <c r="CL279" s="589">
        <f t="shared" si="317"/>
        <v>0.96589080404056071</v>
      </c>
      <c r="CM279" s="589">
        <f t="shared" si="317"/>
        <v>0.96692896197584244</v>
      </c>
      <c r="CN279" s="590">
        <f t="shared" si="317"/>
        <v>0.96854098746344897</v>
      </c>
      <c r="CO279" s="589">
        <f t="shared" ref="CO279:CX279" si="318">CO278/CO$229</f>
        <v>0.97069549199711247</v>
      </c>
      <c r="CP279" s="589">
        <f t="shared" si="318"/>
        <v>0.97131020870725138</v>
      </c>
      <c r="CQ279" s="589">
        <f t="shared" si="318"/>
        <v>0.96589080404056071</v>
      </c>
      <c r="CR279" s="589">
        <f t="shared" si="318"/>
        <v>0.96692896197584255</v>
      </c>
      <c r="CS279" s="590">
        <f t="shared" si="318"/>
        <v>0.96854098746344908</v>
      </c>
      <c r="CT279" s="589">
        <f t="shared" si="318"/>
        <v>0.97069549199711247</v>
      </c>
      <c r="CU279" s="589">
        <f t="shared" si="318"/>
        <v>0.97131020870725138</v>
      </c>
      <c r="CV279" s="589">
        <f t="shared" si="318"/>
        <v>0.96589080404056071</v>
      </c>
      <c r="CW279" s="589">
        <f t="shared" si="318"/>
        <v>0.96692896197584255</v>
      </c>
      <c r="CX279" s="590">
        <f t="shared" si="318"/>
        <v>0.96854098746344919</v>
      </c>
      <c r="CY279" s="1733"/>
      <c r="DA279" s="564"/>
      <c r="DB279" s="560"/>
      <c r="DC279" s="560"/>
    </row>
    <row r="280" spans="1:107" ht="12" hidden="1" customHeight="1" outlineLevel="1">
      <c r="A280" s="579"/>
      <c r="B280" s="579"/>
      <c r="C280" s="631"/>
      <c r="D280" s="632"/>
      <c r="E280" s="632"/>
      <c r="F280" s="633"/>
      <c r="G280" s="626"/>
      <c r="H280" s="631"/>
      <c r="I280" s="632"/>
      <c r="J280" s="632"/>
      <c r="K280" s="633"/>
      <c r="L280" s="600"/>
      <c r="M280" s="631"/>
      <c r="N280" s="632"/>
      <c r="O280" s="632"/>
      <c r="P280" s="633"/>
      <c r="Q280" s="626"/>
      <c r="R280" s="634"/>
      <c r="S280" s="634"/>
      <c r="T280" s="634"/>
      <c r="U280" s="634"/>
      <c r="V280" s="626"/>
      <c r="W280" s="634"/>
      <c r="X280" s="634"/>
      <c r="Y280" s="634"/>
      <c r="Z280" s="634"/>
      <c r="AA280" s="626"/>
      <c r="AB280" s="634"/>
      <c r="AC280" s="634"/>
      <c r="AD280" s="634"/>
      <c r="AE280" s="634"/>
      <c r="AF280" s="626"/>
      <c r="AG280" s="601"/>
      <c r="AH280" s="601"/>
      <c r="AI280" s="601"/>
      <c r="AJ280" s="601"/>
      <c r="AK280" s="626"/>
      <c r="AL280" s="601"/>
      <c r="AM280" s="601"/>
      <c r="AN280" s="601"/>
      <c r="AO280" s="601"/>
      <c r="AP280" s="626"/>
      <c r="AQ280" s="601"/>
      <c r="AR280" s="602"/>
      <c r="AS280" s="602"/>
      <c r="AT280" s="602"/>
      <c r="AU280" s="627"/>
      <c r="AV280" s="601"/>
      <c r="AW280" s="601"/>
      <c r="AX280" s="602"/>
      <c r="AY280" s="602"/>
      <c r="AZ280" s="627"/>
      <c r="BA280" s="602"/>
      <c r="BB280" s="602"/>
      <c r="BC280" s="601"/>
      <c r="BD280" s="602"/>
      <c r="BE280" s="627"/>
      <c r="BF280" s="601"/>
      <c r="BG280" s="602"/>
      <c r="BH280" s="602"/>
      <c r="BI280" s="602"/>
      <c r="BJ280" s="627"/>
      <c r="BK280" s="602"/>
      <c r="BL280" s="602"/>
      <c r="BM280" s="602"/>
      <c r="BN280" s="602"/>
      <c r="BO280" s="627"/>
      <c r="BP280" s="602"/>
      <c r="BQ280" s="602"/>
      <c r="BR280" s="602"/>
      <c r="BS280" s="602"/>
      <c r="BT280" s="627"/>
      <c r="BU280" s="602"/>
      <c r="BV280" s="602"/>
      <c r="BW280" s="602"/>
      <c r="BX280" s="602"/>
      <c r="BY280" s="627"/>
      <c r="BZ280" s="602"/>
      <c r="CA280" s="602"/>
      <c r="CB280" s="602"/>
      <c r="CC280" s="602"/>
      <c r="CD280" s="627"/>
      <c r="CE280" s="602"/>
      <c r="CF280" s="602"/>
      <c r="CG280" s="602"/>
      <c r="CH280" s="602"/>
      <c r="CI280" s="627"/>
      <c r="CJ280" s="602"/>
      <c r="CK280" s="602"/>
      <c r="CL280" s="602"/>
      <c r="CM280" s="602"/>
      <c r="CN280" s="627"/>
      <c r="CO280" s="602"/>
      <c r="CP280" s="602"/>
      <c r="CQ280" s="602"/>
      <c r="CR280" s="602"/>
      <c r="CS280" s="627"/>
      <c r="CT280" s="602"/>
      <c r="CU280" s="602"/>
      <c r="CV280" s="602"/>
      <c r="CW280" s="602"/>
      <c r="CX280" s="627"/>
      <c r="CY280" s="1738"/>
      <c r="DA280" s="564"/>
      <c r="DB280" s="560"/>
      <c r="DC280" s="560"/>
    </row>
    <row r="281" spans="1:107" ht="12" hidden="1" customHeight="1" outlineLevel="1">
      <c r="A281" s="553" t="s">
        <v>697</v>
      </c>
      <c r="B281" s="553"/>
      <c r="C281" s="628"/>
      <c r="D281" s="629"/>
      <c r="E281" s="629"/>
      <c r="F281" s="630">
        <f>F241-F263</f>
        <v>276.05100000000004</v>
      </c>
      <c r="G281" s="570">
        <f>SUM(C281:F281)</f>
        <v>276.05100000000004</v>
      </c>
      <c r="H281" s="628">
        <f>H241-H263</f>
        <v>69.396000000000001</v>
      </c>
      <c r="I281" s="629">
        <f>I241-I263</f>
        <v>69.853999999999999</v>
      </c>
      <c r="J281" s="629">
        <f>J241-J263</f>
        <v>71.367999999999995</v>
      </c>
      <c r="K281" s="630">
        <f>K241-K263</f>
        <v>77.300000000000026</v>
      </c>
      <c r="L281" s="573">
        <f>SUM(H281:K281)</f>
        <v>287.91800000000001</v>
      </c>
      <c r="M281" s="628">
        <f>M241-M263</f>
        <v>84.772000000000006</v>
      </c>
      <c r="N281" s="629">
        <f>N241-N263</f>
        <v>100.126</v>
      </c>
      <c r="O281" s="629">
        <f>O241-O263</f>
        <v>117.6</v>
      </c>
      <c r="P281" s="630">
        <f>P241-P263</f>
        <v>108.10100000000004</v>
      </c>
      <c r="Q281" s="570">
        <f>SUM(M281:P281)</f>
        <v>410.5990000000001</v>
      </c>
      <c r="R281" s="575">
        <f>R241-R263</f>
        <v>121.95699999999999</v>
      </c>
      <c r="S281" s="575">
        <f>S241-S263</f>
        <v>124.767</v>
      </c>
      <c r="T281" s="575">
        <f>T241-T263</f>
        <v>127.22499999999999</v>
      </c>
      <c r="U281" s="575">
        <f>U241-U263</f>
        <v>129.77399999999994</v>
      </c>
      <c r="V281" s="570">
        <f>SUM(R281:U281)</f>
        <v>503.7229999999999</v>
      </c>
      <c r="W281" s="575">
        <f>W241-W263</f>
        <v>173.77200000000002</v>
      </c>
      <c r="X281" s="575">
        <f>X241-X263</f>
        <v>163.447</v>
      </c>
      <c r="Y281" s="575">
        <f>Y241-Y263</f>
        <v>154.98599999999999</v>
      </c>
      <c r="Z281" s="575">
        <f>Z241-Z263</f>
        <v>169.47599999999994</v>
      </c>
      <c r="AA281" s="570">
        <f>SUM(W281:Z281)</f>
        <v>661.68100000000004</v>
      </c>
      <c r="AB281" s="575">
        <f>AB241-AB263</f>
        <v>172.75051392718629</v>
      </c>
      <c r="AC281" s="575">
        <f>AC241-AC263</f>
        <v>173.02919932767182</v>
      </c>
      <c r="AD281" s="575">
        <f>AD241-AD263</f>
        <v>176.94797891053935</v>
      </c>
      <c r="AE281" s="575">
        <f>AE241-AE263</f>
        <v>179.87564910572237</v>
      </c>
      <c r="AF281" s="570">
        <f>SUM(AB281:AE281)</f>
        <v>702.6033412711198</v>
      </c>
      <c r="AG281" s="576">
        <f>AG241-AG263</f>
        <v>183.35109883405192</v>
      </c>
      <c r="AH281" s="576">
        <f>AH241-AH263</f>
        <v>183.64688536021856</v>
      </c>
      <c r="AI281" s="576">
        <f>AI241-AI263</f>
        <v>187.80613517240761</v>
      </c>
      <c r="AJ281" s="576">
        <f>AJ241-AJ263</f>
        <v>190.91345760582604</v>
      </c>
      <c r="AK281" s="570">
        <f>SUM(AG281:AJ281)</f>
        <v>745.71757697250416</v>
      </c>
      <c r="AL281" s="576">
        <f>AL241-AL263</f>
        <v>194.60217326950456</v>
      </c>
      <c r="AM281" s="576">
        <f>AM241-AM263</f>
        <v>194.91611030714384</v>
      </c>
      <c r="AN281" s="576">
        <f>AN241-AN263</f>
        <v>199.33058645574516</v>
      </c>
      <c r="AO281" s="576">
        <f>AO241-AO263</f>
        <v>202.62858522661486</v>
      </c>
      <c r="AP281" s="570">
        <f>SUM(AL281:AO281)</f>
        <v>791.47745525900837</v>
      </c>
      <c r="AQ281" s="576">
        <f>AQ241-AQ263</f>
        <v>206.54365358066275</v>
      </c>
      <c r="AR281" s="577">
        <f>AR241-AR263</f>
        <v>206.87685490960428</v>
      </c>
      <c r="AS281" s="577">
        <f>AS241-AS263</f>
        <v>211.56221898883314</v>
      </c>
      <c r="AT281" s="577">
        <f>AT241-AT263</f>
        <v>215.0625946742403</v>
      </c>
      <c r="AU281" s="578">
        <f>SUM(AQ281:AT281)</f>
        <v>840.04532215334052</v>
      </c>
      <c r="AV281" s="576">
        <f>AV241-AV263</f>
        <v>219.21790552343214</v>
      </c>
      <c r="AW281" s="576">
        <f>AW241-AW263</f>
        <v>219.5715532689905</v>
      </c>
      <c r="AX281" s="577">
        <f>AX241-AX263</f>
        <v>224.54442792409168</v>
      </c>
      <c r="AY281" s="577">
        <f>AY241-AY263</f>
        <v>228.25959909007682</v>
      </c>
      <c r="AZ281" s="578">
        <f>SUM(AV281:AY281)</f>
        <v>891.59348580659116</v>
      </c>
      <c r="BA281" s="577">
        <f>BA241-BA263</f>
        <v>232.66989456692565</v>
      </c>
      <c r="BB281" s="577">
        <f>BB241-BB263</f>
        <v>233.04524339382198</v>
      </c>
      <c r="BC281" s="576">
        <f>BC241-BC263</f>
        <v>238.32327129457326</v>
      </c>
      <c r="BD281" s="577">
        <f>BD241-BD263</f>
        <v>242.26641855448284</v>
      </c>
      <c r="BE281" s="578">
        <f>SUM(BA281:BD281)</f>
        <v>946.30482780980367</v>
      </c>
      <c r="BF281" s="576">
        <f>BF241-BF263</f>
        <v>246.94734542109651</v>
      </c>
      <c r="BG281" s="577">
        <f>BG241-BG263</f>
        <v>247.34572698473414</v>
      </c>
      <c r="BH281" s="577">
        <f>BH241-BH263</f>
        <v>252.94763341777332</v>
      </c>
      <c r="BI281" s="577">
        <f>BI241-BI263</f>
        <v>257.13274619418826</v>
      </c>
      <c r="BJ281" s="578">
        <f>SUM(BF281:BI281)</f>
        <v>1004.3734520177923</v>
      </c>
      <c r="BK281" s="577">
        <f>BK241-BK263</f>
        <v>262.10091135355327</v>
      </c>
      <c r="BL281" s="577">
        <f>BL241-BL263</f>
        <v>262.52373902443924</v>
      </c>
      <c r="BM281" s="577">
        <f>BM241-BM263</f>
        <v>268.46939832647871</v>
      </c>
      <c r="BN281" s="577">
        <f>BN241-BN263</f>
        <v>272.9113244826205</v>
      </c>
      <c r="BO281" s="578">
        <f>SUM(BK281:BN281)</f>
        <v>1066.0053731870919</v>
      </c>
      <c r="BP281" s="577">
        <f>BP241-BP263</f>
        <v>278.18435389625557</v>
      </c>
      <c r="BQ281" s="577">
        <f>BQ241-BQ263</f>
        <v>278.63312777432958</v>
      </c>
      <c r="BR281" s="577">
        <f>BR241-BR263</f>
        <v>284.94363384194878</v>
      </c>
      <c r="BS281" s="577">
        <f>BS241-BS263</f>
        <v>289.65813235864545</v>
      </c>
      <c r="BT281" s="578">
        <f>SUM(BP281:BS281)</f>
        <v>1131.4192478711793</v>
      </c>
      <c r="BU281" s="577">
        <f>BU241-BU263</f>
        <v>295.25473357965126</v>
      </c>
      <c r="BV281" s="577">
        <f>BV241-BV263</f>
        <v>295.73104581631162</v>
      </c>
      <c r="BW281" s="577">
        <f>BW241-BW263</f>
        <v>302.42878694248054</v>
      </c>
      <c r="BX281" s="577">
        <f>BX241-BX263</f>
        <v>307.43258382757801</v>
      </c>
      <c r="BY281" s="578">
        <f>SUM(BU281:BX281)</f>
        <v>1200.8471501660215</v>
      </c>
      <c r="BZ281" s="577">
        <f>BZ241-BZ263</f>
        <v>313.37261237093696</v>
      </c>
      <c r="CA281" s="577">
        <f>CA241-CA263</f>
        <v>313.87815281764495</v>
      </c>
      <c r="CB281" s="577">
        <f>CB241-CB263</f>
        <v>320.98689112048265</v>
      </c>
      <c r="CC281" s="577">
        <f>CC241-CC263</f>
        <v>326.29773874905607</v>
      </c>
      <c r="CD281" s="578">
        <f>SUM(BZ281:CC281)</f>
        <v>1274.5353950581207</v>
      </c>
      <c r="CE281" s="577">
        <f>CE241-CE263</f>
        <v>332.60226853464928</v>
      </c>
      <c r="CF281" s="577">
        <f>CF241-CF263</f>
        <v>333.13883073815185</v>
      </c>
      <c r="CG281" s="577">
        <f>CG241-CG263</f>
        <v>340.68378646371559</v>
      </c>
      <c r="CH281" s="577">
        <f>CH241-CH263</f>
        <v>346.32052655960661</v>
      </c>
      <c r="CI281" s="578">
        <f>SUM(CE281:CH281)</f>
        <v>1352.7454122961235</v>
      </c>
      <c r="CJ281" s="577">
        <f>CJ241-CJ263</f>
        <v>353.01192467786495</v>
      </c>
      <c r="CK281" s="577">
        <f>CK241-CK263</f>
        <v>353.58141224330564</v>
      </c>
      <c r="CL281" s="577">
        <f>CL241-CL263</f>
        <v>361.58935324149837</v>
      </c>
      <c r="CM281" s="577">
        <f>CM241-CM263</f>
        <v>367.57198372362359</v>
      </c>
      <c r="CN281" s="578">
        <f>SUM(CJ281:CM281)</f>
        <v>1435.7546738862925</v>
      </c>
      <c r="CO281" s="577">
        <f>CO241-CO263</f>
        <v>374.67398978906368</v>
      </c>
      <c r="CP281" s="577">
        <f>CP241-CP263</f>
        <v>375.27842313355654</v>
      </c>
      <c r="CQ281" s="577">
        <f>CQ241-CQ263</f>
        <v>383.77775982459394</v>
      </c>
      <c r="CR281" s="577">
        <f>CR241-CR263</f>
        <v>390.1275057551797</v>
      </c>
      <c r="CS281" s="578">
        <f>SUM(CO281:CR281)</f>
        <v>1523.8576785023938</v>
      </c>
      <c r="CT281" s="577">
        <f>CT241-CT263</f>
        <v>397.66531612935552</v>
      </c>
      <c r="CU281" s="577">
        <f>CU241-CU263</f>
        <v>398.30683964998258</v>
      </c>
      <c r="CV281" s="577">
        <f>CV241-CV263</f>
        <v>407.32772581833939</v>
      </c>
      <c r="CW281" s="577">
        <f>CW241-CW263</f>
        <v>414.06711470479252</v>
      </c>
      <c r="CX281" s="578">
        <f>SUM(CT281:CW281)</f>
        <v>1617.3669963024699</v>
      </c>
      <c r="CY281" s="1732"/>
      <c r="DA281" s="564"/>
      <c r="DB281" s="560"/>
      <c r="DC281" s="560"/>
    </row>
    <row r="282" spans="1:107" ht="12" hidden="1" customHeight="1" outlineLevel="1">
      <c r="A282" s="579" t="s">
        <v>363</v>
      </c>
      <c r="B282" s="579"/>
      <c r="C282" s="584"/>
      <c r="D282" s="585"/>
      <c r="E282" s="585"/>
      <c r="F282" s="586">
        <f t="shared" ref="F282:AZ282" si="319">F281/F$241</f>
        <v>0.94574936790390773</v>
      </c>
      <c r="G282" s="587">
        <f t="shared" si="319"/>
        <v>0.94574936790390773</v>
      </c>
      <c r="H282" s="584">
        <f t="shared" si="319"/>
        <v>0.93789785244151314</v>
      </c>
      <c r="I282" s="585">
        <f t="shared" si="319"/>
        <v>0.92410472146154976</v>
      </c>
      <c r="J282" s="585">
        <f t="shared" si="319"/>
        <v>0.90845213849287165</v>
      </c>
      <c r="K282" s="586">
        <f t="shared" si="319"/>
        <v>0.91524781548225154</v>
      </c>
      <c r="L282" s="584">
        <f t="shared" si="319"/>
        <v>0.92104286628278942</v>
      </c>
      <c r="M282" s="584">
        <f t="shared" si="319"/>
        <v>0.93274943884512129</v>
      </c>
      <c r="N282" s="585">
        <f t="shared" si="319"/>
        <v>0.92625210457177753</v>
      </c>
      <c r="O282" s="585">
        <f t="shared" si="319"/>
        <v>0.92631976936528193</v>
      </c>
      <c r="P282" s="586">
        <f t="shared" si="319"/>
        <v>0.91483869875765889</v>
      </c>
      <c r="Q282" s="587">
        <f t="shared" si="319"/>
        <v>0.92456428732267526</v>
      </c>
      <c r="R282" s="588">
        <f t="shared" si="319"/>
        <v>0.93603548978824325</v>
      </c>
      <c r="S282" s="588">
        <f t="shared" si="319"/>
        <v>0.91683812939067044</v>
      </c>
      <c r="T282" s="588">
        <f t="shared" si="319"/>
        <v>0.93859739723197677</v>
      </c>
      <c r="U282" s="588">
        <f t="shared" si="319"/>
        <v>0.92777225705441202</v>
      </c>
      <c r="V282" s="587">
        <f t="shared" si="319"/>
        <v>0.92972129937246206</v>
      </c>
      <c r="W282" s="588">
        <f t="shared" si="319"/>
        <v>0.9399025329532732</v>
      </c>
      <c r="X282" s="588">
        <f t="shared" si="319"/>
        <v>0.92750621375310682</v>
      </c>
      <c r="Y282" s="588">
        <f t="shared" si="319"/>
        <v>0.93449502562556519</v>
      </c>
      <c r="Z282" s="588">
        <f t="shared" si="319"/>
        <v>0.93591782637508292</v>
      </c>
      <c r="AA282" s="587">
        <f t="shared" si="319"/>
        <v>0.93453148502545791</v>
      </c>
      <c r="AB282" s="588">
        <f t="shared" si="319"/>
        <v>0.93990253295327308</v>
      </c>
      <c r="AC282" s="588">
        <f t="shared" si="319"/>
        <v>0.92750621375310693</v>
      </c>
      <c r="AD282" s="588">
        <f t="shared" si="319"/>
        <v>0.93449502562556519</v>
      </c>
      <c r="AE282" s="588">
        <f t="shared" si="319"/>
        <v>0.93591782637508281</v>
      </c>
      <c r="AF282" s="587">
        <f t="shared" si="319"/>
        <v>0.93444654128630034</v>
      </c>
      <c r="AG282" s="588">
        <f t="shared" si="319"/>
        <v>0.93990253295327308</v>
      </c>
      <c r="AH282" s="588">
        <f t="shared" si="319"/>
        <v>0.92750621375310682</v>
      </c>
      <c r="AI282" s="588">
        <f t="shared" si="319"/>
        <v>0.93449502562556519</v>
      </c>
      <c r="AJ282" s="588">
        <f t="shared" si="319"/>
        <v>0.93591782637508281</v>
      </c>
      <c r="AK282" s="587">
        <f t="shared" si="319"/>
        <v>0.93444654128630045</v>
      </c>
      <c r="AL282" s="588">
        <f t="shared" si="319"/>
        <v>0.93990253295327308</v>
      </c>
      <c r="AM282" s="588">
        <f t="shared" si="319"/>
        <v>0.92750621375310682</v>
      </c>
      <c r="AN282" s="588">
        <f t="shared" si="319"/>
        <v>0.9344950256255653</v>
      </c>
      <c r="AO282" s="588">
        <f t="shared" si="319"/>
        <v>0.93591782637508292</v>
      </c>
      <c r="AP282" s="587">
        <f t="shared" si="319"/>
        <v>0.93444654128630034</v>
      </c>
      <c r="AQ282" s="588">
        <f t="shared" si="319"/>
        <v>0.93990253295327308</v>
      </c>
      <c r="AR282" s="589">
        <f t="shared" si="319"/>
        <v>0.92750621375310682</v>
      </c>
      <c r="AS282" s="589">
        <f t="shared" si="319"/>
        <v>0.93449502562556519</v>
      </c>
      <c r="AT282" s="589">
        <f t="shared" si="319"/>
        <v>0.93591782637508292</v>
      </c>
      <c r="AU282" s="590">
        <f t="shared" si="319"/>
        <v>0.93444654128630056</v>
      </c>
      <c r="AV282" s="588">
        <f t="shared" si="319"/>
        <v>0.9399025329532732</v>
      </c>
      <c r="AW282" s="588">
        <f t="shared" si="319"/>
        <v>0.92750621375310693</v>
      </c>
      <c r="AX282" s="589">
        <f t="shared" si="319"/>
        <v>0.9344950256255653</v>
      </c>
      <c r="AY282" s="589">
        <f t="shared" si="319"/>
        <v>0.93591782637508292</v>
      </c>
      <c r="AZ282" s="590">
        <f t="shared" si="319"/>
        <v>0.93444654128630056</v>
      </c>
      <c r="BA282" s="589">
        <f t="shared" ref="BA282:BJ282" si="320">BA281/BA$241</f>
        <v>0.9399025329532732</v>
      </c>
      <c r="BB282" s="589">
        <f t="shared" si="320"/>
        <v>0.92750621375310682</v>
      </c>
      <c r="BC282" s="588">
        <f t="shared" si="320"/>
        <v>0.9344950256255653</v>
      </c>
      <c r="BD282" s="589">
        <f t="shared" si="320"/>
        <v>0.93591782637508281</v>
      </c>
      <c r="BE282" s="590">
        <f t="shared" si="320"/>
        <v>0.93444654128630045</v>
      </c>
      <c r="BF282" s="588">
        <f t="shared" si="320"/>
        <v>0.9399025329532732</v>
      </c>
      <c r="BG282" s="589">
        <f t="shared" si="320"/>
        <v>0.92750621375310693</v>
      </c>
      <c r="BH282" s="589">
        <f t="shared" si="320"/>
        <v>0.9344950256255653</v>
      </c>
      <c r="BI282" s="589">
        <f t="shared" si="320"/>
        <v>0.93591782637508292</v>
      </c>
      <c r="BJ282" s="590">
        <f t="shared" si="320"/>
        <v>0.93444654128630056</v>
      </c>
      <c r="BK282" s="589">
        <f t="shared" ref="BK282:BT282" si="321">BK281/BK$241</f>
        <v>0.93990253295327308</v>
      </c>
      <c r="BL282" s="589">
        <f t="shared" si="321"/>
        <v>0.92750621375310693</v>
      </c>
      <c r="BM282" s="589">
        <f t="shared" si="321"/>
        <v>0.9344950256255653</v>
      </c>
      <c r="BN282" s="589">
        <f t="shared" si="321"/>
        <v>0.93591782637508292</v>
      </c>
      <c r="BO282" s="590">
        <f t="shared" si="321"/>
        <v>0.93444654128630067</v>
      </c>
      <c r="BP282" s="589">
        <f t="shared" si="321"/>
        <v>0.9399025329532732</v>
      </c>
      <c r="BQ282" s="589">
        <f t="shared" si="321"/>
        <v>0.92750621375310682</v>
      </c>
      <c r="BR282" s="589">
        <f t="shared" si="321"/>
        <v>0.9344950256255653</v>
      </c>
      <c r="BS282" s="589">
        <f t="shared" si="321"/>
        <v>0.93591782637508281</v>
      </c>
      <c r="BT282" s="590">
        <f t="shared" si="321"/>
        <v>0.93444654128630034</v>
      </c>
      <c r="BU282" s="589">
        <f t="shared" ref="BU282:CD282" si="322">BU281/BU$241</f>
        <v>0.9399025329532732</v>
      </c>
      <c r="BV282" s="589">
        <f t="shared" si="322"/>
        <v>0.92750621375310682</v>
      </c>
      <c r="BW282" s="589">
        <f t="shared" si="322"/>
        <v>0.9344950256255653</v>
      </c>
      <c r="BX282" s="589">
        <f t="shared" si="322"/>
        <v>0.93591782637508281</v>
      </c>
      <c r="BY282" s="590">
        <f t="shared" si="322"/>
        <v>0.93444654128630045</v>
      </c>
      <c r="BZ282" s="589">
        <f t="shared" si="322"/>
        <v>0.9399025329532732</v>
      </c>
      <c r="CA282" s="589">
        <f t="shared" si="322"/>
        <v>0.92750621375310682</v>
      </c>
      <c r="CB282" s="589">
        <f t="shared" si="322"/>
        <v>0.9344950256255653</v>
      </c>
      <c r="CC282" s="589">
        <f t="shared" si="322"/>
        <v>0.93591782637508281</v>
      </c>
      <c r="CD282" s="590">
        <f t="shared" si="322"/>
        <v>0.93444654128630045</v>
      </c>
      <c r="CE282" s="589">
        <f t="shared" ref="CE282:CN282" si="323">CE281/CE$241</f>
        <v>0.93990253295327308</v>
      </c>
      <c r="CF282" s="589">
        <f t="shared" si="323"/>
        <v>0.92750621375310682</v>
      </c>
      <c r="CG282" s="589">
        <f t="shared" si="323"/>
        <v>0.93449502562556519</v>
      </c>
      <c r="CH282" s="589">
        <f t="shared" si="323"/>
        <v>0.9359178263750827</v>
      </c>
      <c r="CI282" s="590">
        <f t="shared" si="323"/>
        <v>0.93444654128630067</v>
      </c>
      <c r="CJ282" s="589">
        <f t="shared" si="323"/>
        <v>0.9399025329532732</v>
      </c>
      <c r="CK282" s="589">
        <f t="shared" si="323"/>
        <v>0.92750621375310693</v>
      </c>
      <c r="CL282" s="589">
        <f t="shared" si="323"/>
        <v>0.93449502562556519</v>
      </c>
      <c r="CM282" s="589">
        <f t="shared" si="323"/>
        <v>0.93591782637508281</v>
      </c>
      <c r="CN282" s="590">
        <f t="shared" si="323"/>
        <v>0.93444654128630045</v>
      </c>
      <c r="CO282" s="589">
        <f t="shared" ref="CO282:CX282" si="324">CO281/CO$241</f>
        <v>0.9399025329532732</v>
      </c>
      <c r="CP282" s="589">
        <f t="shared" si="324"/>
        <v>0.92750621375310682</v>
      </c>
      <c r="CQ282" s="589">
        <f t="shared" si="324"/>
        <v>0.9344950256255653</v>
      </c>
      <c r="CR282" s="589">
        <f t="shared" si="324"/>
        <v>0.93591782637508281</v>
      </c>
      <c r="CS282" s="590">
        <f t="shared" si="324"/>
        <v>0.93444654128630045</v>
      </c>
      <c r="CT282" s="589">
        <f t="shared" si="324"/>
        <v>0.9399025329532732</v>
      </c>
      <c r="CU282" s="589">
        <f t="shared" si="324"/>
        <v>0.92750621375310682</v>
      </c>
      <c r="CV282" s="589">
        <f t="shared" si="324"/>
        <v>0.9344950256255653</v>
      </c>
      <c r="CW282" s="589">
        <f t="shared" si="324"/>
        <v>0.93591782637508281</v>
      </c>
      <c r="CX282" s="590">
        <f t="shared" si="324"/>
        <v>0.93444654128630045</v>
      </c>
      <c r="CY282" s="1733"/>
      <c r="DA282" s="564"/>
      <c r="DB282" s="560"/>
      <c r="DC282" s="560"/>
    </row>
    <row r="283" spans="1:107" ht="12" hidden="1" customHeight="1" outlineLevel="1">
      <c r="A283" s="560"/>
      <c r="B283" s="560"/>
      <c r="C283" s="628"/>
      <c r="D283" s="629"/>
      <c r="E283" s="629"/>
      <c r="F283" s="630"/>
      <c r="G283" s="286"/>
      <c r="H283" s="628"/>
      <c r="I283" s="629"/>
      <c r="J283" s="629"/>
      <c r="K283" s="630"/>
      <c r="L283" s="594"/>
      <c r="M283" s="628"/>
      <c r="N283" s="629"/>
      <c r="O283" s="629"/>
      <c r="P283" s="630"/>
      <c r="Q283" s="286"/>
      <c r="R283" s="575"/>
      <c r="S283" s="575"/>
      <c r="T283" s="575"/>
      <c r="U283" s="575"/>
      <c r="V283" s="286"/>
      <c r="W283" s="575"/>
      <c r="X283" s="575"/>
      <c r="Y283" s="575"/>
      <c r="Z283" s="575"/>
      <c r="AA283" s="286"/>
      <c r="AB283" s="575"/>
      <c r="AC283" s="575"/>
      <c r="AD283" s="575"/>
      <c r="AE283" s="575"/>
      <c r="AF283" s="286"/>
      <c r="AG283" s="576"/>
      <c r="AH283" s="576"/>
      <c r="AI283" s="576"/>
      <c r="AJ283" s="576"/>
      <c r="AK283" s="286"/>
      <c r="AL283" s="576"/>
      <c r="AM283" s="576"/>
      <c r="AN283" s="576"/>
      <c r="AO283" s="576"/>
      <c r="AP283" s="286"/>
      <c r="AQ283" s="576"/>
      <c r="AR283" s="577"/>
      <c r="AS283" s="577"/>
      <c r="AT283" s="577"/>
      <c r="AU283" s="287"/>
      <c r="AV283" s="576"/>
      <c r="AW283" s="576"/>
      <c r="AX283" s="577"/>
      <c r="AY283" s="577"/>
      <c r="AZ283" s="287"/>
      <c r="BA283" s="577"/>
      <c r="BB283" s="577"/>
      <c r="BC283" s="576"/>
      <c r="BD283" s="577"/>
      <c r="BE283" s="287"/>
      <c r="BF283" s="576"/>
      <c r="BG283" s="577"/>
      <c r="BH283" s="577"/>
      <c r="BI283" s="577"/>
      <c r="BJ283" s="287"/>
      <c r="BK283" s="577"/>
      <c r="BL283" s="577"/>
      <c r="BM283" s="577"/>
      <c r="BN283" s="577"/>
      <c r="BO283" s="287"/>
      <c r="BP283" s="577"/>
      <c r="BQ283" s="577"/>
      <c r="BR283" s="577"/>
      <c r="BS283" s="577"/>
      <c r="BT283" s="287"/>
      <c r="BU283" s="577"/>
      <c r="BV283" s="577"/>
      <c r="BW283" s="577"/>
      <c r="BX283" s="577"/>
      <c r="BY283" s="287"/>
      <c r="BZ283" s="577"/>
      <c r="CA283" s="577"/>
      <c r="CB283" s="577"/>
      <c r="CC283" s="577"/>
      <c r="CD283" s="287"/>
      <c r="CE283" s="577"/>
      <c r="CF283" s="577"/>
      <c r="CG283" s="577"/>
      <c r="CH283" s="577"/>
      <c r="CI283" s="287"/>
      <c r="CJ283" s="577"/>
      <c r="CK283" s="577"/>
      <c r="CL283" s="577"/>
      <c r="CM283" s="577"/>
      <c r="CN283" s="287"/>
      <c r="CO283" s="577"/>
      <c r="CP283" s="577"/>
      <c r="CQ283" s="577"/>
      <c r="CR283" s="577"/>
      <c r="CS283" s="287"/>
      <c r="CT283" s="577"/>
      <c r="CU283" s="577"/>
      <c r="CV283" s="577"/>
      <c r="CW283" s="577"/>
      <c r="CX283" s="287"/>
      <c r="CY283" s="1735"/>
      <c r="DA283" s="564"/>
      <c r="DB283" s="560"/>
      <c r="DC283" s="560"/>
    </row>
    <row r="284" spans="1:107" ht="12" hidden="1" customHeight="1" outlineLevel="1">
      <c r="A284" s="553" t="s">
        <v>698</v>
      </c>
      <c r="B284" s="553"/>
      <c r="C284" s="628"/>
      <c r="D284" s="629"/>
      <c r="E284" s="629"/>
      <c r="F284" s="630">
        <f>F245-F266</f>
        <v>99.564999999999998</v>
      </c>
      <c r="G284" s="570">
        <f>SUM(C284:F284)</f>
        <v>99.564999999999998</v>
      </c>
      <c r="H284" s="628">
        <f>H245-H266</f>
        <v>20.751000000000001</v>
      </c>
      <c r="I284" s="629">
        <f>I245-I266</f>
        <v>19.655000000000001</v>
      </c>
      <c r="J284" s="629">
        <f>J245-J266</f>
        <v>22.464000000000002</v>
      </c>
      <c r="K284" s="630">
        <f>K245-K266</f>
        <v>20.357999999999997</v>
      </c>
      <c r="L284" s="573">
        <f>SUM(H284:K284)</f>
        <v>83.228000000000009</v>
      </c>
      <c r="M284" s="628">
        <f>M245-M266</f>
        <v>22.514000000000003</v>
      </c>
      <c r="N284" s="629">
        <f>N245-N266</f>
        <v>21.432000000000002</v>
      </c>
      <c r="O284" s="629">
        <f>O245-O266</f>
        <v>20.318999999999999</v>
      </c>
      <c r="P284" s="630">
        <f>P245-P266</f>
        <v>20.233000000000008</v>
      </c>
      <c r="Q284" s="570">
        <f>SUM(M284:P284)</f>
        <v>84.498000000000005</v>
      </c>
      <c r="R284" s="575">
        <f>R245-R266</f>
        <v>20.242000000000001</v>
      </c>
      <c r="S284" s="575">
        <f>S245-S266</f>
        <v>19.036000000000001</v>
      </c>
      <c r="T284" s="575">
        <f>T245-T266</f>
        <v>17.906000000000002</v>
      </c>
      <c r="U284" s="575">
        <f>U245-U266</f>
        <v>19.288999999999994</v>
      </c>
      <c r="V284" s="570">
        <f>SUM(R284:U284)</f>
        <v>76.473000000000013</v>
      </c>
      <c r="W284" s="575">
        <f>W245-W266</f>
        <v>19.395</v>
      </c>
      <c r="X284" s="575">
        <f>X245-X266</f>
        <v>18.116999999999997</v>
      </c>
      <c r="Y284" s="575">
        <f>Y245-Y266</f>
        <v>18.038</v>
      </c>
      <c r="Z284" s="575">
        <f>Z245-Z266</f>
        <v>19.677000000000003</v>
      </c>
      <c r="AA284" s="570">
        <f>SUM(W284:Z284)</f>
        <v>75.227000000000004</v>
      </c>
      <c r="AB284" s="575">
        <f>AB245-AB266</f>
        <v>21.035079342788936</v>
      </c>
      <c r="AC284" s="575">
        <f>AC245-AC266</f>
        <v>20.639267203776878</v>
      </c>
      <c r="AD284" s="575">
        <f>AD245-AD266</f>
        <v>20.756976985278875</v>
      </c>
      <c r="AE284" s="575">
        <f>AE245-AE266</f>
        <v>19.677000000000003</v>
      </c>
      <c r="AF284" s="570">
        <f>SUM(AB284:AE284)</f>
        <v>82.10832353184469</v>
      </c>
      <c r="AG284" s="576">
        <f>AG245-AG266</f>
        <v>21.035079342788936</v>
      </c>
      <c r="AH284" s="576">
        <f>AH245-AH266</f>
        <v>20.639267203776878</v>
      </c>
      <c r="AI284" s="576">
        <f>AI245-AI266</f>
        <v>20.756976985278875</v>
      </c>
      <c r="AJ284" s="576">
        <f>AJ245-AJ266</f>
        <v>19.677000000000003</v>
      </c>
      <c r="AK284" s="570">
        <f>SUM(AG284:AJ284)</f>
        <v>82.10832353184469</v>
      </c>
      <c r="AL284" s="576">
        <f>AL245-AL266</f>
        <v>21.035079342788936</v>
      </c>
      <c r="AM284" s="576">
        <f>AM245-AM266</f>
        <v>20.639267203776878</v>
      </c>
      <c r="AN284" s="576">
        <f>AN245-AN266</f>
        <v>20.756976985278875</v>
      </c>
      <c r="AO284" s="576">
        <f>AO245-AO266</f>
        <v>19.677000000000003</v>
      </c>
      <c r="AP284" s="570">
        <f>SUM(AL284:AO284)</f>
        <v>82.10832353184469</v>
      </c>
      <c r="AQ284" s="576">
        <f>AQ245-AQ266</f>
        <v>21.035079342788936</v>
      </c>
      <c r="AR284" s="577">
        <f>AR245-AR266</f>
        <v>20.639267203776878</v>
      </c>
      <c r="AS284" s="577">
        <f>AS245-AS266</f>
        <v>20.756976985278875</v>
      </c>
      <c r="AT284" s="577">
        <f>AT245-AT266</f>
        <v>19.677000000000003</v>
      </c>
      <c r="AU284" s="578">
        <f>SUM(AQ284:AT284)</f>
        <v>82.10832353184469</v>
      </c>
      <c r="AV284" s="576">
        <f>AV245-AV266</f>
        <v>21.035079342788936</v>
      </c>
      <c r="AW284" s="576">
        <f>AW245-AW266</f>
        <v>20.639267203776878</v>
      </c>
      <c r="AX284" s="577">
        <f>AX245-AX266</f>
        <v>20.756976985278875</v>
      </c>
      <c r="AY284" s="577">
        <f>AY245-AY266</f>
        <v>19.677000000000003</v>
      </c>
      <c r="AZ284" s="578">
        <f>SUM(AV284:AY284)</f>
        <v>82.10832353184469</v>
      </c>
      <c r="BA284" s="577">
        <f>BA245-BA266</f>
        <v>21.035079342788936</v>
      </c>
      <c r="BB284" s="577">
        <f>BB245-BB266</f>
        <v>20.639267203776878</v>
      </c>
      <c r="BC284" s="576">
        <f>BC245-BC266</f>
        <v>20.756976985278875</v>
      </c>
      <c r="BD284" s="577">
        <f>BD245-BD266</f>
        <v>19.677000000000003</v>
      </c>
      <c r="BE284" s="578">
        <f>SUM(BA284:BD284)</f>
        <v>82.10832353184469</v>
      </c>
      <c r="BF284" s="576">
        <f>BF245-BF266</f>
        <v>21.035079342788936</v>
      </c>
      <c r="BG284" s="577">
        <f>BG245-BG266</f>
        <v>20.639267203776878</v>
      </c>
      <c r="BH284" s="577">
        <f>BH245-BH266</f>
        <v>20.756976985278875</v>
      </c>
      <c r="BI284" s="577">
        <f>BI245-BI266</f>
        <v>19.677000000000003</v>
      </c>
      <c r="BJ284" s="578">
        <f>SUM(BF284:BI284)</f>
        <v>82.10832353184469</v>
      </c>
      <c r="BK284" s="577">
        <f>BK245-BK266</f>
        <v>21.035079342788936</v>
      </c>
      <c r="BL284" s="577">
        <f>BL245-BL266</f>
        <v>20.639267203776878</v>
      </c>
      <c r="BM284" s="577">
        <f>BM245-BM266</f>
        <v>20.756976985278875</v>
      </c>
      <c r="BN284" s="577">
        <f>BN245-BN266</f>
        <v>19.677000000000003</v>
      </c>
      <c r="BO284" s="578">
        <f>SUM(BK284:BN284)</f>
        <v>82.10832353184469</v>
      </c>
      <c r="BP284" s="577">
        <f>BP245-BP266</f>
        <v>21.035079342788936</v>
      </c>
      <c r="BQ284" s="577">
        <f>BQ245-BQ266</f>
        <v>20.639267203776878</v>
      </c>
      <c r="BR284" s="577">
        <f>BR245-BR266</f>
        <v>20.756976985278875</v>
      </c>
      <c r="BS284" s="577">
        <f>BS245-BS266</f>
        <v>19.677000000000003</v>
      </c>
      <c r="BT284" s="578">
        <f>SUM(BP284:BS284)</f>
        <v>82.10832353184469</v>
      </c>
      <c r="BU284" s="577">
        <f>BU245-BU266</f>
        <v>21.035079342788936</v>
      </c>
      <c r="BV284" s="577">
        <f>BV245-BV266</f>
        <v>20.639267203776878</v>
      </c>
      <c r="BW284" s="577">
        <f>BW245-BW266</f>
        <v>20.756976985278875</v>
      </c>
      <c r="BX284" s="577">
        <f>BX245-BX266</f>
        <v>19.677000000000003</v>
      </c>
      <c r="BY284" s="578">
        <f>SUM(BU284:BX284)</f>
        <v>82.10832353184469</v>
      </c>
      <c r="BZ284" s="577">
        <f>BZ245-BZ266</f>
        <v>21.035079342788936</v>
      </c>
      <c r="CA284" s="577">
        <f>CA245-CA266</f>
        <v>20.639267203776878</v>
      </c>
      <c r="CB284" s="577">
        <f>CB245-CB266</f>
        <v>20.756976985278875</v>
      </c>
      <c r="CC284" s="577">
        <f>CC245-CC266</f>
        <v>19.677000000000003</v>
      </c>
      <c r="CD284" s="578">
        <f>SUM(BZ284:CC284)</f>
        <v>82.10832353184469</v>
      </c>
      <c r="CE284" s="577">
        <f>CE245-CE266</f>
        <v>21.035079342788936</v>
      </c>
      <c r="CF284" s="577">
        <f>CF245-CF266</f>
        <v>20.639267203776878</v>
      </c>
      <c r="CG284" s="577">
        <f>CG245-CG266</f>
        <v>20.756976985278875</v>
      </c>
      <c r="CH284" s="577">
        <f>CH245-CH266</f>
        <v>19.677000000000003</v>
      </c>
      <c r="CI284" s="578">
        <f>SUM(CE284:CH284)</f>
        <v>82.10832353184469</v>
      </c>
      <c r="CJ284" s="577">
        <f>CJ245-CJ266</f>
        <v>21.035079342788936</v>
      </c>
      <c r="CK284" s="577">
        <f>CK245-CK266</f>
        <v>20.639267203776878</v>
      </c>
      <c r="CL284" s="577">
        <f>CL245-CL266</f>
        <v>20.756976985278875</v>
      </c>
      <c r="CM284" s="577">
        <f>CM245-CM266</f>
        <v>19.677000000000003</v>
      </c>
      <c r="CN284" s="578">
        <f>SUM(CJ284:CM284)</f>
        <v>82.10832353184469</v>
      </c>
      <c r="CO284" s="577">
        <f>CO245-CO266</f>
        <v>21.035079342788936</v>
      </c>
      <c r="CP284" s="577">
        <f>CP245-CP266</f>
        <v>20.639267203776878</v>
      </c>
      <c r="CQ284" s="577">
        <f>CQ245-CQ266</f>
        <v>20.756976985278875</v>
      </c>
      <c r="CR284" s="577">
        <f>CR245-CR266</f>
        <v>19.677000000000003</v>
      </c>
      <c r="CS284" s="578">
        <f>SUM(CO284:CR284)</f>
        <v>82.10832353184469</v>
      </c>
      <c r="CT284" s="577">
        <f>CT245-CT266</f>
        <v>21.035079342788936</v>
      </c>
      <c r="CU284" s="577">
        <f>CU245-CU266</f>
        <v>20.639267203776878</v>
      </c>
      <c r="CV284" s="577">
        <f>CV245-CV266</f>
        <v>20.756976985278875</v>
      </c>
      <c r="CW284" s="577">
        <f>CW245-CW266</f>
        <v>19.677000000000003</v>
      </c>
      <c r="CX284" s="578">
        <f>SUM(CT284:CW284)</f>
        <v>82.10832353184469</v>
      </c>
      <c r="CY284" s="1732"/>
      <c r="DA284" s="564"/>
      <c r="DB284" s="560"/>
      <c r="DC284" s="560"/>
    </row>
    <row r="285" spans="1:107" ht="12" hidden="1" customHeight="1" outlineLevel="1">
      <c r="A285" s="579" t="s">
        <v>363</v>
      </c>
      <c r="B285" s="579"/>
      <c r="C285" s="584"/>
      <c r="D285" s="585"/>
      <c r="E285" s="585"/>
      <c r="F285" s="586">
        <f t="shared" ref="F285:AZ285" si="325">F284/F$245</f>
        <v>0.95012930499756654</v>
      </c>
      <c r="G285" s="587">
        <f t="shared" si="325"/>
        <v>0.95012930499756654</v>
      </c>
      <c r="H285" s="584">
        <f t="shared" si="325"/>
        <v>0.92165223184543643</v>
      </c>
      <c r="I285" s="585">
        <f t="shared" si="325"/>
        <v>0.93364050921527653</v>
      </c>
      <c r="J285" s="585">
        <f t="shared" si="325"/>
        <v>0.94744833403627171</v>
      </c>
      <c r="K285" s="586">
        <f t="shared" si="325"/>
        <v>0.9371633752244164</v>
      </c>
      <c r="L285" s="584">
        <f t="shared" si="325"/>
        <v>0.93514606741573048</v>
      </c>
      <c r="M285" s="584">
        <f t="shared" si="325"/>
        <v>0.93941417007427197</v>
      </c>
      <c r="N285" s="585">
        <f t="shared" si="325"/>
        <v>0.93227195615294278</v>
      </c>
      <c r="O285" s="585">
        <f t="shared" si="325"/>
        <v>0.93309147685525351</v>
      </c>
      <c r="P285" s="586">
        <f t="shared" si="325"/>
        <v>0.96490056750441122</v>
      </c>
      <c r="Q285" s="587">
        <f t="shared" si="325"/>
        <v>0.94200668896321071</v>
      </c>
      <c r="R285" s="588">
        <f t="shared" si="325"/>
        <v>0.94752609652202413</v>
      </c>
      <c r="S285" s="588">
        <f t="shared" si="325"/>
        <v>0.93681102362204727</v>
      </c>
      <c r="T285" s="588">
        <f t="shared" si="325"/>
        <v>0.92676362507116616</v>
      </c>
      <c r="U285" s="588">
        <f t="shared" si="325"/>
        <v>0.94111046057767367</v>
      </c>
      <c r="V285" s="587">
        <f t="shared" si="325"/>
        <v>0.93831901840490817</v>
      </c>
      <c r="W285" s="588">
        <f t="shared" si="325"/>
        <v>0.93777197563098347</v>
      </c>
      <c r="X285" s="588">
        <f t="shared" si="325"/>
        <v>0.9296967208908502</v>
      </c>
      <c r="Y285" s="588">
        <f t="shared" si="325"/>
        <v>0.93499896330085008</v>
      </c>
      <c r="Z285" s="588">
        <f t="shared" si="325"/>
        <v>0.88635135135135135</v>
      </c>
      <c r="AA285" s="587">
        <f t="shared" si="325"/>
        <v>0.92121085952902859</v>
      </c>
      <c r="AB285" s="588">
        <f t="shared" si="325"/>
        <v>0.94752609652202402</v>
      </c>
      <c r="AC285" s="588">
        <f t="shared" si="325"/>
        <v>0.9296967208908502</v>
      </c>
      <c r="AD285" s="588">
        <f t="shared" si="325"/>
        <v>0.93499896330085008</v>
      </c>
      <c r="AE285" s="588">
        <f t="shared" si="325"/>
        <v>0.88635135135135135</v>
      </c>
      <c r="AF285" s="587">
        <f t="shared" si="325"/>
        <v>0.92464328301626886</v>
      </c>
      <c r="AG285" s="588">
        <f t="shared" si="325"/>
        <v>0.94752609652202402</v>
      </c>
      <c r="AH285" s="588">
        <f t="shared" si="325"/>
        <v>0.9296967208908502</v>
      </c>
      <c r="AI285" s="588">
        <f t="shared" si="325"/>
        <v>0.93499896330085008</v>
      </c>
      <c r="AJ285" s="588">
        <f t="shared" si="325"/>
        <v>0.88635135135135135</v>
      </c>
      <c r="AK285" s="587">
        <f t="shared" si="325"/>
        <v>0.92464328301626886</v>
      </c>
      <c r="AL285" s="588">
        <f t="shared" si="325"/>
        <v>0.94752609652202402</v>
      </c>
      <c r="AM285" s="588">
        <f t="shared" si="325"/>
        <v>0.9296967208908502</v>
      </c>
      <c r="AN285" s="588">
        <f t="shared" si="325"/>
        <v>0.93499896330085008</v>
      </c>
      <c r="AO285" s="588">
        <f t="shared" si="325"/>
        <v>0.88635135135135135</v>
      </c>
      <c r="AP285" s="587">
        <f t="shared" si="325"/>
        <v>0.92464328301626886</v>
      </c>
      <c r="AQ285" s="588">
        <f t="shared" si="325"/>
        <v>0.94752609652202402</v>
      </c>
      <c r="AR285" s="589">
        <f t="shared" si="325"/>
        <v>0.9296967208908502</v>
      </c>
      <c r="AS285" s="589">
        <f t="shared" si="325"/>
        <v>0.93499896330085008</v>
      </c>
      <c r="AT285" s="589">
        <f t="shared" si="325"/>
        <v>0.88635135135135135</v>
      </c>
      <c r="AU285" s="590">
        <f t="shared" si="325"/>
        <v>0.92464328301626886</v>
      </c>
      <c r="AV285" s="588">
        <f t="shared" si="325"/>
        <v>0.94752609652202402</v>
      </c>
      <c r="AW285" s="588">
        <f t="shared" si="325"/>
        <v>0.9296967208908502</v>
      </c>
      <c r="AX285" s="589">
        <f t="shared" si="325"/>
        <v>0.93499896330085008</v>
      </c>
      <c r="AY285" s="589">
        <f t="shared" si="325"/>
        <v>0.88635135135135135</v>
      </c>
      <c r="AZ285" s="590">
        <f t="shared" si="325"/>
        <v>0.92464328301626886</v>
      </c>
      <c r="BA285" s="589">
        <f t="shared" ref="BA285:BJ285" si="326">BA284/BA$245</f>
        <v>0.94752609652202402</v>
      </c>
      <c r="BB285" s="589">
        <f t="shared" si="326"/>
        <v>0.9296967208908502</v>
      </c>
      <c r="BC285" s="588">
        <f t="shared" si="326"/>
        <v>0.93499896330085008</v>
      </c>
      <c r="BD285" s="589">
        <f t="shared" si="326"/>
        <v>0.88635135135135135</v>
      </c>
      <c r="BE285" s="590">
        <f t="shared" si="326"/>
        <v>0.92464328301626886</v>
      </c>
      <c r="BF285" s="588">
        <f t="shared" si="326"/>
        <v>0.94752609652202402</v>
      </c>
      <c r="BG285" s="589">
        <f t="shared" si="326"/>
        <v>0.9296967208908502</v>
      </c>
      <c r="BH285" s="589">
        <f t="shared" si="326"/>
        <v>0.93499896330085008</v>
      </c>
      <c r="BI285" s="589">
        <f t="shared" si="326"/>
        <v>0.88635135135135135</v>
      </c>
      <c r="BJ285" s="590">
        <f t="shared" si="326"/>
        <v>0.92464328301626886</v>
      </c>
      <c r="BK285" s="589">
        <f t="shared" ref="BK285:BT285" si="327">BK284/BK$245</f>
        <v>0.94752609652202402</v>
      </c>
      <c r="BL285" s="589">
        <f t="shared" si="327"/>
        <v>0.9296967208908502</v>
      </c>
      <c r="BM285" s="589">
        <f t="shared" si="327"/>
        <v>0.93499896330085008</v>
      </c>
      <c r="BN285" s="589">
        <f t="shared" si="327"/>
        <v>0.88635135135135135</v>
      </c>
      <c r="BO285" s="590">
        <f t="shared" si="327"/>
        <v>0.92464328301626886</v>
      </c>
      <c r="BP285" s="589">
        <f t="shared" si="327"/>
        <v>0.94752609652202402</v>
      </c>
      <c r="BQ285" s="589">
        <f t="shared" si="327"/>
        <v>0.9296967208908502</v>
      </c>
      <c r="BR285" s="589">
        <f t="shared" si="327"/>
        <v>0.93499896330085008</v>
      </c>
      <c r="BS285" s="589">
        <f t="shared" si="327"/>
        <v>0.88635135135135135</v>
      </c>
      <c r="BT285" s="590">
        <f t="shared" si="327"/>
        <v>0.92464328301626886</v>
      </c>
      <c r="BU285" s="589">
        <f t="shared" ref="BU285:CD285" si="328">BU284/BU$245</f>
        <v>0.94752609652202402</v>
      </c>
      <c r="BV285" s="589">
        <f t="shared" si="328"/>
        <v>0.9296967208908502</v>
      </c>
      <c r="BW285" s="589">
        <f t="shared" si="328"/>
        <v>0.93499896330085008</v>
      </c>
      <c r="BX285" s="589">
        <f t="shared" si="328"/>
        <v>0.88635135135135135</v>
      </c>
      <c r="BY285" s="590">
        <f t="shared" si="328"/>
        <v>0.92464328301626886</v>
      </c>
      <c r="BZ285" s="589">
        <f t="shared" si="328"/>
        <v>0.94752609652202402</v>
      </c>
      <c r="CA285" s="589">
        <f t="shared" si="328"/>
        <v>0.9296967208908502</v>
      </c>
      <c r="CB285" s="589">
        <f t="shared" si="328"/>
        <v>0.93499896330085008</v>
      </c>
      <c r="CC285" s="589">
        <f t="shared" si="328"/>
        <v>0.88635135135135135</v>
      </c>
      <c r="CD285" s="590">
        <f t="shared" si="328"/>
        <v>0.92464328301626886</v>
      </c>
      <c r="CE285" s="589">
        <f t="shared" ref="CE285:CN285" si="329">CE284/CE$245</f>
        <v>0.94752609652202402</v>
      </c>
      <c r="CF285" s="589">
        <f t="shared" si="329"/>
        <v>0.9296967208908502</v>
      </c>
      <c r="CG285" s="589">
        <f t="shared" si="329"/>
        <v>0.93499896330085008</v>
      </c>
      <c r="CH285" s="589">
        <f t="shared" si="329"/>
        <v>0.88635135135135135</v>
      </c>
      <c r="CI285" s="590">
        <f t="shared" si="329"/>
        <v>0.92464328301626886</v>
      </c>
      <c r="CJ285" s="589">
        <f t="shared" si="329"/>
        <v>0.94752609652202402</v>
      </c>
      <c r="CK285" s="589">
        <f t="shared" si="329"/>
        <v>0.9296967208908502</v>
      </c>
      <c r="CL285" s="589">
        <f t="shared" si="329"/>
        <v>0.93499896330085008</v>
      </c>
      <c r="CM285" s="589">
        <f t="shared" si="329"/>
        <v>0.88635135135135135</v>
      </c>
      <c r="CN285" s="590">
        <f t="shared" si="329"/>
        <v>0.92464328301626886</v>
      </c>
      <c r="CO285" s="589">
        <f t="shared" ref="CO285:CX285" si="330">CO284/CO$245</f>
        <v>0.94752609652202402</v>
      </c>
      <c r="CP285" s="589">
        <f t="shared" si="330"/>
        <v>0.9296967208908502</v>
      </c>
      <c r="CQ285" s="589">
        <f t="shared" si="330"/>
        <v>0.93499896330085008</v>
      </c>
      <c r="CR285" s="589">
        <f t="shared" si="330"/>
        <v>0.88635135135135135</v>
      </c>
      <c r="CS285" s="590">
        <f t="shared" si="330"/>
        <v>0.92464328301626886</v>
      </c>
      <c r="CT285" s="589">
        <f t="shared" si="330"/>
        <v>0.94752609652202402</v>
      </c>
      <c r="CU285" s="589">
        <f t="shared" si="330"/>
        <v>0.9296967208908502</v>
      </c>
      <c r="CV285" s="589">
        <f t="shared" si="330"/>
        <v>0.93499896330085008</v>
      </c>
      <c r="CW285" s="589">
        <f t="shared" si="330"/>
        <v>0.88635135135135135</v>
      </c>
      <c r="CX285" s="590">
        <f t="shared" si="330"/>
        <v>0.92464328301626886</v>
      </c>
      <c r="CY285" s="1733"/>
      <c r="DA285" s="564"/>
      <c r="DB285" s="560"/>
      <c r="DC285" s="560"/>
    </row>
    <row r="286" spans="1:107" ht="12" hidden="1" customHeight="1" outlineLevel="1">
      <c r="A286" s="560"/>
      <c r="B286" s="560"/>
      <c r="C286" s="628"/>
      <c r="D286" s="629"/>
      <c r="E286" s="629"/>
      <c r="F286" s="630"/>
      <c r="G286" s="286"/>
      <c r="H286" s="628"/>
      <c r="I286" s="629"/>
      <c r="J286" s="629"/>
      <c r="K286" s="630"/>
      <c r="L286" s="594"/>
      <c r="M286" s="628"/>
      <c r="N286" s="629"/>
      <c r="O286" s="629"/>
      <c r="P286" s="630"/>
      <c r="Q286" s="286"/>
      <c r="R286" s="575"/>
      <c r="S286" s="575"/>
      <c r="T286" s="575"/>
      <c r="U286" s="575"/>
      <c r="V286" s="286"/>
      <c r="W286" s="575"/>
      <c r="X286" s="575"/>
      <c r="Y286" s="575"/>
      <c r="Z286" s="575"/>
      <c r="AA286" s="286"/>
      <c r="AB286" s="575"/>
      <c r="AC286" s="575"/>
      <c r="AD286" s="575"/>
      <c r="AE286" s="575"/>
      <c r="AF286" s="286"/>
      <c r="AG286" s="576"/>
      <c r="AH286" s="576"/>
      <c r="AI286" s="576"/>
      <c r="AJ286" s="576"/>
      <c r="AK286" s="286"/>
      <c r="AL286" s="576"/>
      <c r="AM286" s="576"/>
      <c r="AN286" s="576"/>
      <c r="AO286" s="576"/>
      <c r="AP286" s="286"/>
      <c r="AQ286" s="576"/>
      <c r="AR286" s="577"/>
      <c r="AS286" s="577"/>
      <c r="AT286" s="577"/>
      <c r="AU286" s="287"/>
      <c r="AV286" s="576"/>
      <c r="AW286" s="576"/>
      <c r="AX286" s="577"/>
      <c r="AY286" s="577"/>
      <c r="AZ286" s="287"/>
      <c r="BA286" s="577"/>
      <c r="BB286" s="577"/>
      <c r="BC286" s="576"/>
      <c r="BD286" s="577"/>
      <c r="BE286" s="287"/>
      <c r="BF286" s="576"/>
      <c r="BG286" s="577"/>
      <c r="BH286" s="577"/>
      <c r="BI286" s="577"/>
      <c r="BJ286" s="287"/>
      <c r="BK286" s="577"/>
      <c r="BL286" s="577"/>
      <c r="BM286" s="577"/>
      <c r="BN286" s="577"/>
      <c r="BO286" s="287"/>
      <c r="BP286" s="577"/>
      <c r="BQ286" s="577"/>
      <c r="BR286" s="577"/>
      <c r="BS286" s="577"/>
      <c r="BT286" s="287"/>
      <c r="BU286" s="577"/>
      <c r="BV286" s="577"/>
      <c r="BW286" s="577"/>
      <c r="BX286" s="577"/>
      <c r="BY286" s="287"/>
      <c r="BZ286" s="577"/>
      <c r="CA286" s="577"/>
      <c r="CB286" s="577"/>
      <c r="CC286" s="577"/>
      <c r="CD286" s="287"/>
      <c r="CE286" s="577"/>
      <c r="CF286" s="577"/>
      <c r="CG286" s="577"/>
      <c r="CH286" s="577"/>
      <c r="CI286" s="287"/>
      <c r="CJ286" s="577"/>
      <c r="CK286" s="577"/>
      <c r="CL286" s="577"/>
      <c r="CM286" s="577"/>
      <c r="CN286" s="287"/>
      <c r="CO286" s="577"/>
      <c r="CP286" s="577"/>
      <c r="CQ286" s="577"/>
      <c r="CR286" s="577"/>
      <c r="CS286" s="287"/>
      <c r="CT286" s="577"/>
      <c r="CU286" s="577"/>
      <c r="CV286" s="577"/>
      <c r="CW286" s="577"/>
      <c r="CX286" s="287"/>
      <c r="CY286" s="1735"/>
      <c r="DA286" s="564"/>
      <c r="DB286" s="560"/>
      <c r="DC286" s="560"/>
    </row>
    <row r="287" spans="1:107" ht="12" hidden="1" customHeight="1" outlineLevel="1">
      <c r="A287" s="553" t="s">
        <v>89</v>
      </c>
      <c r="B287" s="553"/>
      <c r="C287" s="628"/>
      <c r="D287" s="629"/>
      <c r="E287" s="629"/>
      <c r="F287" s="630">
        <f t="shared" ref="F287:AZ287" si="331">F275+F278+F284+F281</f>
        <v>1148.2690000000002</v>
      </c>
      <c r="G287" s="570">
        <f t="shared" si="331"/>
        <v>1148.2690000000002</v>
      </c>
      <c r="H287" s="628">
        <f t="shared" si="331"/>
        <v>246.899</v>
      </c>
      <c r="I287" s="629">
        <f t="shared" si="331"/>
        <v>292.226</v>
      </c>
      <c r="J287" s="629">
        <f t="shared" si="331"/>
        <v>253.23400000000001</v>
      </c>
      <c r="K287" s="630">
        <f t="shared" si="331"/>
        <v>268.15299999999996</v>
      </c>
      <c r="L287" s="573">
        <f t="shared" si="331"/>
        <v>1060.5120000000002</v>
      </c>
      <c r="M287" s="628">
        <f t="shared" si="331"/>
        <v>274.53300000000002</v>
      </c>
      <c r="N287" s="629">
        <f t="shared" si="331"/>
        <v>296.78999999999996</v>
      </c>
      <c r="O287" s="629">
        <f t="shared" si="331"/>
        <v>297.04499999999996</v>
      </c>
      <c r="P287" s="630">
        <f t="shared" si="331"/>
        <v>333.31000000000006</v>
      </c>
      <c r="Q287" s="570">
        <f t="shared" si="331"/>
        <v>1201.6780000000001</v>
      </c>
      <c r="R287" s="575">
        <f t="shared" si="331"/>
        <v>399.09900000000005</v>
      </c>
      <c r="S287" s="575">
        <f t="shared" si="331"/>
        <v>382.83</v>
      </c>
      <c r="T287" s="575">
        <f t="shared" si="331"/>
        <v>380.14400000000001</v>
      </c>
      <c r="U287" s="575">
        <f t="shared" si="331"/>
        <v>400.14899999999994</v>
      </c>
      <c r="V287" s="570">
        <f t="shared" si="331"/>
        <v>1562.222</v>
      </c>
      <c r="W287" s="575">
        <f t="shared" si="331"/>
        <v>445.91300000000001</v>
      </c>
      <c r="X287" s="575">
        <f t="shared" si="331"/>
        <v>468.59500000000003</v>
      </c>
      <c r="Y287" s="575">
        <f t="shared" si="331"/>
        <v>459.55899999999997</v>
      </c>
      <c r="Z287" s="575">
        <f t="shared" si="331"/>
        <v>479.67599999999999</v>
      </c>
      <c r="AA287" s="570">
        <f t="shared" si="331"/>
        <v>1853.7430000000002</v>
      </c>
      <c r="AB287" s="575">
        <f t="shared" si="331"/>
        <v>468.51168160024486</v>
      </c>
      <c r="AC287" s="575">
        <f t="shared" si="331"/>
        <v>497.84522765222687</v>
      </c>
      <c r="AD287" s="575">
        <f t="shared" si="331"/>
        <v>523.19591190551478</v>
      </c>
      <c r="AE287" s="575">
        <f t="shared" si="331"/>
        <v>512.11447960212365</v>
      </c>
      <c r="AF287" s="570">
        <f t="shared" si="331"/>
        <v>2001.6673007601103</v>
      </c>
      <c r="AG287" s="576">
        <f t="shared" si="331"/>
        <v>498.44524715099413</v>
      </c>
      <c r="AH287" s="576">
        <f t="shared" si="331"/>
        <v>529.97034042413043</v>
      </c>
      <c r="AI287" s="576">
        <f t="shared" si="331"/>
        <v>557.18896489975543</v>
      </c>
      <c r="AJ287" s="576">
        <f t="shared" si="331"/>
        <v>545.28390178247685</v>
      </c>
      <c r="AK287" s="570">
        <f t="shared" si="331"/>
        <v>2130.8884542573569</v>
      </c>
      <c r="AL287" s="576">
        <f t="shared" si="331"/>
        <v>530.40372831031459</v>
      </c>
      <c r="AM287" s="576">
        <f t="shared" si="331"/>
        <v>564.28276079005889</v>
      </c>
      <c r="AN287" s="576">
        <f t="shared" si="331"/>
        <v>593.50823513642854</v>
      </c>
      <c r="AO287" s="576">
        <f t="shared" si="331"/>
        <v>580.71304743780297</v>
      </c>
      <c r="AP287" s="570">
        <f t="shared" si="331"/>
        <v>2268.9077716746051</v>
      </c>
      <c r="AQ287" s="576">
        <f t="shared" si="331"/>
        <v>564.52567560617126</v>
      </c>
      <c r="AR287" s="577">
        <f t="shared" si="331"/>
        <v>600.93312545265917</v>
      </c>
      <c r="AS287" s="577">
        <f t="shared" si="331"/>
        <v>632.31472905892838</v>
      </c>
      <c r="AT287" s="577">
        <f t="shared" si="331"/>
        <v>618.55763030075013</v>
      </c>
      <c r="AU287" s="578">
        <f t="shared" si="331"/>
        <v>2416.3311604185092</v>
      </c>
      <c r="AV287" s="576">
        <f t="shared" si="331"/>
        <v>600.95922790212023</v>
      </c>
      <c r="AW287" s="576">
        <f t="shared" si="331"/>
        <v>640.08256231392716</v>
      </c>
      <c r="AX287" s="577">
        <f t="shared" si="331"/>
        <v>673.78072091122317</v>
      </c>
      <c r="AY287" s="577">
        <f t="shared" si="331"/>
        <v>658.98421498131938</v>
      </c>
      <c r="AZ287" s="578">
        <f t="shared" si="331"/>
        <v>2573.8067261085898</v>
      </c>
      <c r="BA287" s="577">
        <f t="shared" ref="BA287:BJ287" si="332">BA275+BA278+BA284+BA281</f>
        <v>639.86278333675284</v>
      </c>
      <c r="BB287" s="577">
        <f t="shared" si="332"/>
        <v>681.90342906977753</v>
      </c>
      <c r="BC287" s="576">
        <f t="shared" si="332"/>
        <v>718.09054964849599</v>
      </c>
      <c r="BD287" s="577">
        <f t="shared" si="332"/>
        <v>702.17098129069359</v>
      </c>
      <c r="BE287" s="578">
        <f t="shared" si="332"/>
        <v>2742.02774334572</v>
      </c>
      <c r="BF287" s="576">
        <f t="shared" si="332"/>
        <v>681.40571770931581</v>
      </c>
      <c r="BG287" s="577">
        <f t="shared" si="332"/>
        <v>726.5801043335174</v>
      </c>
      <c r="BH287" s="577">
        <f t="shared" si="332"/>
        <v>765.44147276540696</v>
      </c>
      <c r="BI287" s="577">
        <f t="shared" si="332"/>
        <v>748.30854295082679</v>
      </c>
      <c r="BJ287" s="578">
        <f t="shared" si="332"/>
        <v>2921.7358377590672</v>
      </c>
      <c r="BK287" s="577">
        <f t="shared" ref="BK287:BT287" si="333">BK275+BK278+BK284+BK281</f>
        <v>725.76915369986932</v>
      </c>
      <c r="BL287" s="577">
        <f t="shared" si="333"/>
        <v>774.30983505924416</v>
      </c>
      <c r="BM287" s="577">
        <f t="shared" si="333"/>
        <v>816.0445811438924</v>
      </c>
      <c r="BN287" s="577">
        <f t="shared" si="333"/>
        <v>797.60082459588921</v>
      </c>
      <c r="BO287" s="578">
        <f t="shared" si="333"/>
        <v>3113.724394498895</v>
      </c>
      <c r="BP287" s="577">
        <f t="shared" si="333"/>
        <v>773.14678455651131</v>
      </c>
      <c r="BQ287" s="577">
        <f t="shared" si="333"/>
        <v>825.30364430922464</v>
      </c>
      <c r="BR287" s="577">
        <f t="shared" si="333"/>
        <v>870.12577932041734</v>
      </c>
      <c r="BS287" s="577">
        <f t="shared" si="333"/>
        <v>850.26600125458958</v>
      </c>
      <c r="BT287" s="578">
        <f t="shared" si="333"/>
        <v>3318.8422094407429</v>
      </c>
      <c r="BU287" s="577">
        <f t="shared" ref="BU287:CD287" si="334">BU275+BU278+BU284+BU281</f>
        <v>823.74575614410014</v>
      </c>
      <c r="BV287" s="577">
        <f t="shared" si="334"/>
        <v>879.78730370224321</v>
      </c>
      <c r="BW287" s="577">
        <f t="shared" si="334"/>
        <v>927.92683589242336</v>
      </c>
      <c r="BX287" s="577">
        <f t="shared" si="334"/>
        <v>906.53750480595511</v>
      </c>
      <c r="BY287" s="578">
        <f t="shared" si="334"/>
        <v>3537.997400544722</v>
      </c>
      <c r="BZ287" s="577">
        <f t="shared" si="334"/>
        <v>877.78761152984498</v>
      </c>
      <c r="CA287" s="577">
        <f t="shared" si="334"/>
        <v>938.00237519424104</v>
      </c>
      <c r="CB287" s="577">
        <f t="shared" si="334"/>
        <v>989.706509126931</v>
      </c>
      <c r="CC287" s="577">
        <f t="shared" si="334"/>
        <v>966.66510222688748</v>
      </c>
      <c r="CD287" s="578">
        <f t="shared" si="334"/>
        <v>3772.1615980779047</v>
      </c>
      <c r="CE287" s="577">
        <f t="shared" ref="CE287:CN287" si="335">CE275+CE278+CE284+CE281</f>
        <v>935.50930258250094</v>
      </c>
      <c r="CF287" s="577">
        <f t="shared" si="335"/>
        <v>1000.2073271798329</v>
      </c>
      <c r="CG287" s="577">
        <f t="shared" si="335"/>
        <v>1055.7417532026311</v>
      </c>
      <c r="CH287" s="577">
        <f t="shared" si="335"/>
        <v>1030.9160507993274</v>
      </c>
      <c r="CI287" s="578">
        <f t="shared" si="335"/>
        <v>4022.3744337642929</v>
      </c>
      <c r="CJ287" s="577">
        <f t="shared" si="335"/>
        <v>997.16427338520032</v>
      </c>
      <c r="CK287" s="577">
        <f t="shared" si="335"/>
        <v>1066.6787302652033</v>
      </c>
      <c r="CL287" s="577">
        <f t="shared" si="335"/>
        <v>1126.329010912141</v>
      </c>
      <c r="CM287" s="577">
        <f t="shared" si="335"/>
        <v>1099.5763358199297</v>
      </c>
      <c r="CN287" s="578">
        <f t="shared" si="335"/>
        <v>4289.7483503824742</v>
      </c>
      <c r="CO287" s="577">
        <f t="shared" ref="CO287:CX287" si="336">CO275+CO278+CO284+CO281</f>
        <v>1063.0236206087691</v>
      </c>
      <c r="CP287" s="577">
        <f t="shared" si="336"/>
        <v>1137.7125384512437</v>
      </c>
      <c r="CQ287" s="577">
        <f t="shared" si="336"/>
        <v>1201.7855990754358</v>
      </c>
      <c r="CR287" s="577">
        <f t="shared" si="336"/>
        <v>1172.9519967576209</v>
      </c>
      <c r="CS287" s="578">
        <f t="shared" si="336"/>
        <v>4575.4737548930698</v>
      </c>
      <c r="CT287" s="577">
        <f t="shared" si="336"/>
        <v>1133.3773363644598</v>
      </c>
      <c r="CU287" s="577">
        <f t="shared" si="336"/>
        <v>1213.6254618825378</v>
      </c>
      <c r="CV287" s="577">
        <f t="shared" si="336"/>
        <v>1282.4511933709064</v>
      </c>
      <c r="CW287" s="577">
        <f t="shared" si="336"/>
        <v>1251.3705482363443</v>
      </c>
      <c r="CX287" s="578">
        <f t="shared" si="336"/>
        <v>4880.8245398542476</v>
      </c>
      <c r="CY287" s="1732"/>
      <c r="DA287" s="564"/>
      <c r="DB287" s="560"/>
      <c r="DC287" s="560"/>
    </row>
    <row r="288" spans="1:107" ht="12" hidden="1" customHeight="1" outlineLevel="1">
      <c r="A288" s="635" t="s">
        <v>364</v>
      </c>
      <c r="B288" s="635"/>
      <c r="C288" s="636"/>
      <c r="D288" s="637"/>
      <c r="E288" s="637"/>
      <c r="F288" s="638">
        <f t="shared" ref="F288:AZ288" si="337">F287/F$249</f>
        <v>0.93376459681878821</v>
      </c>
      <c r="G288" s="639">
        <f t="shared" si="337"/>
        <v>0.93376459681878821</v>
      </c>
      <c r="H288" s="636">
        <f t="shared" si="337"/>
        <v>0.92162256995251901</v>
      </c>
      <c r="I288" s="637">
        <f t="shared" si="337"/>
        <v>0.92080577516314333</v>
      </c>
      <c r="J288" s="637">
        <f t="shared" si="337"/>
        <v>0.88894583494225443</v>
      </c>
      <c r="K288" s="638">
        <f t="shared" si="337"/>
        <v>0.90999575803851707</v>
      </c>
      <c r="L288" s="636">
        <f t="shared" si="337"/>
        <v>0.91046703296703302</v>
      </c>
      <c r="M288" s="636">
        <f t="shared" si="337"/>
        <v>0.92468044258071025</v>
      </c>
      <c r="N288" s="637">
        <f t="shared" si="337"/>
        <v>0.92704578536042914</v>
      </c>
      <c r="O288" s="637">
        <f t="shared" si="337"/>
        <v>0.93081956117096265</v>
      </c>
      <c r="P288" s="638">
        <f t="shared" si="337"/>
        <v>0.92963906096163029</v>
      </c>
      <c r="Q288" s="639">
        <f t="shared" si="337"/>
        <v>0.92815169537344566</v>
      </c>
      <c r="R288" s="637">
        <f t="shared" si="337"/>
        <v>0.94287010283948502</v>
      </c>
      <c r="S288" s="637">
        <f t="shared" si="337"/>
        <v>0.93353816891620023</v>
      </c>
      <c r="T288" s="637">
        <f t="shared" si="337"/>
        <v>0.94161941775469205</v>
      </c>
      <c r="U288" s="637">
        <f t="shared" si="337"/>
        <v>0.93161684760465724</v>
      </c>
      <c r="V288" s="639">
        <f t="shared" si="337"/>
        <v>0.93737069482779312</v>
      </c>
      <c r="W288" s="637">
        <f t="shared" si="337"/>
        <v>0.94296885903882988</v>
      </c>
      <c r="X288" s="637">
        <f t="shared" si="337"/>
        <v>0.94469274981906304</v>
      </c>
      <c r="Y288" s="637">
        <f t="shared" si="337"/>
        <v>0.94357741371840853</v>
      </c>
      <c r="Z288" s="637">
        <f t="shared" si="337"/>
        <v>0.93985747622807736</v>
      </c>
      <c r="AA288" s="639">
        <f t="shared" si="337"/>
        <v>0.94274688618999658</v>
      </c>
      <c r="AB288" s="637">
        <f t="shared" si="337"/>
        <v>0.94345084283479907</v>
      </c>
      <c r="AC288" s="637">
        <f t="shared" si="337"/>
        <v>0.94500255640751851</v>
      </c>
      <c r="AD288" s="637">
        <f t="shared" si="337"/>
        <v>0.9424999965292975</v>
      </c>
      <c r="AE288" s="637">
        <f t="shared" si="337"/>
        <v>0.94020776384989913</v>
      </c>
      <c r="AF288" s="639">
        <f t="shared" si="337"/>
        <v>0.94275529002770542</v>
      </c>
      <c r="AG288" s="637">
        <f t="shared" si="337"/>
        <v>0.94357182508720239</v>
      </c>
      <c r="AH288" s="637">
        <f t="shared" si="337"/>
        <v>0.94517702636361667</v>
      </c>
      <c r="AI288" s="637">
        <f t="shared" si="337"/>
        <v>0.94264681470921985</v>
      </c>
      <c r="AJ288" s="637">
        <f t="shared" si="337"/>
        <v>0.94047499198628381</v>
      </c>
      <c r="AK288" s="639">
        <f t="shared" si="337"/>
        <v>0.94293362167070549</v>
      </c>
      <c r="AL288" s="637">
        <f t="shared" si="337"/>
        <v>0.94369462776362778</v>
      </c>
      <c r="AM288" s="637">
        <f t="shared" si="337"/>
        <v>0.9453501961801235</v>
      </c>
      <c r="AN288" s="637">
        <f t="shared" si="337"/>
        <v>0.94279340955302515</v>
      </c>
      <c r="AO288" s="637">
        <f t="shared" si="337"/>
        <v>0.94073519661590999</v>
      </c>
      <c r="AP288" s="639">
        <f t="shared" si="337"/>
        <v>0.94311021260090599</v>
      </c>
      <c r="AQ288" s="637">
        <f t="shared" si="337"/>
        <v>0.94381915118989967</v>
      </c>
      <c r="AR288" s="640">
        <f t="shared" si="337"/>
        <v>0.94552212097409183</v>
      </c>
      <c r="AS288" s="640">
        <f t="shared" si="337"/>
        <v>0.94293977655879013</v>
      </c>
      <c r="AT288" s="640">
        <f t="shared" si="337"/>
        <v>0.94098873363112168</v>
      </c>
      <c r="AU288" s="641">
        <f t="shared" si="337"/>
        <v>0.94328514143865017</v>
      </c>
      <c r="AV288" s="637">
        <f t="shared" si="337"/>
        <v>0.9439453004617776</v>
      </c>
      <c r="AW288" s="637">
        <f t="shared" si="337"/>
        <v>0.9456928544859966</v>
      </c>
      <c r="AX288" s="640">
        <f t="shared" si="337"/>
        <v>0.94308591218139326</v>
      </c>
      <c r="AY288" s="640">
        <f t="shared" si="337"/>
        <v>0.94123594501610119</v>
      </c>
      <c r="AZ288" s="641">
        <f t="shared" si="337"/>
        <v>0.94345848442773728</v>
      </c>
      <c r="BA288" s="640">
        <f t="shared" ref="BA288:BJ288" si="338">BA287/BA$249</f>
        <v>0.94407298528468153</v>
      </c>
      <c r="BB288" s="640">
        <f t="shared" si="338"/>
        <v>0.94586244894220894</v>
      </c>
      <c r="BC288" s="637">
        <f t="shared" si="338"/>
        <v>0.94323181369007247</v>
      </c>
      <c r="BD288" s="640">
        <f t="shared" si="338"/>
        <v>0.94147715884256555</v>
      </c>
      <c r="BE288" s="641">
        <f t="shared" si="338"/>
        <v>0.94363031531157104</v>
      </c>
      <c r="BF288" s="637">
        <f t="shared" si="338"/>
        <v>0.94420211980476254</v>
      </c>
      <c r="BG288" s="640">
        <f t="shared" si="338"/>
        <v>0.94603095494141121</v>
      </c>
      <c r="BH288" s="640">
        <f t="shared" si="338"/>
        <v>0.94337747903767921</v>
      </c>
      <c r="BI288" s="640">
        <f t="shared" si="338"/>
        <v>0.9417126893434925</v>
      </c>
      <c r="BJ288" s="641">
        <f t="shared" si="338"/>
        <v>0.94380070523723347</v>
      </c>
      <c r="BK288" s="640">
        <f t="shared" ref="BK288:BT288" si="339">BK287/BK$249</f>
        <v>0.94433262243381799</v>
      </c>
      <c r="BL288" s="640">
        <f t="shared" si="339"/>
        <v>0.94619842136274424</v>
      </c>
      <c r="BM288" s="640">
        <f t="shared" si="339"/>
        <v>0.94352290674115358</v>
      </c>
      <c r="BN288" s="640">
        <f t="shared" si="339"/>
        <v>0.94194283705413118</v>
      </c>
      <c r="BO288" s="641">
        <f t="shared" si="339"/>
        <v>0.94396972268461654</v>
      </c>
      <c r="BP288" s="640">
        <f t="shared" si="339"/>
        <v>0.94446441567024109</v>
      </c>
      <c r="BQ288" s="640">
        <f t="shared" si="339"/>
        <v>0.94636489529358858</v>
      </c>
      <c r="BR288" s="640">
        <f t="shared" si="339"/>
        <v>0.94366809577268362</v>
      </c>
      <c r="BS288" s="640">
        <f t="shared" si="339"/>
        <v>0.94216788901047621</v>
      </c>
      <c r="BT288" s="641">
        <f t="shared" si="339"/>
        <v>0.944137433417918</v>
      </c>
      <c r="BU288" s="640">
        <f t="shared" ref="BU288:CD288" si="340">BU287/BU$249</f>
        <v>0.94459742591791407</v>
      </c>
      <c r="BV288" s="640">
        <f t="shared" si="340"/>
        <v>0.94653042197499737</v>
      </c>
      <c r="BW288" s="640">
        <f t="shared" si="340"/>
        <v>0.94381304546101141</v>
      </c>
      <c r="BX288" s="640">
        <f t="shared" si="340"/>
        <v>0.9423881189962835</v>
      </c>
      <c r="BY288" s="641">
        <f t="shared" si="340"/>
        <v>0.9443039004569771</v>
      </c>
      <c r="BZ288" s="640">
        <f t="shared" si="340"/>
        <v>0.9447315833046902</v>
      </c>
      <c r="CA288" s="640">
        <f t="shared" si="340"/>
        <v>0.94669504476292465</v>
      </c>
      <c r="CB288" s="640">
        <f t="shared" si="340"/>
        <v>0.94395775540230697</v>
      </c>
      <c r="CC288" s="640">
        <f t="shared" si="340"/>
        <v>0.94260378783055632</v>
      </c>
      <c r="CD288" s="641">
        <f t="shared" si="340"/>
        <v>0.94446918406612601</v>
      </c>
      <c r="CE288" s="640">
        <f t="shared" ref="CE288:CN288" si="341">CE287/CE$249</f>
        <v>0.94486682150187506</v>
      </c>
      <c r="CF288" s="640">
        <f t="shared" si="341"/>
        <v>0.94685880510351439</v>
      </c>
      <c r="CG288" s="640">
        <f t="shared" si="341"/>
        <v>0.94410222538004596</v>
      </c>
      <c r="CH288" s="640">
        <f t="shared" si="341"/>
        <v>0.94281514368824493</v>
      </c>
      <c r="CI288" s="641">
        <f t="shared" si="341"/>
        <v>0.94463334175839597</v>
      </c>
      <c r="CJ288" s="640">
        <f t="shared" si="341"/>
        <v>0.94500307754590152</v>
      </c>
      <c r="CK288" s="640">
        <f t="shared" si="341"/>
        <v>0.94702174252084448</v>
      </c>
      <c r="CL288" s="640">
        <f t="shared" si="341"/>
        <v>0.94424645529331785</v>
      </c>
      <c r="CM288" s="640">
        <f t="shared" si="341"/>
        <v>0.94302242244766887</v>
      </c>
      <c r="CN288" s="641">
        <f t="shared" si="341"/>
        <v>0.94479642831310007</v>
      </c>
      <c r="CO288" s="640">
        <f t="shared" ref="CO288:CX288" si="342">CO287/CO$249</f>
        <v>0.94514029166319413</v>
      </c>
      <c r="CP288" s="640">
        <f t="shared" si="342"/>
        <v>0.94718389461564123</v>
      </c>
      <c r="CQ288" s="640">
        <f t="shared" si="342"/>
        <v>0.9443904450929993</v>
      </c>
      <c r="CR288" s="640">
        <f t="shared" si="342"/>
        <v>0.94322584805887577</v>
      </c>
      <c r="CS288" s="641">
        <f t="shared" si="342"/>
        <v>0.94495849580498625</v>
      </c>
      <c r="CT288" s="640">
        <f t="shared" si="342"/>
        <v>0.94527840709905053</v>
      </c>
      <c r="CU288" s="640">
        <f t="shared" si="342"/>
        <v>0.94734529707359705</v>
      </c>
      <c r="CV288" s="640">
        <f t="shared" si="342"/>
        <v>0.94453419472524469</v>
      </c>
      <c r="CW288" s="640">
        <f t="shared" si="342"/>
        <v>0.94342563292782744</v>
      </c>
      <c r="CX288" s="641">
        <f t="shared" si="342"/>
        <v>0.94511959364330811</v>
      </c>
      <c r="CY288" s="1733"/>
      <c r="DA288" s="643"/>
      <c r="DB288" s="642"/>
      <c r="DC288" s="642"/>
    </row>
    <row r="289" collapsed="1"/>
  </sheetData>
  <phoneticPr fontId="2" type="noConversion"/>
  <printOptions horizontalCentered="1" verticalCentered="1"/>
  <pageMargins left="0" right="0" top="0" bottom="0" header="0" footer="0"/>
  <pageSetup paperSize="5"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tabColor theme="3"/>
    <pageSetUpPr autoPageBreaks="0" fitToPage="1"/>
  </sheetPr>
  <dimension ref="A1:DH234"/>
  <sheetViews>
    <sheetView showGridLines="0" zoomScaleNormal="100" workbookViewId="0">
      <pane xSplit="70" ySplit="5" topLeftCell="BX6" activePane="bottomRight" state="frozen"/>
      <selection pane="topRight" activeCell="BS1" sqref="BS1"/>
      <selection pane="bottomLeft" activeCell="A6" sqref="A6"/>
      <selection pane="bottomRight" activeCell="BX6" sqref="BX6"/>
    </sheetView>
  </sheetViews>
  <sheetFormatPr defaultRowHeight="12.75" outlineLevelRow="1" outlineLevelCol="2"/>
  <cols>
    <col min="1" max="1" width="41.7109375" customWidth="1"/>
    <col min="2" max="5" width="7.7109375" hidden="1" customWidth="1" outlineLevel="2"/>
    <col min="6" max="6" width="9.85546875" hidden="1" customWidth="1" outlineLevel="1"/>
    <col min="7" max="10" width="7.140625" hidden="1" customWidth="1" outlineLevel="2"/>
    <col min="11" max="11" width="7.140625" hidden="1" customWidth="1" outlineLevel="1"/>
    <col min="12" max="15" width="7.140625" hidden="1" customWidth="1" outlineLevel="2"/>
    <col min="16" max="16" width="7.140625" hidden="1" customWidth="1" outlineLevel="1"/>
    <col min="17" max="20" width="7.140625" hidden="1" customWidth="1" outlineLevel="2"/>
    <col min="21" max="25" width="7.140625" hidden="1" customWidth="1" outlineLevel="1"/>
    <col min="26" max="26" width="7.140625" hidden="1" customWidth="1" collapsed="1"/>
    <col min="27" max="30" width="7.140625" hidden="1" customWidth="1" outlineLevel="1"/>
    <col min="31" max="31" width="7.140625" hidden="1" customWidth="1" collapsed="1"/>
    <col min="32" max="35" width="7.140625" hidden="1" customWidth="1" outlineLevel="1"/>
    <col min="36" max="36" width="7.140625" hidden="1" customWidth="1" collapsed="1"/>
    <col min="37" max="40" width="7.140625" hidden="1" customWidth="1" outlineLevel="1"/>
    <col min="41" max="41" width="7.140625" hidden="1" customWidth="1" collapsed="1"/>
    <col min="42" max="45" width="7.140625" hidden="1" customWidth="1" outlineLevel="1"/>
    <col min="46" max="46" width="7.140625" hidden="1" customWidth="1" collapsed="1"/>
    <col min="47" max="50" width="7.140625" hidden="1" customWidth="1" outlineLevel="1"/>
    <col min="51" max="51" width="7.140625" hidden="1" customWidth="1" collapsed="1"/>
    <col min="52" max="55" width="7.140625" hidden="1" customWidth="1" outlineLevel="1"/>
    <col min="56" max="56" width="7.140625" hidden="1" customWidth="1" collapsed="1"/>
    <col min="57" max="57" width="7.140625" hidden="1" customWidth="1" outlineLevel="1"/>
    <col min="58" max="60" width="7.5703125" hidden="1" customWidth="1" outlineLevel="1"/>
    <col min="61" max="61" width="7.42578125" hidden="1" customWidth="1" collapsed="1"/>
    <col min="62" max="65" width="8.85546875" hidden="1" customWidth="1" outlineLevel="1"/>
    <col min="66" max="66" width="7.42578125" hidden="1" customWidth="1" collapsed="1"/>
    <col min="67" max="70" width="9.7109375" hidden="1" customWidth="1" outlineLevel="1"/>
    <col min="71" max="71" width="9.5703125" hidden="1" customWidth="1" collapsed="1"/>
    <col min="72" max="75" width="9.7109375" hidden="1" customWidth="1" outlineLevel="1"/>
    <col min="76" max="76" width="9.28515625" customWidth="1" collapsed="1"/>
    <col min="77" max="80" width="9.7109375" hidden="1" customWidth="1" outlineLevel="1"/>
    <col min="81" max="81" width="9.85546875" bestFit="1" customWidth="1" collapsed="1"/>
    <col min="82" max="85" width="9.7109375" customWidth="1" outlineLevel="1"/>
    <col min="86" max="86" width="9.85546875" bestFit="1" customWidth="1"/>
    <col min="87" max="90" width="9.7109375" customWidth="1" outlineLevel="1"/>
    <col min="91" max="91" width="9.85546875" bestFit="1" customWidth="1"/>
    <col min="92" max="95" width="9.7109375" customWidth="1" outlineLevel="1"/>
    <col min="96" max="96" width="9.85546875" customWidth="1"/>
    <col min="97" max="100" width="9.7109375" hidden="1" customWidth="1" outlineLevel="1"/>
    <col min="101" max="101" width="9.85546875" customWidth="1" collapsed="1"/>
    <col min="102" max="102" width="9.85546875" customWidth="1"/>
    <col min="103" max="106" width="1.7109375" customWidth="1"/>
    <col min="107" max="107" width="22.5703125" customWidth="1"/>
  </cols>
  <sheetData>
    <row r="1" spans="1:106" ht="20.100000000000001" customHeight="1">
      <c r="A1" s="2" t="str">
        <f>Model!A1</f>
        <v>Adobe Systems</v>
      </c>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1427"/>
      <c r="BK1" s="1427"/>
      <c r="BL1" s="1427"/>
      <c r="BM1" s="1427"/>
      <c r="BN1" s="4"/>
      <c r="BO1" s="1427"/>
      <c r="BP1" s="1427"/>
      <c r="BQ1" s="1427"/>
      <c r="BR1" s="1427"/>
      <c r="BS1" s="4"/>
      <c r="BT1" s="4"/>
      <c r="BU1" s="4"/>
      <c r="BV1" s="1427"/>
      <c r="BW1" s="4"/>
      <c r="BX1" s="4"/>
      <c r="BY1" s="4"/>
      <c r="BZ1" s="4"/>
      <c r="CA1" s="4"/>
      <c r="CB1" s="4"/>
      <c r="CC1" s="4"/>
      <c r="CD1" s="4"/>
      <c r="CE1" s="4"/>
      <c r="CF1" s="4"/>
      <c r="CG1" s="4"/>
      <c r="CH1" s="4"/>
      <c r="CI1" s="4"/>
      <c r="CJ1" s="4"/>
      <c r="CL1" s="4"/>
      <c r="CM1" s="4"/>
      <c r="CN1" s="4"/>
      <c r="CO1" s="4"/>
      <c r="CP1" s="4"/>
      <c r="CQ1" s="4"/>
      <c r="CR1" s="4"/>
      <c r="CS1" s="4"/>
      <c r="CT1" s="4"/>
      <c r="CU1" s="4"/>
      <c r="CV1" s="4"/>
      <c r="CW1" s="4"/>
      <c r="CZ1" s="23"/>
      <c r="DA1" s="4"/>
      <c r="DB1" s="27"/>
    </row>
    <row r="2" spans="1:106" ht="20.100000000000001" customHeight="1">
      <c r="A2" s="5" t="s">
        <v>13</v>
      </c>
      <c r="B2" s="7"/>
      <c r="C2" s="6"/>
      <c r="D2" s="7"/>
      <c r="E2" s="6"/>
      <c r="F2" s="7"/>
      <c r="G2" s="7"/>
      <c r="H2" s="6"/>
      <c r="I2" s="7"/>
      <c r="J2" s="6"/>
      <c r="K2" s="7"/>
      <c r="L2" s="7"/>
      <c r="M2" s="6"/>
      <c r="N2" s="7"/>
      <c r="O2" s="6"/>
      <c r="P2" s="7"/>
      <c r="Q2" s="7"/>
      <c r="R2" s="6"/>
      <c r="S2" s="7"/>
      <c r="T2" s="6"/>
      <c r="U2" s="7"/>
      <c r="V2" s="7"/>
      <c r="W2" s="6"/>
      <c r="X2" s="7"/>
      <c r="Y2" s="6"/>
      <c r="Z2" s="7"/>
      <c r="AA2" s="7"/>
      <c r="AB2" s="6"/>
      <c r="AC2" s="7"/>
      <c r="AD2" s="6"/>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1420"/>
      <c r="BM2" s="1474"/>
      <c r="BN2" s="7"/>
      <c r="BO2" s="7"/>
      <c r="BP2" s="7"/>
      <c r="BQ2" s="7"/>
      <c r="BR2" s="1630"/>
      <c r="BS2" s="7"/>
      <c r="BT2" s="7"/>
      <c r="BU2" s="7"/>
      <c r="BV2" s="7"/>
      <c r="BW2" s="7"/>
      <c r="BX2" s="7"/>
      <c r="BY2" s="7"/>
      <c r="BZ2" s="1420"/>
      <c r="CA2" s="7"/>
      <c r="CB2" s="7"/>
      <c r="CC2" s="7"/>
      <c r="CD2" s="7"/>
      <c r="CE2" s="7"/>
      <c r="CF2" s="7"/>
      <c r="CG2" s="7"/>
      <c r="CH2" s="7"/>
      <c r="CI2" s="7"/>
      <c r="CJ2" s="7"/>
      <c r="CK2" s="7"/>
      <c r="CL2" s="7"/>
      <c r="CM2" s="7"/>
      <c r="CN2" s="7"/>
      <c r="CO2" s="7"/>
      <c r="CP2" s="7"/>
      <c r="CQ2" s="7"/>
      <c r="CR2" s="7"/>
      <c r="CS2" s="7"/>
      <c r="CT2" s="7"/>
      <c r="CU2" s="7"/>
      <c r="CV2" s="7"/>
      <c r="CW2" s="7"/>
      <c r="CZ2" s="23"/>
      <c r="DA2" s="4"/>
      <c r="DB2" s="4"/>
    </row>
    <row r="3" spans="1:106" ht="16.5" hidden="1" customHeight="1" outlineLevel="1"/>
    <row r="4" spans="1:106" ht="11.25" customHeight="1" collapsed="1">
      <c r="A4" s="10" t="s">
        <v>332</v>
      </c>
      <c r="B4" s="11"/>
      <c r="C4" s="11"/>
      <c r="D4" s="11"/>
      <c r="E4" s="12"/>
      <c r="F4" s="70"/>
      <c r="G4" s="11"/>
      <c r="H4" s="11"/>
      <c r="I4" s="11"/>
      <c r="J4" s="12"/>
      <c r="K4" s="70"/>
      <c r="L4" s="11"/>
      <c r="M4" s="11"/>
      <c r="N4" s="11"/>
      <c r="O4" s="12"/>
      <c r="P4" s="70"/>
      <c r="Q4" s="11"/>
      <c r="R4" s="11"/>
      <c r="S4" s="11"/>
      <c r="T4" s="12"/>
      <c r="U4" s="70"/>
      <c r="V4" s="11"/>
      <c r="W4" s="11"/>
      <c r="X4" s="11"/>
      <c r="Y4" s="12"/>
      <c r="Z4" s="70"/>
      <c r="AA4" s="11"/>
      <c r="AB4" s="11"/>
      <c r="AC4" s="11"/>
      <c r="AD4" s="12"/>
      <c r="AE4" s="70"/>
      <c r="AF4" s="11"/>
      <c r="AG4" s="11"/>
      <c r="AH4" s="11"/>
      <c r="AI4" s="11"/>
      <c r="AJ4" s="70"/>
      <c r="AK4" s="11"/>
      <c r="AL4" s="11"/>
      <c r="AM4" s="11"/>
      <c r="AN4" s="11"/>
      <c r="AO4" s="70"/>
      <c r="AP4" s="11"/>
      <c r="AQ4" s="11"/>
      <c r="AR4" s="11"/>
      <c r="AS4" s="11"/>
      <c r="AT4" s="70"/>
      <c r="AU4" s="11"/>
      <c r="AV4" s="11"/>
      <c r="AW4" s="11"/>
      <c r="AX4" s="11"/>
      <c r="AY4" s="70"/>
      <c r="AZ4" s="11"/>
      <c r="BA4" s="11"/>
      <c r="BB4" s="11"/>
      <c r="BC4" s="11"/>
      <c r="BD4" s="70"/>
      <c r="BE4" s="11"/>
      <c r="BF4" s="11"/>
      <c r="BG4" s="11"/>
      <c r="BH4" s="11"/>
      <c r="BI4" s="70"/>
      <c r="BJ4" s="11"/>
      <c r="BK4" s="11"/>
      <c r="BL4" s="11"/>
      <c r="BM4" s="11"/>
      <c r="BN4" s="70"/>
      <c r="BO4" s="11"/>
      <c r="BP4" s="11"/>
      <c r="BQ4" s="11"/>
      <c r="BR4" s="11"/>
      <c r="BS4" s="70"/>
      <c r="BT4" s="11"/>
      <c r="BU4" s="11"/>
      <c r="BV4" s="11"/>
      <c r="BW4" s="11"/>
      <c r="BX4" s="70"/>
      <c r="BY4" s="11"/>
      <c r="BZ4" s="11"/>
      <c r="CA4" s="11"/>
      <c r="CB4" s="11"/>
      <c r="CC4" s="70"/>
      <c r="CD4" s="11"/>
      <c r="CE4" s="11"/>
      <c r="CF4" s="11"/>
      <c r="CG4" s="11"/>
      <c r="CH4" s="70"/>
      <c r="CI4" s="11"/>
      <c r="CJ4" s="11"/>
      <c r="CK4" s="11"/>
      <c r="CL4" s="11"/>
      <c r="CM4" s="70"/>
      <c r="CN4" s="11"/>
      <c r="CO4" s="11"/>
      <c r="CP4" s="11"/>
      <c r="CQ4" s="11"/>
      <c r="CR4" s="70"/>
      <c r="CS4" s="11"/>
      <c r="CT4" s="11"/>
      <c r="CU4" s="11"/>
      <c r="CV4" s="11"/>
      <c r="CW4" s="70"/>
      <c r="CZ4" s="24"/>
      <c r="DA4" s="11"/>
      <c r="DB4" s="11"/>
    </row>
    <row r="5" spans="1:106">
      <c r="A5" s="405"/>
      <c r="B5" s="407" t="str">
        <f>Model!C6</f>
        <v>2/01</v>
      </c>
      <c r="C5" s="407" t="str">
        <f>Model!D6</f>
        <v>5/01</v>
      </c>
      <c r="D5" s="407" t="str">
        <f>Model!E6</f>
        <v>8/01</v>
      </c>
      <c r="E5" s="407" t="str">
        <f>Model!F6</f>
        <v>11/01</v>
      </c>
      <c r="F5" s="456" t="str">
        <f>Model!G6</f>
        <v>FY01</v>
      </c>
      <c r="G5" s="407" t="str">
        <f>Model!H6</f>
        <v>2/02</v>
      </c>
      <c r="H5" s="407" t="str">
        <f>Model!I6</f>
        <v>5/02</v>
      </c>
      <c r="I5" s="407" t="str">
        <f>Model!J6</f>
        <v>8/02</v>
      </c>
      <c r="J5" s="407" t="str">
        <f>Model!K6</f>
        <v>11/02</v>
      </c>
      <c r="K5" s="456" t="str">
        <f>Model!L6</f>
        <v>FY02</v>
      </c>
      <c r="L5" s="407" t="str">
        <f>Model!M6</f>
        <v>2/03</v>
      </c>
      <c r="M5" s="407" t="str">
        <f>Model!N6</f>
        <v>5/03</v>
      </c>
      <c r="N5" s="407" t="str">
        <f>Model!O6</f>
        <v>8/03</v>
      </c>
      <c r="O5" s="407" t="str">
        <f>Model!P6</f>
        <v>11/03</v>
      </c>
      <c r="P5" s="456" t="str">
        <f>Model!Q6</f>
        <v>FY03</v>
      </c>
      <c r="Q5" s="407" t="str">
        <f>Model!R6</f>
        <v>2/04</v>
      </c>
      <c r="R5" s="407" t="str">
        <f>Model!S6</f>
        <v>5/04</v>
      </c>
      <c r="S5" s="407" t="str">
        <f>Model!T6</f>
        <v>8/04</v>
      </c>
      <c r="T5" s="407" t="str">
        <f>Model!U6</f>
        <v>11/04</v>
      </c>
      <c r="U5" s="456" t="str">
        <f>Model!V6</f>
        <v>FY04</v>
      </c>
      <c r="V5" s="407" t="str">
        <f>Model!W6</f>
        <v>2/05</v>
      </c>
      <c r="W5" s="407" t="str">
        <f>Model!X6</f>
        <v xml:space="preserve"> 5/05</v>
      </c>
      <c r="X5" s="407" t="str">
        <f>Model!Y6</f>
        <v>8/05</v>
      </c>
      <c r="Y5" s="407" t="str">
        <f>Model!Z6</f>
        <v>11/05</v>
      </c>
      <c r="Z5" s="456" t="str">
        <f>Model!AA6</f>
        <v>FY05</v>
      </c>
      <c r="AA5" s="407" t="str">
        <f>Model!AB6</f>
        <v>2/06</v>
      </c>
      <c r="AB5" s="407" t="str">
        <f>Model!AC6</f>
        <v xml:space="preserve"> 5/06</v>
      </c>
      <c r="AC5" s="407" t="str">
        <f>Model!AD6</f>
        <v>8/06</v>
      </c>
      <c r="AD5" s="407" t="str">
        <f>Model!AE6</f>
        <v>11/06</v>
      </c>
      <c r="AE5" s="456" t="str">
        <f>Model!AF6</f>
        <v>FY06</v>
      </c>
      <c r="AF5" s="407" t="str">
        <f>Model!AG6</f>
        <v xml:space="preserve"> 2/07</v>
      </c>
      <c r="AG5" s="407" t="str">
        <f>Model!AH6</f>
        <v>5/07</v>
      </c>
      <c r="AH5" s="407" t="str">
        <f>Model!AI6</f>
        <v>8/07</v>
      </c>
      <c r="AI5" s="407" t="str">
        <f>Model!AJ6</f>
        <v>11/07</v>
      </c>
      <c r="AJ5" s="456" t="str">
        <f>Model!AK6</f>
        <v>FY07</v>
      </c>
      <c r="AK5" s="407" t="str">
        <f>Model!AL6</f>
        <v xml:space="preserve"> 2/08</v>
      </c>
      <c r="AL5" s="407" t="str">
        <f>Model!AM6</f>
        <v>5/08</v>
      </c>
      <c r="AM5" s="407" t="str">
        <f>Model!AN6</f>
        <v>8/08</v>
      </c>
      <c r="AN5" s="407" t="str">
        <f>Model!AO6</f>
        <v>11/08</v>
      </c>
      <c r="AO5" s="456" t="str">
        <f>Model!AP6</f>
        <v>FY08</v>
      </c>
      <c r="AP5" s="407" t="str">
        <f>Model!AQ6</f>
        <v xml:space="preserve"> 2/09</v>
      </c>
      <c r="AQ5" s="407" t="str">
        <f>Model!AR6</f>
        <v>5/09</v>
      </c>
      <c r="AR5" s="407" t="str">
        <f>Model!AS6</f>
        <v>8/09</v>
      </c>
      <c r="AS5" s="407" t="str">
        <f>Model!AT6</f>
        <v>11/09</v>
      </c>
      <c r="AT5" s="456" t="str">
        <f>Model!AU6</f>
        <v>FY09</v>
      </c>
      <c r="AU5" s="407" t="str">
        <f>Model!AV6</f>
        <v xml:space="preserve"> 2/10</v>
      </c>
      <c r="AV5" s="407" t="str">
        <f>Model!AW6</f>
        <v>5/10</v>
      </c>
      <c r="AW5" s="407" t="str">
        <f>Model!AX6</f>
        <v>8/10</v>
      </c>
      <c r="AX5" s="407" t="str">
        <f>Model!AY6</f>
        <v>11/10</v>
      </c>
      <c r="AY5" s="456" t="str">
        <f>Model!AZ6</f>
        <v>FY10</v>
      </c>
      <c r="AZ5" s="407" t="str">
        <f>Model!BA6</f>
        <v xml:space="preserve"> 2/11</v>
      </c>
      <c r="BA5" s="407" t="str">
        <f>Model!BB6</f>
        <v>5/11</v>
      </c>
      <c r="BB5" s="407" t="str">
        <f>Model!BC6</f>
        <v>8/11</v>
      </c>
      <c r="BC5" s="407" t="str">
        <f>Model!BD6</f>
        <v>11/11</v>
      </c>
      <c r="BD5" s="456" t="str">
        <f>Model!BE6</f>
        <v>FY11</v>
      </c>
      <c r="BE5" s="407" t="str">
        <f>Model!BF6</f>
        <v xml:space="preserve"> 2/12</v>
      </c>
      <c r="BF5" s="407" t="str">
        <f>Model!BG6</f>
        <v>5/12</v>
      </c>
      <c r="BG5" s="407" t="str">
        <f>Model!BH6</f>
        <v>8/12</v>
      </c>
      <c r="BH5" s="407" t="str">
        <f>Model!BI6</f>
        <v>11/12</v>
      </c>
      <c r="BI5" s="456" t="str">
        <f>Model!BJ6</f>
        <v>FY12</v>
      </c>
      <c r="BJ5" s="407" t="str">
        <f>Model!BK6</f>
        <v xml:space="preserve"> 2/13</v>
      </c>
      <c r="BK5" s="407" t="str">
        <f>Model!BL6</f>
        <v>5/13</v>
      </c>
      <c r="BL5" s="407" t="str">
        <f>Model!BM6</f>
        <v>8/13</v>
      </c>
      <c r="BM5" s="407" t="str">
        <f>Model!BN6</f>
        <v>11/13</v>
      </c>
      <c r="BN5" s="456" t="str">
        <f>Model!BO6</f>
        <v>FY13</v>
      </c>
      <c r="BO5" s="407" t="str">
        <f>Model!BP6</f>
        <v xml:space="preserve"> 2/14</v>
      </c>
      <c r="BP5" s="407" t="str">
        <f>Model!BQ6</f>
        <v>5/14</v>
      </c>
      <c r="BQ5" s="407" t="str">
        <f>Model!BR6</f>
        <v>8/14</v>
      </c>
      <c r="BR5" s="407" t="str">
        <f>Model!BS6</f>
        <v>11/14</v>
      </c>
      <c r="BS5" s="456" t="str">
        <f>Model!BT6</f>
        <v>FY14</v>
      </c>
      <c r="BT5" s="407" t="str">
        <f>Model!BU6</f>
        <v xml:space="preserve"> 2/15</v>
      </c>
      <c r="BU5" s="407" t="str">
        <f>Model!BV6</f>
        <v>5/15</v>
      </c>
      <c r="BV5" s="407" t="str">
        <f>Model!BW6</f>
        <v>8/15</v>
      </c>
      <c r="BW5" s="407" t="str">
        <f>Model!BX6</f>
        <v>11/15</v>
      </c>
      <c r="BX5" s="456" t="str">
        <f>Model!BY6</f>
        <v>FY15</v>
      </c>
      <c r="BY5" s="407" t="str">
        <f>Model!BZ6</f>
        <v xml:space="preserve"> 2/16</v>
      </c>
      <c r="BZ5" s="407" t="str">
        <f>Model!CA6</f>
        <v>5/16</v>
      </c>
      <c r="CA5" s="407" t="str">
        <f>Model!CB6</f>
        <v>8/16</v>
      </c>
      <c r="CB5" s="407" t="str">
        <f>Model!CC6</f>
        <v>11/16</v>
      </c>
      <c r="CC5" s="456" t="str">
        <f>Model!CD6</f>
        <v>FY16</v>
      </c>
      <c r="CD5" s="407" t="str">
        <f>Model!CE6</f>
        <v xml:space="preserve"> 2/17</v>
      </c>
      <c r="CE5" s="407" t="str">
        <f>Model!CF6</f>
        <v>5/17</v>
      </c>
      <c r="CF5" s="407" t="str">
        <f>Model!CG6</f>
        <v>8/17</v>
      </c>
      <c r="CG5" s="407" t="str">
        <f>Model!CH6</f>
        <v>11/17</v>
      </c>
      <c r="CH5" s="456" t="str">
        <f>Model!CI6</f>
        <v>FY17</v>
      </c>
      <c r="CI5" s="407" t="str">
        <f>Model!CJ6</f>
        <v xml:space="preserve"> 2/18</v>
      </c>
      <c r="CJ5" s="407" t="str">
        <f>Model!CK6</f>
        <v>5/18E</v>
      </c>
      <c r="CK5" s="407" t="str">
        <f>Model!CL6</f>
        <v>8/18E</v>
      </c>
      <c r="CL5" s="407" t="str">
        <f>Model!CM6</f>
        <v>11/18E</v>
      </c>
      <c r="CM5" s="456" t="str">
        <f>Model!CN6</f>
        <v>FY18E</v>
      </c>
      <c r="CN5" s="407" t="str">
        <f>Model!CO6</f>
        <v xml:space="preserve"> 2/19E</v>
      </c>
      <c r="CO5" s="407" t="str">
        <f>Model!CP6</f>
        <v>5/19E</v>
      </c>
      <c r="CP5" s="407" t="str">
        <f>Model!CQ6</f>
        <v>8/19E</v>
      </c>
      <c r="CQ5" s="407" t="str">
        <f>Model!CR6</f>
        <v>11/19E</v>
      </c>
      <c r="CR5" s="456" t="str">
        <f>Model!CS6</f>
        <v>FY19E</v>
      </c>
      <c r="CS5" s="407" t="str">
        <f>Model!CT6</f>
        <v xml:space="preserve"> 2/20E</v>
      </c>
      <c r="CT5" s="407" t="str">
        <f>Model!CU6</f>
        <v>5/20E</v>
      </c>
      <c r="CU5" s="407" t="str">
        <f>Model!CV6</f>
        <v>8/20E</v>
      </c>
      <c r="CV5" s="407" t="str">
        <f>Model!CW6</f>
        <v>11/20E</v>
      </c>
      <c r="CW5" s="456" t="str">
        <f>Model!CX6</f>
        <v>FY20E</v>
      </c>
      <c r="CZ5" s="410"/>
      <c r="DA5" s="409"/>
      <c r="DB5" s="409"/>
    </row>
    <row r="6" spans="1:106" ht="5.25" customHeight="1">
      <c r="A6" s="114"/>
      <c r="B6" s="117"/>
      <c r="C6" s="117"/>
      <c r="D6" s="117"/>
      <c r="E6" s="117"/>
      <c r="F6" s="119"/>
      <c r="G6" s="117"/>
      <c r="H6" s="117"/>
      <c r="I6" s="117"/>
      <c r="J6" s="117"/>
      <c r="K6" s="119"/>
      <c r="L6" s="117"/>
      <c r="M6" s="117"/>
      <c r="N6" s="117"/>
      <c r="O6" s="117"/>
      <c r="P6" s="119"/>
      <c r="Q6" s="117"/>
      <c r="R6" s="117"/>
      <c r="S6" s="117"/>
      <c r="T6" s="117"/>
      <c r="U6" s="119"/>
      <c r="V6" s="117"/>
      <c r="W6" s="117"/>
      <c r="X6" s="117"/>
      <c r="Y6" s="117"/>
      <c r="Z6" s="119"/>
      <c r="AA6" s="117"/>
      <c r="AB6" s="117"/>
      <c r="AC6" s="117"/>
      <c r="AD6" s="117"/>
      <c r="AE6" s="119"/>
      <c r="AF6" s="117"/>
      <c r="AG6" s="117"/>
      <c r="AH6" s="117"/>
      <c r="AI6" s="117"/>
      <c r="AJ6" s="119"/>
      <c r="AK6" s="117"/>
      <c r="AL6" s="117"/>
      <c r="AM6" s="117"/>
      <c r="AN6" s="117"/>
      <c r="AO6" s="119"/>
      <c r="AP6" s="117"/>
      <c r="AQ6" s="117"/>
      <c r="AR6" s="117"/>
      <c r="AS6" s="117"/>
      <c r="AT6" s="119"/>
      <c r="AU6" s="117"/>
      <c r="AV6" s="117"/>
      <c r="AW6" s="117"/>
      <c r="AX6" s="117"/>
      <c r="AY6" s="119"/>
      <c r="AZ6" s="117"/>
      <c r="BA6" s="117"/>
      <c r="BB6" s="117"/>
      <c r="BC6" s="117"/>
      <c r="BD6" s="119"/>
      <c r="BE6" s="117"/>
      <c r="BF6" s="117"/>
      <c r="BG6" s="117"/>
      <c r="BH6" s="117"/>
      <c r="BI6" s="119"/>
      <c r="BJ6" s="117"/>
      <c r="BK6" s="117"/>
      <c r="BL6" s="117"/>
      <c r="BM6" s="117"/>
      <c r="BN6" s="119"/>
      <c r="BO6" s="117"/>
      <c r="BP6" s="117"/>
      <c r="BQ6" s="117"/>
      <c r="BR6" s="117"/>
      <c r="BS6" s="119"/>
      <c r="BT6" s="117"/>
      <c r="BU6" s="117"/>
      <c r="BV6" s="117"/>
      <c r="BW6" s="117"/>
      <c r="BX6" s="119"/>
      <c r="BY6" s="117"/>
      <c r="BZ6" s="117"/>
      <c r="CA6" s="117"/>
      <c r="CB6" s="117"/>
      <c r="CC6" s="119"/>
      <c r="CD6" s="117"/>
      <c r="CE6" s="117"/>
      <c r="CF6" s="117"/>
      <c r="CG6" s="117"/>
      <c r="CH6" s="119"/>
      <c r="CI6" s="117"/>
      <c r="CJ6" s="117"/>
      <c r="CK6" s="117"/>
      <c r="CL6" s="117"/>
      <c r="CM6" s="119"/>
      <c r="CN6" s="117"/>
      <c r="CO6" s="117"/>
      <c r="CP6" s="117"/>
      <c r="CQ6" s="117"/>
      <c r="CR6" s="119"/>
      <c r="CS6" s="117"/>
      <c r="CT6" s="117"/>
      <c r="CU6" s="117"/>
      <c r="CV6" s="117"/>
      <c r="CW6" s="119"/>
      <c r="CZ6" s="126"/>
      <c r="DA6" s="117"/>
      <c r="DB6" s="117"/>
    </row>
    <row r="7" spans="1:106">
      <c r="A7" s="414" t="s">
        <v>8</v>
      </c>
      <c r="B7" s="414"/>
      <c r="C7" s="414"/>
      <c r="D7" s="414"/>
      <c r="E7" s="414"/>
      <c r="F7" s="781"/>
      <c r="G7" s="414"/>
      <c r="H7" s="414"/>
      <c r="I7" s="414"/>
      <c r="J7" s="414"/>
      <c r="K7" s="781"/>
      <c r="L7" s="414"/>
      <c r="M7" s="414"/>
      <c r="N7" s="414"/>
      <c r="O7" s="414"/>
      <c r="P7" s="781"/>
      <c r="Q7" s="414"/>
      <c r="R7" s="414"/>
      <c r="S7" s="414"/>
      <c r="T7" s="414"/>
      <c r="U7" s="781"/>
      <c r="V7" s="414"/>
      <c r="W7" s="414"/>
      <c r="X7" s="414"/>
      <c r="Y7" s="414"/>
      <c r="Z7" s="781"/>
      <c r="AA7" s="414"/>
      <c r="AB7" s="414"/>
      <c r="AC7" s="414"/>
      <c r="AD7" s="414"/>
      <c r="AE7" s="781"/>
      <c r="AF7" s="414"/>
      <c r="AG7" s="414"/>
      <c r="AH7" s="414"/>
      <c r="AI7" s="414"/>
      <c r="AJ7" s="781"/>
      <c r="AK7" s="414"/>
      <c r="AL7" s="414"/>
      <c r="AM7" s="414"/>
      <c r="AN7" s="414"/>
      <c r="AO7" s="781"/>
      <c r="AP7" s="414"/>
      <c r="AQ7" s="414"/>
      <c r="AR7" s="414"/>
      <c r="AS7" s="414"/>
      <c r="AT7" s="781"/>
      <c r="AU7" s="414"/>
      <c r="AV7" s="414"/>
      <c r="AW7" s="414"/>
      <c r="AX7" s="414"/>
      <c r="AY7" s="781"/>
      <c r="AZ7" s="414"/>
      <c r="BA7" s="414"/>
      <c r="BB7" s="414"/>
      <c r="BC7" s="414"/>
      <c r="BD7" s="781"/>
      <c r="BE7" s="414"/>
      <c r="BF7" s="414"/>
      <c r="BG7" s="414"/>
      <c r="BH7" s="414"/>
      <c r="BI7" s="781"/>
      <c r="BJ7" s="414"/>
      <c r="BK7" s="414"/>
      <c r="BL7" s="414"/>
      <c r="BM7" s="414"/>
      <c r="BN7" s="781"/>
      <c r="BO7" s="414"/>
      <c r="BP7" s="414"/>
      <c r="BQ7" s="414"/>
      <c r="BR7" s="414"/>
      <c r="BS7" s="781"/>
      <c r="BT7" s="414"/>
      <c r="BU7" s="414"/>
      <c r="BV7" s="414"/>
      <c r="BW7" s="414"/>
      <c r="BX7" s="781"/>
      <c r="BY7" s="414"/>
      <c r="BZ7" s="414"/>
      <c r="CA7" s="414"/>
      <c r="CB7" s="414"/>
      <c r="CC7" s="781"/>
      <c r="CD7" s="414"/>
      <c r="CE7" s="414"/>
      <c r="CF7" s="414"/>
      <c r="CG7" s="414"/>
      <c r="CH7" s="781"/>
      <c r="CI7" s="414"/>
      <c r="CJ7" s="414"/>
      <c r="CK7" s="414"/>
      <c r="CL7" s="414"/>
      <c r="CM7" s="781"/>
      <c r="CN7" s="414"/>
      <c r="CO7" s="414"/>
      <c r="CP7" s="414"/>
      <c r="CQ7" s="414"/>
      <c r="CR7" s="781"/>
      <c r="CS7" s="414"/>
      <c r="CT7" s="414"/>
      <c r="CU7" s="414"/>
      <c r="CV7" s="414"/>
      <c r="CW7" s="781"/>
      <c r="CZ7" s="201"/>
      <c r="DA7" s="414"/>
      <c r="DB7" s="414"/>
    </row>
    <row r="8" spans="1:106">
      <c r="A8" s="200" t="s">
        <v>134</v>
      </c>
      <c r="B8" s="417"/>
      <c r="C8" s="417"/>
      <c r="D8" s="417"/>
      <c r="E8" s="417"/>
      <c r="F8" s="311"/>
      <c r="G8" s="419" t="s">
        <v>131</v>
      </c>
      <c r="H8" s="419" t="s">
        <v>131</v>
      </c>
      <c r="I8" s="419" t="s">
        <v>131</v>
      </c>
      <c r="J8" s="419" t="s">
        <v>131</v>
      </c>
      <c r="K8" s="782" t="s">
        <v>131</v>
      </c>
      <c r="L8" s="417">
        <f t="shared" ref="L8:AY8" si="0">L9/G9-1</f>
        <v>0.10824723026846228</v>
      </c>
      <c r="M8" s="417">
        <f t="shared" si="0"/>
        <v>8.7818527282979009E-3</v>
      </c>
      <c r="N8" s="417">
        <f t="shared" si="0"/>
        <v>0.12020191028471716</v>
      </c>
      <c r="O8" s="417">
        <f t="shared" si="0"/>
        <v>0.21697312780413602</v>
      </c>
      <c r="P8" s="311">
        <f t="shared" si="0"/>
        <v>0.11157481018004978</v>
      </c>
      <c r="Q8" s="417">
        <f t="shared" si="0"/>
        <v>0.42569258492059503</v>
      </c>
      <c r="R8" s="417">
        <f t="shared" si="0"/>
        <v>0.28093120013993622</v>
      </c>
      <c r="S8" s="417">
        <f t="shared" si="0"/>
        <v>0.26507417226013885</v>
      </c>
      <c r="T8" s="417">
        <f t="shared" si="0"/>
        <v>0.19776566848677879</v>
      </c>
      <c r="U8" s="311">
        <f t="shared" si="0"/>
        <v>0.28718462033954095</v>
      </c>
      <c r="V8" s="417">
        <f t="shared" si="0"/>
        <v>0.11718220283924863</v>
      </c>
      <c r="W8" s="417">
        <f t="shared" si="0"/>
        <v>0.20957606349903068</v>
      </c>
      <c r="X8" s="417">
        <f t="shared" si="0"/>
        <v>0.20639910035099196</v>
      </c>
      <c r="Y8" s="417">
        <f t="shared" si="0"/>
        <v>0.18828550274503986</v>
      </c>
      <c r="Z8" s="311">
        <f t="shared" si="0"/>
        <v>0.17985324445676532</v>
      </c>
      <c r="AA8" s="417">
        <f t="shared" si="0"/>
        <v>0.38613438447646575</v>
      </c>
      <c r="AB8" s="417">
        <f t="shared" si="0"/>
        <v>0.28108638809424447</v>
      </c>
      <c r="AC8" s="417">
        <f t="shared" si="0"/>
        <v>0.23643281133543703</v>
      </c>
      <c r="AD8" s="417">
        <f t="shared" si="0"/>
        <v>0.33662570953286886</v>
      </c>
      <c r="AE8" s="311">
        <f t="shared" si="0"/>
        <v>0.30970477353392445</v>
      </c>
      <c r="AF8" s="417">
        <f t="shared" si="0"/>
        <v>-9.2619431926014295E-3</v>
      </c>
      <c r="AG8" s="417">
        <f t="shared" si="0"/>
        <v>0.17329445311713165</v>
      </c>
      <c r="AH8" s="417">
        <f t="shared" si="0"/>
        <v>0.41431207042283935</v>
      </c>
      <c r="AI8" s="417">
        <f t="shared" si="0"/>
        <v>0.33574376076519963</v>
      </c>
      <c r="AJ8" s="311">
        <f t="shared" si="0"/>
        <v>0.22621869296780961</v>
      </c>
      <c r="AK8" s="417">
        <f t="shared" si="0"/>
        <v>0.37116631018760171</v>
      </c>
      <c r="AL8" s="417">
        <f t="shared" si="0"/>
        <v>0.18952971993503032</v>
      </c>
      <c r="AM8" s="417">
        <f t="shared" si="0"/>
        <v>4.1765392409878865E-2</v>
      </c>
      <c r="AN8" s="417">
        <f t="shared" si="0"/>
        <v>4.4885322938374994E-3</v>
      </c>
      <c r="AO8" s="311">
        <f t="shared" si="0"/>
        <v>0.13363644798521523</v>
      </c>
      <c r="AP8" s="417">
        <f t="shared" si="0"/>
        <v>-0.11685730168623554</v>
      </c>
      <c r="AQ8" s="417">
        <f t="shared" si="0"/>
        <v>-0.2054525609830351</v>
      </c>
      <c r="AR8" s="417">
        <f t="shared" si="0"/>
        <v>-0.21386137274769301</v>
      </c>
      <c r="AS8" s="417">
        <f t="shared" si="0"/>
        <v>-0.17264047564680907</v>
      </c>
      <c r="AT8" s="311">
        <f t="shared" si="0"/>
        <v>-0.17711051934850497</v>
      </c>
      <c r="AU8" s="417">
        <f t="shared" si="0"/>
        <v>9.195183051666489E-2</v>
      </c>
      <c r="AV8" s="417">
        <f t="shared" si="0"/>
        <v>0.33825902226990379</v>
      </c>
      <c r="AW8" s="417">
        <f t="shared" si="0"/>
        <v>0.41979793751173822</v>
      </c>
      <c r="AX8" s="417">
        <f t="shared" si="0"/>
        <v>0.33100307282746333</v>
      </c>
      <c r="AY8" s="311">
        <f t="shared" si="0"/>
        <v>0.28994895536199539</v>
      </c>
      <c r="AZ8" s="417">
        <f t="shared" ref="AZ8:BI8" si="1">AZ9/AU9-1</f>
        <v>0.19681611738674754</v>
      </c>
      <c r="BA8" s="417">
        <f t="shared" si="1"/>
        <v>8.4985180825738249E-2</v>
      </c>
      <c r="BB8" s="417">
        <f t="shared" si="1"/>
        <v>2.3116793679612169E-2</v>
      </c>
      <c r="BC8" s="417">
        <f t="shared" si="1"/>
        <v>0.14307810140622612</v>
      </c>
      <c r="BD8" s="311">
        <f t="shared" si="1"/>
        <v>0.10954157894736838</v>
      </c>
      <c r="BE8" s="417">
        <f t="shared" si="1"/>
        <v>1.704183881382404E-2</v>
      </c>
      <c r="BF8" s="417">
        <f t="shared" si="1"/>
        <v>9.8975839027188872E-2</v>
      </c>
      <c r="BG8" s="417">
        <f t="shared" si="1"/>
        <v>6.6489540194944352E-2</v>
      </c>
      <c r="BH8" s="417">
        <f t="shared" si="1"/>
        <v>1.0996727019922936E-3</v>
      </c>
      <c r="BI8" s="311">
        <f t="shared" si="1"/>
        <v>4.4451501781911817E-2</v>
      </c>
      <c r="BJ8" s="417">
        <f t="shared" ref="BJ8:BS8" si="2">BJ9/BE9-1</f>
        <v>-3.573123361588959E-2</v>
      </c>
      <c r="BK8" s="417">
        <f t="shared" si="2"/>
        <v>-0.10129405602210517</v>
      </c>
      <c r="BL8" s="417">
        <f t="shared" si="2"/>
        <v>-7.9088082326158049E-2</v>
      </c>
      <c r="BM8" s="417">
        <f t="shared" si="2"/>
        <v>-9.6866904566214829E-2</v>
      </c>
      <c r="BN8" s="311">
        <f t="shared" si="2"/>
        <v>-7.9124104697052E-2</v>
      </c>
      <c r="BO8" s="417">
        <f t="shared" si="2"/>
        <v>-7.6924374400345608E-3</v>
      </c>
      <c r="BP8" s="417">
        <f t="shared" si="2"/>
        <v>5.7057104603537301E-2</v>
      </c>
      <c r="BQ8" s="417">
        <f t="shared" si="2"/>
        <v>1.034047184306619E-2</v>
      </c>
      <c r="BR8" s="417">
        <f t="shared" si="2"/>
        <v>3.0362897535660682E-2</v>
      </c>
      <c r="BS8" s="311">
        <f t="shared" si="2"/>
        <v>2.2643542675649497E-2</v>
      </c>
      <c r="BT8" s="417">
        <f t="shared" ref="BT8:CC8" si="3">BT9/BO9-1</f>
        <v>0.10904791425029003</v>
      </c>
      <c r="BU8" s="417">
        <f t="shared" si="3"/>
        <v>8.7951035753336182E-2</v>
      </c>
      <c r="BV8" s="417">
        <f t="shared" si="3"/>
        <v>0.21121652979036387</v>
      </c>
      <c r="BW8" s="417">
        <f t="shared" si="3"/>
        <v>0.21715263181431932</v>
      </c>
      <c r="BX8" s="311">
        <f t="shared" si="3"/>
        <v>0.15636263236771031</v>
      </c>
      <c r="BY8" s="417">
        <f t="shared" si="3"/>
        <v>0.24716795545542158</v>
      </c>
      <c r="BZ8" s="417">
        <f t="shared" si="3"/>
        <v>0.20354461269465962</v>
      </c>
      <c r="CA8" s="417">
        <f t="shared" si="3"/>
        <v>0.20217233496035369</v>
      </c>
      <c r="CB8" s="417">
        <f t="shared" si="3"/>
        <v>0.23118040054990652</v>
      </c>
      <c r="CC8" s="311">
        <f t="shared" si="3"/>
        <v>0.22081463268460877</v>
      </c>
      <c r="CD8" s="417">
        <f t="shared" ref="CD8:CM8" si="4">CD9/BY9-1</f>
        <v>0.21564624620934181</v>
      </c>
      <c r="CE8" s="417">
        <f t="shared" si="4"/>
        <v>0.26701837194155464</v>
      </c>
      <c r="CF8" s="417">
        <f t="shared" si="4"/>
        <v>0.2575925550234397</v>
      </c>
      <c r="CG8" s="417">
        <f t="shared" si="4"/>
        <v>0.24755738399011706</v>
      </c>
      <c r="CH8" s="311">
        <f t="shared" si="4"/>
        <v>0.24717607008709641</v>
      </c>
      <c r="CI8" s="417">
        <f t="shared" si="4"/>
        <v>0.2362572146575439</v>
      </c>
      <c r="CJ8" s="417">
        <f t="shared" si="4"/>
        <v>0.22729600805772954</v>
      </c>
      <c r="CK8" s="417">
        <f t="shared" si="4"/>
        <v>0.22834594559604304</v>
      </c>
      <c r="CL8" s="417">
        <f t="shared" si="4"/>
        <v>0.18599143237949023</v>
      </c>
      <c r="CM8" s="311">
        <f t="shared" si="4"/>
        <v>0.21827335244139934</v>
      </c>
      <c r="CN8" s="417">
        <f t="shared" ref="CN8:CW8" si="5">CN9/CI9-1</f>
        <v>0.1873574206309605</v>
      </c>
      <c r="CO8" s="417">
        <f t="shared" si="5"/>
        <v>0.18204864316185554</v>
      </c>
      <c r="CP8" s="417">
        <f t="shared" si="5"/>
        <v>0.18424067426403723</v>
      </c>
      <c r="CQ8" s="417">
        <f t="shared" si="5"/>
        <v>0.18358536700575123</v>
      </c>
      <c r="CR8" s="311">
        <f t="shared" si="5"/>
        <v>0.1842578043413714</v>
      </c>
      <c r="CS8" s="417">
        <f t="shared" si="5"/>
        <v>0.17662998696590315</v>
      </c>
      <c r="CT8" s="417">
        <f t="shared" si="5"/>
        <v>0.16839580838089674</v>
      </c>
      <c r="CU8" s="417">
        <f t="shared" si="5"/>
        <v>0.15941624390929077</v>
      </c>
      <c r="CV8" s="417">
        <f t="shared" si="5"/>
        <v>0.15087745754951265</v>
      </c>
      <c r="CW8" s="311">
        <f t="shared" si="5"/>
        <v>0.16335826233020456</v>
      </c>
      <c r="CZ8" s="201"/>
      <c r="DA8" s="200"/>
      <c r="DB8" s="200"/>
    </row>
    <row r="9" spans="1:106" hidden="1" outlineLevel="1">
      <c r="A9" s="553" t="s">
        <v>134</v>
      </c>
      <c r="B9" s="783"/>
      <c r="C9" s="783"/>
      <c r="D9" s="783"/>
      <c r="E9" s="783"/>
      <c r="F9" s="784"/>
      <c r="G9" s="783">
        <f>Model!H24</f>
        <v>267.89600000000002</v>
      </c>
      <c r="H9" s="783">
        <f>Model!I24</f>
        <v>317.35900000000004</v>
      </c>
      <c r="I9" s="783">
        <f>Model!J24</f>
        <v>284.87900000000002</v>
      </c>
      <c r="J9" s="783">
        <f>Model!K24</f>
        <v>294.654</v>
      </c>
      <c r="K9" s="784">
        <f>SUM(G9:J9)</f>
        <v>1164.788</v>
      </c>
      <c r="L9" s="783">
        <f>Model!M24</f>
        <v>296.89499999999998</v>
      </c>
      <c r="M9" s="783">
        <f>Model!N24</f>
        <v>320.14599999999996</v>
      </c>
      <c r="N9" s="783">
        <f>Model!O24</f>
        <v>319.12199999999996</v>
      </c>
      <c r="O9" s="783">
        <f>Model!P24</f>
        <v>358.5859999999999</v>
      </c>
      <c r="P9" s="784">
        <f>SUM(L9:O9)</f>
        <v>1294.7489999999998</v>
      </c>
      <c r="Q9" s="783">
        <f>Model!R24</f>
        <v>423.28100000000001</v>
      </c>
      <c r="R9" s="783">
        <f>Model!S24</f>
        <v>410.08499999999998</v>
      </c>
      <c r="S9" s="783">
        <f>Model!T24</f>
        <v>403.71299999999997</v>
      </c>
      <c r="T9" s="783">
        <f>Model!U24</f>
        <v>429.50199999999995</v>
      </c>
      <c r="U9" s="784">
        <f>SUM(Q9:T9)</f>
        <v>1666.5809999999999</v>
      </c>
      <c r="V9" s="783">
        <f>Model!W24</f>
        <v>472.88200000000001</v>
      </c>
      <c r="W9" s="783">
        <f>Model!X24</f>
        <v>496.029</v>
      </c>
      <c r="X9" s="783">
        <f>Model!Y24</f>
        <v>487.03899999999999</v>
      </c>
      <c r="Y9" s="783">
        <f>Model!Z24</f>
        <v>510.37100000000009</v>
      </c>
      <c r="Z9" s="784">
        <f>SUM(V9:Y9)</f>
        <v>1966.3210000000001</v>
      </c>
      <c r="AA9" s="783">
        <f>Model!AB24</f>
        <v>655.47800000000007</v>
      </c>
      <c r="AB9" s="783">
        <f>Model!AC24</f>
        <v>635.45600000000002</v>
      </c>
      <c r="AC9" s="783">
        <f>Model!AD24</f>
        <v>602.19099999999992</v>
      </c>
      <c r="AD9" s="783">
        <f>Model!AE24</f>
        <v>682.17499999999995</v>
      </c>
      <c r="AE9" s="784">
        <f>SUM(AA9:AD9)</f>
        <v>2575.3000000000002</v>
      </c>
      <c r="AF9" s="783">
        <f>Model!AG24</f>
        <v>649.40700000000004</v>
      </c>
      <c r="AG9" s="783">
        <f>Model!AH24</f>
        <v>745.577</v>
      </c>
      <c r="AH9" s="783">
        <f>Model!AI24</f>
        <v>851.68599999999992</v>
      </c>
      <c r="AI9" s="783">
        <f>Model!AJ24</f>
        <v>911.21100000000001</v>
      </c>
      <c r="AJ9" s="784">
        <f>SUM(AF9:AI9)</f>
        <v>3157.8810000000003</v>
      </c>
      <c r="AK9" s="783">
        <f>Model!AL24</f>
        <v>890.44499999999994</v>
      </c>
      <c r="AL9" s="783">
        <f>Model!AM24</f>
        <v>886.88600000000008</v>
      </c>
      <c r="AM9" s="783">
        <f>Model!AN24</f>
        <v>887.25699999999995</v>
      </c>
      <c r="AN9" s="783">
        <f>Model!AO24</f>
        <v>915.30100000000004</v>
      </c>
      <c r="AO9" s="784">
        <f>SUM(AK9:AN9)</f>
        <v>3579.8890000000001</v>
      </c>
      <c r="AP9" s="783">
        <f>Model!AQ24</f>
        <v>786.39</v>
      </c>
      <c r="AQ9" s="783">
        <f>Model!AR24</f>
        <v>704.673</v>
      </c>
      <c r="AR9" s="783">
        <f>Model!AS24</f>
        <v>697.50700000000006</v>
      </c>
      <c r="AS9" s="783">
        <f>Model!AT24</f>
        <v>757.28300000000002</v>
      </c>
      <c r="AT9" s="784">
        <f>SUM(AP9:AS9)</f>
        <v>2945.8530000000001</v>
      </c>
      <c r="AU9" s="783">
        <f>Model!AV24</f>
        <v>858.7</v>
      </c>
      <c r="AV9" s="783">
        <f>Model!AW24</f>
        <v>943.03499999999997</v>
      </c>
      <c r="AW9" s="783">
        <f>Model!AX24</f>
        <v>990.31900000000007</v>
      </c>
      <c r="AX9" s="783">
        <f>Model!AY24</f>
        <v>1007.9459999999999</v>
      </c>
      <c r="AY9" s="784">
        <f>SUM(AU9:AX9)</f>
        <v>3800</v>
      </c>
      <c r="AZ9" s="783">
        <f>Model!BA24</f>
        <v>1027.7060000000001</v>
      </c>
      <c r="BA9" s="783">
        <f>Model!BB24</f>
        <v>1023.179</v>
      </c>
      <c r="BB9" s="783">
        <f>Model!BC24</f>
        <v>1013.212</v>
      </c>
      <c r="BC9" s="783">
        <f>Model!BD24</f>
        <v>1152.1609999999998</v>
      </c>
      <c r="BD9" s="784">
        <f>SUM(AZ9:BC9)</f>
        <v>4216.2579999999998</v>
      </c>
      <c r="BE9" s="783">
        <f>Model!BF24</f>
        <v>1045.22</v>
      </c>
      <c r="BF9" s="783">
        <f>Model!BG24</f>
        <v>1124.4490000000001</v>
      </c>
      <c r="BG9" s="783">
        <f>Model!BH24</f>
        <v>1080.58</v>
      </c>
      <c r="BH9" s="783">
        <f>Model!BI24</f>
        <v>1153.4279999999999</v>
      </c>
      <c r="BI9" s="784">
        <f>SUM(BE9:BH9)</f>
        <v>4403.6769999999997</v>
      </c>
      <c r="BJ9" s="783">
        <f>Model!BK24</f>
        <v>1007.8729999999999</v>
      </c>
      <c r="BK9" s="783">
        <f>Model!BL24</f>
        <v>1010.549</v>
      </c>
      <c r="BL9" s="783">
        <f>Model!BM24</f>
        <v>995.11900000000003</v>
      </c>
      <c r="BM9" s="783">
        <f>Model!BN24</f>
        <v>1041.6989999999998</v>
      </c>
      <c r="BN9" s="784">
        <f>SUM(BJ9:BM9)</f>
        <v>4055.24</v>
      </c>
      <c r="BO9" s="783">
        <f>Model!BP24</f>
        <v>1000.12</v>
      </c>
      <c r="BP9" s="783">
        <f>Model!BQ24</f>
        <v>1068.2080000000001</v>
      </c>
      <c r="BQ9" s="783">
        <f>Model!BR24</f>
        <v>1005.4090000000001</v>
      </c>
      <c r="BR9" s="783">
        <f>Model!BS24</f>
        <v>1073.328</v>
      </c>
      <c r="BS9" s="784">
        <f>SUM(BO9:BR9)</f>
        <v>4147.0650000000005</v>
      </c>
      <c r="BT9" s="783">
        <f>Model!BU24</f>
        <v>1109.181</v>
      </c>
      <c r="BU9" s="783">
        <f>Model!BV24</f>
        <v>1162.1579999999999</v>
      </c>
      <c r="BV9" s="783">
        <f>Model!BW24</f>
        <v>1217.768</v>
      </c>
      <c r="BW9" s="783">
        <f>Model!BX24</f>
        <v>1306.4039999999998</v>
      </c>
      <c r="BX9" s="784">
        <f>SUM(BT9:BW9)</f>
        <v>4795.5109999999995</v>
      </c>
      <c r="BY9" s="783">
        <f>Model!BZ24</f>
        <v>1383.335</v>
      </c>
      <c r="BZ9" s="783">
        <f>Model!CA24</f>
        <v>1398.7090000000001</v>
      </c>
      <c r="CA9" s="783">
        <f>Model!CB24</f>
        <v>1463.9670000000001</v>
      </c>
      <c r="CB9" s="783">
        <f>Model!CC24</f>
        <v>1608.4189999999999</v>
      </c>
      <c r="CC9" s="784">
        <f>SUM(BY9:CB9)</f>
        <v>5854.43</v>
      </c>
      <c r="CD9" s="783">
        <f>Model!CE24</f>
        <v>1681.646</v>
      </c>
      <c r="CE9" s="783">
        <f>Model!CF24</f>
        <v>1772.19</v>
      </c>
      <c r="CF9" s="783">
        <f>Model!CG24</f>
        <v>1841.0740000000001</v>
      </c>
      <c r="CG9" s="783">
        <f>Model!CH24</f>
        <v>2006.595</v>
      </c>
      <c r="CH9" s="784">
        <f>SUM(CD9:CG9)</f>
        <v>7301.5050000000001</v>
      </c>
      <c r="CI9" s="783">
        <f>Model!CJ24</f>
        <v>2078.9470000000001</v>
      </c>
      <c r="CJ9" s="783">
        <f>Model!CK24</f>
        <v>2175.0017125198278</v>
      </c>
      <c r="CK9" s="783">
        <f>Model!CL24</f>
        <v>2261.4757834422894</v>
      </c>
      <c r="CL9" s="783">
        <f>Model!CM24</f>
        <v>2379.804478255523</v>
      </c>
      <c r="CM9" s="784">
        <f>SUM(CI9:CL9)</f>
        <v>8895.2289742176399</v>
      </c>
      <c r="CN9" s="783">
        <f>Model!CO24</f>
        <v>2468.4531475484737</v>
      </c>
      <c r="CO9" s="783">
        <f>Model!CP24</f>
        <v>2570.9578231587748</v>
      </c>
      <c r="CP9" s="783">
        <f>Model!CQ24</f>
        <v>2678.1316066154886</v>
      </c>
      <c r="CQ9" s="783">
        <f>Model!CR24</f>
        <v>2816.7017567979938</v>
      </c>
      <c r="CR9" s="784">
        <f>SUM(CN9:CQ9)</f>
        <v>10534.244334120731</v>
      </c>
      <c r="CS9" s="783">
        <f>Model!CT24</f>
        <v>2904.455994825903</v>
      </c>
      <c r="CT9" s="783">
        <f>Model!CU24</f>
        <v>3003.8963441027872</v>
      </c>
      <c r="CU9" s="783">
        <f>Model!CV24</f>
        <v>3105.0692880368842</v>
      </c>
      <c r="CV9" s="783">
        <f>Model!CW24</f>
        <v>3241.6785565389209</v>
      </c>
      <c r="CW9" s="784">
        <f>SUM(CS9:CV9)</f>
        <v>12255.100183504495</v>
      </c>
      <c r="CZ9" s="415"/>
      <c r="DA9" s="414"/>
      <c r="DB9" s="414"/>
    </row>
    <row r="10" spans="1:106" hidden="1" outlineLevel="1">
      <c r="A10" s="785" t="s">
        <v>682</v>
      </c>
      <c r="B10" s="650"/>
      <c r="C10" s="650"/>
      <c r="D10" s="650"/>
      <c r="E10" s="650"/>
      <c r="F10" s="649"/>
      <c r="G10" s="650">
        <v>0</v>
      </c>
      <c r="H10" s="650">
        <v>0</v>
      </c>
      <c r="I10" s="650">
        <v>0</v>
      </c>
      <c r="J10" s="650">
        <v>0</v>
      </c>
      <c r="K10" s="649">
        <f>SUM(G10:J10)</f>
        <v>0</v>
      </c>
      <c r="L10" s="650">
        <v>0</v>
      </c>
      <c r="M10" s="650">
        <v>0</v>
      </c>
      <c r="N10" s="650">
        <v>0</v>
      </c>
      <c r="O10" s="650">
        <v>0</v>
      </c>
      <c r="P10" s="649">
        <f>SUM(L10:O10)</f>
        <v>0</v>
      </c>
      <c r="Q10" s="650">
        <v>0</v>
      </c>
      <c r="R10" s="650">
        <v>0</v>
      </c>
      <c r="S10" s="650">
        <v>0</v>
      </c>
      <c r="T10" s="650">
        <v>0</v>
      </c>
      <c r="U10" s="649">
        <f>SUM(Q10:T10)</f>
        <v>0</v>
      </c>
      <c r="V10" s="650">
        <v>0</v>
      </c>
      <c r="W10" s="650">
        <v>0</v>
      </c>
      <c r="X10" s="650">
        <v>0</v>
      </c>
      <c r="Y10" s="650">
        <v>0</v>
      </c>
      <c r="Z10" s="649">
        <f>SUM(V10:Y10)</f>
        <v>0</v>
      </c>
      <c r="AA10" s="650">
        <v>0</v>
      </c>
      <c r="AB10" s="650">
        <v>0</v>
      </c>
      <c r="AC10" s="650">
        <v>0</v>
      </c>
      <c r="AD10" s="650">
        <v>0</v>
      </c>
      <c r="AE10" s="649">
        <f>SUM(AA10:AD10)</f>
        <v>0</v>
      </c>
      <c r="AF10" s="650">
        <v>0</v>
      </c>
      <c r="AG10" s="650">
        <v>0</v>
      </c>
      <c r="AH10" s="650">
        <v>0</v>
      </c>
      <c r="AI10" s="650">
        <v>0</v>
      </c>
      <c r="AJ10" s="649">
        <f>SUM(AF10:AI10)</f>
        <v>0</v>
      </c>
      <c r="AK10" s="650">
        <v>0</v>
      </c>
      <c r="AL10" s="650">
        <v>0</v>
      </c>
      <c r="AM10" s="650">
        <v>0</v>
      </c>
      <c r="AN10" s="650">
        <v>0</v>
      </c>
      <c r="AO10" s="649">
        <f>SUM(AK10:AN10)</f>
        <v>0</v>
      </c>
      <c r="AP10" s="650">
        <v>0</v>
      </c>
      <c r="AQ10" s="650">
        <v>0</v>
      </c>
      <c r="AR10" s="650">
        <v>0</v>
      </c>
      <c r="AS10" s="650">
        <v>0</v>
      </c>
      <c r="AT10" s="649">
        <f>SUM(AP10:AS10)</f>
        <v>0</v>
      </c>
      <c r="AU10" s="650">
        <v>0</v>
      </c>
      <c r="AV10" s="650">
        <v>0</v>
      </c>
      <c r="AW10" s="650">
        <v>0</v>
      </c>
      <c r="AX10" s="650">
        <v>0</v>
      </c>
      <c r="AY10" s="649">
        <f>SUM(AU10:AX10)</f>
        <v>0</v>
      </c>
      <c r="AZ10" s="650">
        <v>0</v>
      </c>
      <c r="BA10" s="650">
        <v>0</v>
      </c>
      <c r="BB10" s="650">
        <v>0</v>
      </c>
      <c r="BC10" s="650">
        <v>0</v>
      </c>
      <c r="BD10" s="649">
        <f>SUM(AZ10:BC10)</f>
        <v>0</v>
      </c>
      <c r="BE10" s="650">
        <v>0</v>
      </c>
      <c r="BF10" s="650">
        <v>0</v>
      </c>
      <c r="BG10" s="650">
        <v>0</v>
      </c>
      <c r="BH10" s="650">
        <v>0</v>
      </c>
      <c r="BI10" s="649">
        <f>SUM(BE10:BH10)</f>
        <v>0</v>
      </c>
      <c r="BJ10" s="650">
        <v>0</v>
      </c>
      <c r="BK10" s="650">
        <v>0</v>
      </c>
      <c r="BL10" s="650">
        <v>0</v>
      </c>
      <c r="BM10" s="650">
        <v>0</v>
      </c>
      <c r="BN10" s="649">
        <f>SUM(BJ10:BM10)</f>
        <v>0</v>
      </c>
      <c r="BO10" s="650">
        <v>0</v>
      </c>
      <c r="BP10" s="650">
        <v>0</v>
      </c>
      <c r="BQ10" s="650">
        <v>0</v>
      </c>
      <c r="BR10" s="650">
        <v>0</v>
      </c>
      <c r="BS10" s="649">
        <f>SUM(BO10:BR10)</f>
        <v>0</v>
      </c>
      <c r="BT10" s="650">
        <v>0</v>
      </c>
      <c r="BU10" s="650">
        <v>0</v>
      </c>
      <c r="BV10" s="650">
        <v>0</v>
      </c>
      <c r="BW10" s="650">
        <v>0</v>
      </c>
      <c r="BX10" s="649">
        <f>SUM(BT10:BW10)</f>
        <v>0</v>
      </c>
      <c r="BY10" s="650">
        <v>0</v>
      </c>
      <c r="BZ10" s="650">
        <v>0</v>
      </c>
      <c r="CA10" s="650">
        <v>0</v>
      </c>
      <c r="CB10" s="650">
        <v>0</v>
      </c>
      <c r="CC10" s="649">
        <f>SUM(BY10:CB10)</f>
        <v>0</v>
      </c>
      <c r="CD10" s="650">
        <v>0</v>
      </c>
      <c r="CE10" s="650">
        <v>0</v>
      </c>
      <c r="CF10" s="650">
        <v>0</v>
      </c>
      <c r="CG10" s="650">
        <v>0</v>
      </c>
      <c r="CH10" s="649">
        <f>SUM(CD10:CG10)</f>
        <v>0</v>
      </c>
      <c r="CI10" s="650">
        <v>0</v>
      </c>
      <c r="CJ10" s="650">
        <v>0</v>
      </c>
      <c r="CK10" s="650">
        <v>0</v>
      </c>
      <c r="CL10" s="650">
        <v>0</v>
      </c>
      <c r="CM10" s="649">
        <f>SUM(CI10:CL10)</f>
        <v>0</v>
      </c>
      <c r="CN10" s="650">
        <v>0</v>
      </c>
      <c r="CO10" s="650">
        <v>0</v>
      </c>
      <c r="CP10" s="650">
        <v>0</v>
      </c>
      <c r="CQ10" s="650">
        <v>0</v>
      </c>
      <c r="CR10" s="649">
        <f>SUM(CN10:CQ10)</f>
        <v>0</v>
      </c>
      <c r="CS10" s="650">
        <v>0</v>
      </c>
      <c r="CT10" s="650">
        <v>0</v>
      </c>
      <c r="CU10" s="650">
        <v>0</v>
      </c>
      <c r="CV10" s="650">
        <v>0</v>
      </c>
      <c r="CW10" s="649">
        <f>SUM(CS10:CV10)</f>
        <v>0</v>
      </c>
      <c r="CZ10" s="787"/>
      <c r="DA10" s="659"/>
      <c r="DB10" s="659"/>
    </row>
    <row r="11" spans="1:106" hidden="1" outlineLevel="1">
      <c r="A11" s="553" t="s">
        <v>431</v>
      </c>
      <c r="B11" s="783"/>
      <c r="C11" s="783"/>
      <c r="D11" s="783"/>
      <c r="E11" s="783"/>
      <c r="F11" s="784"/>
      <c r="G11" s="783">
        <f t="shared" ref="G11:AY11" si="6">G9-G10</f>
        <v>267.89600000000002</v>
      </c>
      <c r="H11" s="783">
        <f t="shared" si="6"/>
        <v>317.35900000000004</v>
      </c>
      <c r="I11" s="783">
        <f t="shared" si="6"/>
        <v>284.87900000000002</v>
      </c>
      <c r="J11" s="783">
        <f t="shared" si="6"/>
        <v>294.654</v>
      </c>
      <c r="K11" s="784">
        <f t="shared" si="6"/>
        <v>1164.788</v>
      </c>
      <c r="L11" s="783">
        <f t="shared" si="6"/>
        <v>296.89499999999998</v>
      </c>
      <c r="M11" s="783">
        <f t="shared" si="6"/>
        <v>320.14599999999996</v>
      </c>
      <c r="N11" s="783">
        <f t="shared" si="6"/>
        <v>319.12199999999996</v>
      </c>
      <c r="O11" s="783">
        <f t="shared" si="6"/>
        <v>358.5859999999999</v>
      </c>
      <c r="P11" s="784">
        <f t="shared" si="6"/>
        <v>1294.7489999999998</v>
      </c>
      <c r="Q11" s="783">
        <f t="shared" si="6"/>
        <v>423.28100000000001</v>
      </c>
      <c r="R11" s="783">
        <f t="shared" si="6"/>
        <v>410.08499999999998</v>
      </c>
      <c r="S11" s="783">
        <f t="shared" si="6"/>
        <v>403.71299999999997</v>
      </c>
      <c r="T11" s="783">
        <f t="shared" si="6"/>
        <v>429.50199999999995</v>
      </c>
      <c r="U11" s="784">
        <f t="shared" si="6"/>
        <v>1666.5809999999999</v>
      </c>
      <c r="V11" s="783">
        <f t="shared" si="6"/>
        <v>472.88200000000001</v>
      </c>
      <c r="W11" s="783">
        <f t="shared" si="6"/>
        <v>496.029</v>
      </c>
      <c r="X11" s="783">
        <f t="shared" si="6"/>
        <v>487.03899999999999</v>
      </c>
      <c r="Y11" s="783">
        <f t="shared" si="6"/>
        <v>510.37100000000009</v>
      </c>
      <c r="Z11" s="784">
        <f t="shared" si="6"/>
        <v>1966.3210000000001</v>
      </c>
      <c r="AA11" s="783">
        <f t="shared" si="6"/>
        <v>655.47800000000007</v>
      </c>
      <c r="AB11" s="783">
        <f t="shared" si="6"/>
        <v>635.45600000000002</v>
      </c>
      <c r="AC11" s="783">
        <f t="shared" si="6"/>
        <v>602.19099999999992</v>
      </c>
      <c r="AD11" s="783">
        <f t="shared" si="6"/>
        <v>682.17499999999995</v>
      </c>
      <c r="AE11" s="784">
        <f t="shared" si="6"/>
        <v>2575.3000000000002</v>
      </c>
      <c r="AF11" s="783">
        <f t="shared" si="6"/>
        <v>649.40700000000004</v>
      </c>
      <c r="AG11" s="783">
        <f t="shared" si="6"/>
        <v>745.577</v>
      </c>
      <c r="AH11" s="783">
        <f t="shared" si="6"/>
        <v>851.68599999999992</v>
      </c>
      <c r="AI11" s="783">
        <f t="shared" si="6"/>
        <v>911.21100000000001</v>
      </c>
      <c r="AJ11" s="784">
        <f t="shared" si="6"/>
        <v>3157.8810000000003</v>
      </c>
      <c r="AK11" s="783">
        <f t="shared" si="6"/>
        <v>890.44499999999994</v>
      </c>
      <c r="AL11" s="783">
        <f t="shared" si="6"/>
        <v>886.88600000000008</v>
      </c>
      <c r="AM11" s="783">
        <f t="shared" si="6"/>
        <v>887.25699999999995</v>
      </c>
      <c r="AN11" s="783">
        <f t="shared" si="6"/>
        <v>915.30100000000004</v>
      </c>
      <c r="AO11" s="784">
        <f t="shared" si="6"/>
        <v>3579.8890000000001</v>
      </c>
      <c r="AP11" s="783">
        <f t="shared" si="6"/>
        <v>786.39</v>
      </c>
      <c r="AQ11" s="783">
        <f t="shared" si="6"/>
        <v>704.673</v>
      </c>
      <c r="AR11" s="783">
        <f t="shared" si="6"/>
        <v>697.50700000000006</v>
      </c>
      <c r="AS11" s="783">
        <f t="shared" si="6"/>
        <v>757.28300000000002</v>
      </c>
      <c r="AT11" s="784">
        <f t="shared" si="6"/>
        <v>2945.8530000000001</v>
      </c>
      <c r="AU11" s="783">
        <f t="shared" si="6"/>
        <v>858.7</v>
      </c>
      <c r="AV11" s="783">
        <f t="shared" si="6"/>
        <v>943.03499999999997</v>
      </c>
      <c r="AW11" s="783">
        <f t="shared" si="6"/>
        <v>990.31900000000007</v>
      </c>
      <c r="AX11" s="783">
        <f t="shared" si="6"/>
        <v>1007.9459999999999</v>
      </c>
      <c r="AY11" s="784">
        <f t="shared" si="6"/>
        <v>3800</v>
      </c>
      <c r="AZ11" s="783">
        <f t="shared" ref="AZ11:BI11" si="7">AZ9-AZ10</f>
        <v>1027.7060000000001</v>
      </c>
      <c r="BA11" s="783">
        <f t="shared" si="7"/>
        <v>1023.179</v>
      </c>
      <c r="BB11" s="783">
        <f t="shared" si="7"/>
        <v>1013.212</v>
      </c>
      <c r="BC11" s="783">
        <f t="shared" si="7"/>
        <v>1152.1609999999998</v>
      </c>
      <c r="BD11" s="784">
        <f t="shared" si="7"/>
        <v>4216.2579999999998</v>
      </c>
      <c r="BE11" s="783">
        <f t="shared" si="7"/>
        <v>1045.22</v>
      </c>
      <c r="BF11" s="783">
        <f t="shared" si="7"/>
        <v>1124.4490000000001</v>
      </c>
      <c r="BG11" s="783">
        <f t="shared" si="7"/>
        <v>1080.58</v>
      </c>
      <c r="BH11" s="783">
        <f t="shared" si="7"/>
        <v>1153.4279999999999</v>
      </c>
      <c r="BI11" s="784">
        <f t="shared" si="7"/>
        <v>4403.6769999999997</v>
      </c>
      <c r="BJ11" s="783">
        <f t="shared" ref="BJ11:BS11" si="8">BJ9-BJ10</f>
        <v>1007.8729999999999</v>
      </c>
      <c r="BK11" s="783">
        <f t="shared" si="8"/>
        <v>1010.549</v>
      </c>
      <c r="BL11" s="783">
        <f t="shared" si="8"/>
        <v>995.11900000000003</v>
      </c>
      <c r="BM11" s="783">
        <f t="shared" si="8"/>
        <v>1041.6989999999998</v>
      </c>
      <c r="BN11" s="784">
        <f t="shared" si="8"/>
        <v>4055.24</v>
      </c>
      <c r="BO11" s="783">
        <f t="shared" si="8"/>
        <v>1000.12</v>
      </c>
      <c r="BP11" s="783">
        <f t="shared" si="8"/>
        <v>1068.2080000000001</v>
      </c>
      <c r="BQ11" s="783">
        <f t="shared" si="8"/>
        <v>1005.4090000000001</v>
      </c>
      <c r="BR11" s="783">
        <f t="shared" si="8"/>
        <v>1073.328</v>
      </c>
      <c r="BS11" s="784">
        <f t="shared" si="8"/>
        <v>4147.0650000000005</v>
      </c>
      <c r="BT11" s="783">
        <f t="shared" ref="BT11:CC11" si="9">BT9-BT10</f>
        <v>1109.181</v>
      </c>
      <c r="BU11" s="783">
        <f t="shared" si="9"/>
        <v>1162.1579999999999</v>
      </c>
      <c r="BV11" s="783">
        <f t="shared" si="9"/>
        <v>1217.768</v>
      </c>
      <c r="BW11" s="783">
        <f t="shared" si="9"/>
        <v>1306.4039999999998</v>
      </c>
      <c r="BX11" s="784">
        <f t="shared" si="9"/>
        <v>4795.5109999999995</v>
      </c>
      <c r="BY11" s="783">
        <f t="shared" si="9"/>
        <v>1383.335</v>
      </c>
      <c r="BZ11" s="783">
        <f t="shared" si="9"/>
        <v>1398.7090000000001</v>
      </c>
      <c r="CA11" s="783">
        <f t="shared" si="9"/>
        <v>1463.9670000000001</v>
      </c>
      <c r="CB11" s="783">
        <f t="shared" si="9"/>
        <v>1608.4189999999999</v>
      </c>
      <c r="CC11" s="784">
        <f t="shared" si="9"/>
        <v>5854.43</v>
      </c>
      <c r="CD11" s="783">
        <f t="shared" ref="CD11:CM11" si="10">CD9-CD10</f>
        <v>1681.646</v>
      </c>
      <c r="CE11" s="783">
        <f t="shared" si="10"/>
        <v>1772.19</v>
      </c>
      <c r="CF11" s="783">
        <f t="shared" si="10"/>
        <v>1841.0740000000001</v>
      </c>
      <c r="CG11" s="783">
        <f t="shared" si="10"/>
        <v>2006.595</v>
      </c>
      <c r="CH11" s="784">
        <f t="shared" si="10"/>
        <v>7301.5050000000001</v>
      </c>
      <c r="CI11" s="783">
        <f t="shared" si="10"/>
        <v>2078.9470000000001</v>
      </c>
      <c r="CJ11" s="783">
        <f t="shared" si="10"/>
        <v>2175.0017125198278</v>
      </c>
      <c r="CK11" s="783">
        <f t="shared" si="10"/>
        <v>2261.4757834422894</v>
      </c>
      <c r="CL11" s="783">
        <f t="shared" si="10"/>
        <v>2379.804478255523</v>
      </c>
      <c r="CM11" s="784">
        <f t="shared" si="10"/>
        <v>8895.2289742176399</v>
      </c>
      <c r="CN11" s="783">
        <f t="shared" ref="CN11:CW11" si="11">CN9-CN10</f>
        <v>2468.4531475484737</v>
      </c>
      <c r="CO11" s="783">
        <f t="shared" si="11"/>
        <v>2570.9578231587748</v>
      </c>
      <c r="CP11" s="783">
        <f t="shared" si="11"/>
        <v>2678.1316066154886</v>
      </c>
      <c r="CQ11" s="783">
        <f t="shared" si="11"/>
        <v>2816.7017567979938</v>
      </c>
      <c r="CR11" s="784">
        <f t="shared" si="11"/>
        <v>10534.244334120731</v>
      </c>
      <c r="CS11" s="783">
        <f t="shared" si="11"/>
        <v>2904.455994825903</v>
      </c>
      <c r="CT11" s="783">
        <f t="shared" si="11"/>
        <v>3003.8963441027872</v>
      </c>
      <c r="CU11" s="783">
        <f t="shared" si="11"/>
        <v>3105.0692880368842</v>
      </c>
      <c r="CV11" s="783">
        <f t="shared" si="11"/>
        <v>3241.6785565389209</v>
      </c>
      <c r="CW11" s="784">
        <f t="shared" si="11"/>
        <v>12255.100183504495</v>
      </c>
      <c r="CZ11" s="415"/>
      <c r="DA11" s="414"/>
      <c r="DB11" s="414"/>
    </row>
    <row r="12" spans="1:106" hidden="1" outlineLevel="1">
      <c r="A12" s="560" t="s">
        <v>360</v>
      </c>
      <c r="B12" s="655"/>
      <c r="C12" s="655"/>
      <c r="D12" s="655"/>
      <c r="E12" s="655"/>
      <c r="F12" s="221"/>
      <c r="G12" s="655"/>
      <c r="H12" s="655"/>
      <c r="I12" s="655"/>
      <c r="J12" s="655"/>
      <c r="K12" s="221">
        <f t="shared" ref="K12:K20" si="12">SUM(G12:J12)</f>
        <v>0</v>
      </c>
      <c r="L12" s="656"/>
      <c r="M12" s="656"/>
      <c r="N12" s="656"/>
      <c r="O12" s="656"/>
      <c r="P12" s="221">
        <f t="shared" ref="P12:P20" si="13">SUM(L12:O12)</f>
        <v>0</v>
      </c>
      <c r="Q12" s="656"/>
      <c r="R12" s="656"/>
      <c r="S12" s="656"/>
      <c r="T12" s="656"/>
      <c r="U12" s="221">
        <f t="shared" ref="U12:U20" si="14">SUM(Q12:T12)</f>
        <v>0</v>
      </c>
      <c r="V12" s="656"/>
      <c r="W12" s="656"/>
      <c r="X12" s="656"/>
      <c r="Y12" s="656"/>
      <c r="Z12" s="221">
        <f t="shared" ref="Z12:Z20" si="15">SUM(V12:Y12)</f>
        <v>0</v>
      </c>
      <c r="AA12" s="656">
        <v>127.884</v>
      </c>
      <c r="AB12" s="656">
        <v>127.884</v>
      </c>
      <c r="AC12" s="656">
        <v>127.884</v>
      </c>
      <c r="AD12" s="656">
        <v>127.884</v>
      </c>
      <c r="AE12" s="221">
        <f t="shared" ref="AE12:AE20" si="16">SUM(AA12:AD12)</f>
        <v>511.536</v>
      </c>
      <c r="AF12" s="656"/>
      <c r="AG12" s="656"/>
      <c r="AH12" s="656"/>
      <c r="AI12" s="656"/>
      <c r="AJ12" s="221">
        <f t="shared" ref="AJ12:AJ20" si="17">SUM(AF12:AI12)</f>
        <v>0</v>
      </c>
      <c r="AK12" s="656"/>
      <c r="AL12" s="656"/>
      <c r="AM12" s="656"/>
      <c r="AN12" s="656"/>
      <c r="AO12" s="221">
        <f t="shared" ref="AO12:AO20" si="18">SUM(AK12:AN12)</f>
        <v>0</v>
      </c>
      <c r="AP12" s="656"/>
      <c r="AQ12" s="656"/>
      <c r="AR12" s="656"/>
      <c r="AS12" s="656"/>
      <c r="AT12" s="221">
        <f t="shared" ref="AT12:AT20" si="19">SUM(AP12:AS12)</f>
        <v>0</v>
      </c>
      <c r="AU12" s="656"/>
      <c r="AV12" s="656"/>
      <c r="AW12" s="656"/>
      <c r="AX12" s="656"/>
      <c r="AY12" s="221">
        <f t="shared" ref="AY12:AY20" si="20">SUM(AU12:AX12)</f>
        <v>0</v>
      </c>
      <c r="AZ12" s="656"/>
      <c r="BA12" s="656"/>
      <c r="BB12" s="656"/>
      <c r="BC12" s="656"/>
      <c r="BD12" s="221">
        <f t="shared" ref="BD12:BD20" si="21">SUM(AZ12:BC12)</f>
        <v>0</v>
      </c>
      <c r="BE12" s="656"/>
      <c r="BF12" s="656"/>
      <c r="BG12" s="656"/>
      <c r="BH12" s="656"/>
      <c r="BI12" s="221">
        <f t="shared" ref="BI12:BI20" si="22">SUM(BE12:BH12)</f>
        <v>0</v>
      </c>
      <c r="BJ12" s="656"/>
      <c r="BK12" s="656"/>
      <c r="BL12" s="656"/>
      <c r="BM12" s="656"/>
      <c r="BN12" s="221">
        <f t="shared" ref="BN12:BN20" si="23">SUM(BJ12:BM12)</f>
        <v>0</v>
      </c>
      <c r="BO12" s="656"/>
      <c r="BP12" s="656"/>
      <c r="BQ12" s="656"/>
      <c r="BR12" s="656"/>
      <c r="BS12" s="221">
        <f t="shared" ref="BS12:BS20" si="24">SUM(BO12:BR12)</f>
        <v>0</v>
      </c>
      <c r="BT12" s="656"/>
      <c r="BU12" s="656"/>
      <c r="BV12" s="656"/>
      <c r="BW12" s="656"/>
      <c r="BX12" s="221">
        <f t="shared" ref="BX12:BX20" si="25">SUM(BT12:BW12)</f>
        <v>0</v>
      </c>
      <c r="BY12" s="656"/>
      <c r="BZ12" s="656"/>
      <c r="CA12" s="656"/>
      <c r="CB12" s="656"/>
      <c r="CC12" s="221">
        <f t="shared" ref="CC12:CC20" si="26">SUM(BY12:CB12)</f>
        <v>0</v>
      </c>
      <c r="CD12" s="656"/>
      <c r="CE12" s="656"/>
      <c r="CF12" s="656"/>
      <c r="CG12" s="656"/>
      <c r="CH12" s="221">
        <f t="shared" ref="CH12:CH20" si="27">SUM(CD12:CG12)</f>
        <v>0</v>
      </c>
      <c r="CI12" s="656"/>
      <c r="CJ12" s="656"/>
      <c r="CK12" s="656"/>
      <c r="CL12" s="656"/>
      <c r="CM12" s="221">
        <f t="shared" ref="CM12:CM20" si="28">SUM(CI12:CL12)</f>
        <v>0</v>
      </c>
      <c r="CN12" s="656"/>
      <c r="CO12" s="656"/>
      <c r="CP12" s="656"/>
      <c r="CQ12" s="656"/>
      <c r="CR12" s="221">
        <f t="shared" ref="CR12:CR20" si="29">SUM(CN12:CQ12)</f>
        <v>0</v>
      </c>
      <c r="CS12" s="656"/>
      <c r="CT12" s="656"/>
      <c r="CU12" s="656"/>
      <c r="CV12" s="656"/>
      <c r="CW12" s="221">
        <f t="shared" ref="CW12:CW20" si="30">SUM(CS12:CV12)</f>
        <v>0</v>
      </c>
      <c r="CZ12" s="201"/>
      <c r="DA12" s="200"/>
      <c r="DB12" s="200"/>
    </row>
    <row r="13" spans="1:106" hidden="1" outlineLevel="1">
      <c r="A13" s="560" t="s">
        <v>442</v>
      </c>
      <c r="B13" s="655"/>
      <c r="C13" s="655"/>
      <c r="D13" s="655"/>
      <c r="E13" s="655"/>
      <c r="F13" s="221"/>
      <c r="G13" s="655"/>
      <c r="H13" s="655"/>
      <c r="I13" s="655"/>
      <c r="J13" s="655"/>
      <c r="K13" s="221">
        <f t="shared" si="12"/>
        <v>0</v>
      </c>
      <c r="L13" s="656"/>
      <c r="M13" s="656"/>
      <c r="N13" s="656"/>
      <c r="O13" s="656"/>
      <c r="P13" s="221">
        <f t="shared" si="13"/>
        <v>0</v>
      </c>
      <c r="Q13" s="656"/>
      <c r="R13" s="656"/>
      <c r="S13" s="656"/>
      <c r="T13" s="656"/>
      <c r="U13" s="221">
        <f t="shared" si="14"/>
        <v>0</v>
      </c>
      <c r="V13" s="656"/>
      <c r="W13" s="656"/>
      <c r="X13" s="656"/>
      <c r="Y13" s="656"/>
      <c r="Z13" s="221">
        <f t="shared" si="15"/>
        <v>0</v>
      </c>
      <c r="AA13" s="656"/>
      <c r="AB13" s="656"/>
      <c r="AC13" s="656"/>
      <c r="AD13" s="656"/>
      <c r="AE13" s="221">
        <f t="shared" si="16"/>
        <v>0</v>
      </c>
      <c r="AF13" s="656"/>
      <c r="AG13" s="656"/>
      <c r="AH13" s="656"/>
      <c r="AI13" s="656"/>
      <c r="AJ13" s="221">
        <f t="shared" si="17"/>
        <v>0</v>
      </c>
      <c r="AK13" s="656"/>
      <c r="AL13" s="656"/>
      <c r="AM13" s="656"/>
      <c r="AN13" s="656"/>
      <c r="AO13" s="221">
        <f t="shared" si="18"/>
        <v>0</v>
      </c>
      <c r="AP13" s="656"/>
      <c r="AQ13" s="656"/>
      <c r="AR13" s="656"/>
      <c r="AS13" s="656"/>
      <c r="AT13" s="221">
        <f t="shared" si="19"/>
        <v>0</v>
      </c>
      <c r="AU13" s="656"/>
      <c r="AV13" s="656"/>
      <c r="AW13" s="656"/>
      <c r="AX13" s="656">
        <v>5.4</v>
      </c>
      <c r="AY13" s="221">
        <f t="shared" si="20"/>
        <v>5.4</v>
      </c>
      <c r="AZ13" s="656">
        <v>7.5</v>
      </c>
      <c r="BA13" s="656">
        <f>AZ13*1.05</f>
        <v>7.875</v>
      </c>
      <c r="BB13" s="656">
        <f>BA13</f>
        <v>7.875</v>
      </c>
      <c r="BC13" s="656"/>
      <c r="BD13" s="221">
        <f t="shared" si="21"/>
        <v>23.25</v>
      </c>
      <c r="BE13" s="656"/>
      <c r="BF13" s="656"/>
      <c r="BG13" s="656"/>
      <c r="BH13" s="656"/>
      <c r="BI13" s="221">
        <f t="shared" si="22"/>
        <v>0</v>
      </c>
      <c r="BJ13" s="656"/>
      <c r="BK13" s="656"/>
      <c r="BL13" s="656"/>
      <c r="BM13" s="656"/>
      <c r="BN13" s="221">
        <f t="shared" si="23"/>
        <v>0</v>
      </c>
      <c r="BO13" s="656"/>
      <c r="BP13" s="656"/>
      <c r="BQ13" s="656"/>
      <c r="BR13" s="656"/>
      <c r="BS13" s="221">
        <f t="shared" si="24"/>
        <v>0</v>
      </c>
      <c r="BT13" s="656"/>
      <c r="BU13" s="656"/>
      <c r="BV13" s="656"/>
      <c r="BW13" s="656"/>
      <c r="BX13" s="221">
        <f t="shared" si="25"/>
        <v>0</v>
      </c>
      <c r="BY13" s="656"/>
      <c r="BZ13" s="656"/>
      <c r="CA13" s="656"/>
      <c r="CB13" s="656"/>
      <c r="CC13" s="221">
        <f t="shared" si="26"/>
        <v>0</v>
      </c>
      <c r="CD13" s="656"/>
      <c r="CE13" s="656"/>
      <c r="CF13" s="656"/>
      <c r="CG13" s="656"/>
      <c r="CH13" s="221">
        <f t="shared" si="27"/>
        <v>0</v>
      </c>
      <c r="CI13" s="656"/>
      <c r="CJ13" s="656"/>
      <c r="CK13" s="656"/>
      <c r="CL13" s="656"/>
      <c r="CM13" s="221">
        <f t="shared" si="28"/>
        <v>0</v>
      </c>
      <c r="CN13" s="656"/>
      <c r="CO13" s="656"/>
      <c r="CP13" s="656"/>
      <c r="CQ13" s="656"/>
      <c r="CR13" s="221">
        <f t="shared" si="29"/>
        <v>0</v>
      </c>
      <c r="CS13" s="656"/>
      <c r="CT13" s="656"/>
      <c r="CU13" s="656"/>
      <c r="CV13" s="656"/>
      <c r="CW13" s="221">
        <f t="shared" si="30"/>
        <v>0</v>
      </c>
      <c r="CZ13" s="201"/>
      <c r="DA13" s="200"/>
      <c r="DB13" s="200"/>
    </row>
    <row r="14" spans="1:106" hidden="1" outlineLevel="1">
      <c r="A14" s="560" t="s">
        <v>295</v>
      </c>
      <c r="B14" s="655"/>
      <c r="C14" s="655"/>
      <c r="D14" s="655"/>
      <c r="E14" s="655"/>
      <c r="F14" s="221"/>
      <c r="G14" s="655"/>
      <c r="H14" s="655"/>
      <c r="I14" s="655"/>
      <c r="J14" s="655"/>
      <c r="K14" s="221">
        <f t="shared" si="12"/>
        <v>0</v>
      </c>
      <c r="L14" s="656"/>
      <c r="M14" s="656"/>
      <c r="N14" s="656"/>
      <c r="O14" s="656"/>
      <c r="P14" s="221">
        <f t="shared" si="13"/>
        <v>0</v>
      </c>
      <c r="Q14" s="656"/>
      <c r="R14" s="656"/>
      <c r="S14" s="656"/>
      <c r="T14" s="656"/>
      <c r="U14" s="221">
        <f t="shared" si="14"/>
        <v>0</v>
      </c>
      <c r="V14" s="656"/>
      <c r="W14" s="656"/>
      <c r="X14" s="656"/>
      <c r="Y14" s="656"/>
      <c r="Z14" s="221">
        <f t="shared" si="15"/>
        <v>0</v>
      </c>
      <c r="AA14" s="656"/>
      <c r="AB14" s="656"/>
      <c r="AC14" s="656"/>
      <c r="AD14" s="656"/>
      <c r="AE14" s="221">
        <f t="shared" si="16"/>
        <v>0</v>
      </c>
      <c r="AF14" s="656"/>
      <c r="AG14" s="656"/>
      <c r="AH14" s="656"/>
      <c r="AI14" s="656"/>
      <c r="AJ14" s="221">
        <f t="shared" si="17"/>
        <v>0</v>
      </c>
      <c r="AK14" s="656"/>
      <c r="AL14" s="656"/>
      <c r="AM14" s="656"/>
      <c r="AN14" s="656"/>
      <c r="AO14" s="221">
        <f t="shared" si="18"/>
        <v>0</v>
      </c>
      <c r="AP14" s="656"/>
      <c r="AQ14" s="656"/>
      <c r="AR14" s="656"/>
      <c r="AS14" s="656"/>
      <c r="AT14" s="221">
        <f t="shared" si="19"/>
        <v>0</v>
      </c>
      <c r="AU14" s="656"/>
      <c r="AV14" s="656"/>
      <c r="AW14" s="656"/>
      <c r="AX14" s="656"/>
      <c r="AY14" s="221">
        <f t="shared" si="20"/>
        <v>0</v>
      </c>
      <c r="AZ14" s="656"/>
      <c r="BA14" s="656"/>
      <c r="BB14" s="656"/>
      <c r="BC14" s="656"/>
      <c r="BD14" s="221">
        <f t="shared" si="21"/>
        <v>0</v>
      </c>
      <c r="BE14" s="656"/>
      <c r="BF14" s="656"/>
      <c r="BG14" s="656"/>
      <c r="BH14" s="656"/>
      <c r="BI14" s="221">
        <f t="shared" si="22"/>
        <v>0</v>
      </c>
      <c r="BJ14" s="656"/>
      <c r="BK14" s="656"/>
      <c r="BL14" s="656"/>
      <c r="BM14" s="656"/>
      <c r="BN14" s="221">
        <f t="shared" si="23"/>
        <v>0</v>
      </c>
      <c r="BO14" s="656"/>
      <c r="BP14" s="656"/>
      <c r="BQ14" s="656"/>
      <c r="BR14" s="656"/>
      <c r="BS14" s="221">
        <f t="shared" si="24"/>
        <v>0</v>
      </c>
      <c r="BT14" s="656"/>
      <c r="BU14" s="656"/>
      <c r="BV14" s="656"/>
      <c r="BW14" s="656"/>
      <c r="BX14" s="221">
        <f t="shared" si="25"/>
        <v>0</v>
      </c>
      <c r="BY14" s="656"/>
      <c r="BZ14" s="656"/>
      <c r="CA14" s="656"/>
      <c r="CB14" s="656"/>
      <c r="CC14" s="221">
        <f t="shared" si="26"/>
        <v>0</v>
      </c>
      <c r="CD14" s="656"/>
      <c r="CE14" s="656"/>
      <c r="CF14" s="656"/>
      <c r="CG14" s="656"/>
      <c r="CH14" s="221">
        <f t="shared" si="27"/>
        <v>0</v>
      </c>
      <c r="CI14" s="656"/>
      <c r="CJ14" s="656"/>
      <c r="CK14" s="656"/>
      <c r="CL14" s="656"/>
      <c r="CM14" s="221">
        <f t="shared" si="28"/>
        <v>0</v>
      </c>
      <c r="CN14" s="656"/>
      <c r="CO14" s="656"/>
      <c r="CP14" s="656"/>
      <c r="CQ14" s="656"/>
      <c r="CR14" s="221">
        <f t="shared" si="29"/>
        <v>0</v>
      </c>
      <c r="CS14" s="656"/>
      <c r="CT14" s="656"/>
      <c r="CU14" s="656"/>
      <c r="CV14" s="656"/>
      <c r="CW14" s="221">
        <f t="shared" si="30"/>
        <v>0</v>
      </c>
      <c r="CZ14" s="201"/>
      <c r="DA14" s="200"/>
      <c r="DB14" s="200"/>
    </row>
    <row r="15" spans="1:106" hidden="1" outlineLevel="1">
      <c r="A15" s="560" t="s">
        <v>21</v>
      </c>
      <c r="B15" s="655"/>
      <c r="C15" s="655"/>
      <c r="D15" s="655"/>
      <c r="E15" s="655"/>
      <c r="F15" s="221"/>
      <c r="G15" s="655"/>
      <c r="H15" s="655"/>
      <c r="I15" s="655"/>
      <c r="J15" s="655"/>
      <c r="K15" s="221">
        <f t="shared" si="12"/>
        <v>0</v>
      </c>
      <c r="L15" s="656"/>
      <c r="M15" s="656"/>
      <c r="N15" s="656"/>
      <c r="O15" s="656"/>
      <c r="P15" s="221">
        <f t="shared" si="13"/>
        <v>0</v>
      </c>
      <c r="Q15" s="656"/>
      <c r="R15" s="656"/>
      <c r="S15" s="656"/>
      <c r="T15" s="656"/>
      <c r="U15" s="221">
        <f t="shared" si="14"/>
        <v>0</v>
      </c>
      <c r="V15" s="656"/>
      <c r="W15" s="656"/>
      <c r="X15" s="656"/>
      <c r="Y15" s="656"/>
      <c r="Z15" s="221">
        <f t="shared" si="15"/>
        <v>0</v>
      </c>
      <c r="AA15" s="656"/>
      <c r="AB15" s="656"/>
      <c r="AC15" s="656"/>
      <c r="AD15" s="656"/>
      <c r="AE15" s="221">
        <f t="shared" si="16"/>
        <v>0</v>
      </c>
      <c r="AF15" s="656"/>
      <c r="AG15" s="656"/>
      <c r="AH15" s="656"/>
      <c r="AI15" s="656"/>
      <c r="AJ15" s="221">
        <f t="shared" si="17"/>
        <v>0</v>
      </c>
      <c r="AK15" s="656"/>
      <c r="AL15" s="656"/>
      <c r="AM15" s="656"/>
      <c r="AN15" s="656"/>
      <c r="AO15" s="221">
        <f t="shared" si="18"/>
        <v>0</v>
      </c>
      <c r="AP15" s="656"/>
      <c r="AQ15" s="656"/>
      <c r="AR15" s="656"/>
      <c r="AS15" s="656"/>
      <c r="AT15" s="221">
        <f t="shared" si="19"/>
        <v>0</v>
      </c>
      <c r="AU15" s="656"/>
      <c r="AV15" s="656"/>
      <c r="AW15" s="656"/>
      <c r="AX15" s="656"/>
      <c r="AY15" s="221">
        <f t="shared" si="20"/>
        <v>0</v>
      </c>
      <c r="AZ15" s="656"/>
      <c r="BA15" s="656"/>
      <c r="BB15" s="656"/>
      <c r="BC15" s="656"/>
      <c r="BD15" s="221">
        <f t="shared" si="21"/>
        <v>0</v>
      </c>
      <c r="BE15" s="656">
        <v>9.6</v>
      </c>
      <c r="BF15" s="656">
        <v>17</v>
      </c>
      <c r="BG15" s="656">
        <v>20</v>
      </c>
      <c r="BH15" s="656">
        <v>25</v>
      </c>
      <c r="BI15" s="221">
        <f t="shared" si="22"/>
        <v>71.599999999999994</v>
      </c>
      <c r="BJ15" s="656">
        <v>20</v>
      </c>
      <c r="BK15" s="656"/>
      <c r="BL15" s="656"/>
      <c r="BM15" s="656"/>
      <c r="BN15" s="221">
        <f t="shared" si="23"/>
        <v>20</v>
      </c>
      <c r="BO15" s="656"/>
      <c r="BP15" s="656"/>
      <c r="BQ15" s="656"/>
      <c r="BR15" s="656"/>
      <c r="BS15" s="221">
        <f t="shared" si="24"/>
        <v>0</v>
      </c>
      <c r="BT15" s="656"/>
      <c r="BU15" s="656"/>
      <c r="BV15" s="656"/>
      <c r="BW15" s="656"/>
      <c r="BX15" s="221">
        <f t="shared" si="25"/>
        <v>0</v>
      </c>
      <c r="BY15" s="656"/>
      <c r="BZ15" s="656"/>
      <c r="CA15" s="656"/>
      <c r="CB15" s="656"/>
      <c r="CC15" s="221">
        <f t="shared" si="26"/>
        <v>0</v>
      </c>
      <c r="CD15" s="656"/>
      <c r="CE15" s="656"/>
      <c r="CF15" s="656"/>
      <c r="CG15" s="656"/>
      <c r="CH15" s="221">
        <f t="shared" si="27"/>
        <v>0</v>
      </c>
      <c r="CI15" s="656"/>
      <c r="CJ15" s="656"/>
      <c r="CK15" s="656"/>
      <c r="CL15" s="656"/>
      <c r="CM15" s="221">
        <f t="shared" si="28"/>
        <v>0</v>
      </c>
      <c r="CN15" s="656"/>
      <c r="CO15" s="656"/>
      <c r="CP15" s="656"/>
      <c r="CQ15" s="656"/>
      <c r="CR15" s="221">
        <f t="shared" si="29"/>
        <v>0</v>
      </c>
      <c r="CS15" s="656"/>
      <c r="CT15" s="656"/>
      <c r="CU15" s="656"/>
      <c r="CV15" s="656"/>
      <c r="CW15" s="221">
        <f t="shared" si="30"/>
        <v>0</v>
      </c>
      <c r="CZ15" s="201"/>
      <c r="DA15" s="200"/>
      <c r="DB15" s="200"/>
    </row>
    <row r="16" spans="1:106" hidden="1" outlineLevel="1">
      <c r="A16" s="560" t="s">
        <v>681</v>
      </c>
      <c r="B16" s="655"/>
      <c r="C16" s="655"/>
      <c r="D16" s="655"/>
      <c r="E16" s="655"/>
      <c r="F16" s="221"/>
      <c r="G16" s="655"/>
      <c r="H16" s="655"/>
      <c r="I16" s="655"/>
      <c r="J16" s="655"/>
      <c r="K16" s="221">
        <f t="shared" si="12"/>
        <v>0</v>
      </c>
      <c r="L16" s="656"/>
      <c r="M16" s="656"/>
      <c r="N16" s="656"/>
      <c r="O16" s="656"/>
      <c r="P16" s="221">
        <f t="shared" si="13"/>
        <v>0</v>
      </c>
      <c r="Q16" s="656"/>
      <c r="R16" s="656"/>
      <c r="S16" s="656"/>
      <c r="T16" s="656"/>
      <c r="U16" s="221">
        <f t="shared" si="14"/>
        <v>0</v>
      </c>
      <c r="V16" s="656"/>
      <c r="W16" s="656"/>
      <c r="X16" s="656"/>
      <c r="Y16" s="656"/>
      <c r="Z16" s="221">
        <f t="shared" si="15"/>
        <v>0</v>
      </c>
      <c r="AA16" s="656"/>
      <c r="AB16" s="656"/>
      <c r="AC16" s="656"/>
      <c r="AD16" s="656"/>
      <c r="AE16" s="221">
        <f t="shared" si="16"/>
        <v>0</v>
      </c>
      <c r="AF16" s="656"/>
      <c r="AG16" s="656"/>
      <c r="AH16" s="656"/>
      <c r="AI16" s="656"/>
      <c r="AJ16" s="221">
        <f t="shared" si="17"/>
        <v>0</v>
      </c>
      <c r="AK16" s="656"/>
      <c r="AL16" s="656"/>
      <c r="AM16" s="656"/>
      <c r="AN16" s="656"/>
      <c r="AO16" s="221">
        <f t="shared" si="18"/>
        <v>0</v>
      </c>
      <c r="AP16" s="656"/>
      <c r="AQ16" s="656"/>
      <c r="AR16" s="656"/>
      <c r="AS16" s="656"/>
      <c r="AT16" s="221">
        <f t="shared" si="19"/>
        <v>0</v>
      </c>
      <c r="AU16" s="656"/>
      <c r="AV16" s="656"/>
      <c r="AW16" s="656"/>
      <c r="AX16" s="656"/>
      <c r="AY16" s="221">
        <f t="shared" si="20"/>
        <v>0</v>
      </c>
      <c r="AZ16" s="656"/>
      <c r="BA16" s="656"/>
      <c r="BB16" s="656"/>
      <c r="BC16" s="656"/>
      <c r="BD16" s="221">
        <f t="shared" si="21"/>
        <v>0</v>
      </c>
      <c r="BE16" s="656"/>
      <c r="BF16" s="656"/>
      <c r="BG16" s="656"/>
      <c r="BH16" s="656"/>
      <c r="BI16" s="221">
        <f t="shared" si="22"/>
        <v>0</v>
      </c>
      <c r="BJ16" s="656"/>
      <c r="BK16" s="656"/>
      <c r="BL16" s="656">
        <v>6</v>
      </c>
      <c r="BM16" s="656">
        <v>23</v>
      </c>
      <c r="BN16" s="221">
        <f t="shared" si="23"/>
        <v>29</v>
      </c>
      <c r="BO16" s="656">
        <f>BM16*(1.07)</f>
        <v>24.610000000000003</v>
      </c>
      <c r="BP16" s="656">
        <f>BO16*(1.07)</f>
        <v>26.332700000000006</v>
      </c>
      <c r="BQ16" s="656">
        <f>BP16*(1.07)-BL16</f>
        <v>22.175989000000008</v>
      </c>
      <c r="BR16" s="656"/>
      <c r="BS16" s="221">
        <f t="shared" si="24"/>
        <v>73.118689000000018</v>
      </c>
      <c r="BT16" s="656"/>
      <c r="BU16" s="656"/>
      <c r="BV16" s="656"/>
      <c r="BW16" s="656"/>
      <c r="BX16" s="221">
        <f t="shared" si="25"/>
        <v>0</v>
      </c>
      <c r="BY16" s="656"/>
      <c r="BZ16" s="656"/>
      <c r="CA16" s="656"/>
      <c r="CB16" s="656"/>
      <c r="CC16" s="221">
        <f t="shared" si="26"/>
        <v>0</v>
      </c>
      <c r="CD16" s="656"/>
      <c r="CE16" s="656"/>
      <c r="CF16" s="656"/>
      <c r="CG16" s="656"/>
      <c r="CH16" s="221">
        <f t="shared" si="27"/>
        <v>0</v>
      </c>
      <c r="CI16" s="656"/>
      <c r="CJ16" s="656"/>
      <c r="CK16" s="656"/>
      <c r="CL16" s="656"/>
      <c r="CM16" s="221">
        <f t="shared" si="28"/>
        <v>0</v>
      </c>
      <c r="CN16" s="656"/>
      <c r="CO16" s="656"/>
      <c r="CP16" s="656"/>
      <c r="CQ16" s="656"/>
      <c r="CR16" s="221">
        <f t="shared" si="29"/>
        <v>0</v>
      </c>
      <c r="CS16" s="656"/>
      <c r="CT16" s="656"/>
      <c r="CU16" s="656"/>
      <c r="CV16" s="656"/>
      <c r="CW16" s="221">
        <f t="shared" si="30"/>
        <v>0</v>
      </c>
      <c r="CZ16" s="201"/>
      <c r="DA16" s="200"/>
      <c r="DB16" s="200"/>
    </row>
    <row r="17" spans="1:106" hidden="1" outlineLevel="1">
      <c r="A17" s="560" t="s">
        <v>180</v>
      </c>
      <c r="B17" s="655"/>
      <c r="C17" s="655"/>
      <c r="D17" s="655"/>
      <c r="E17" s="655"/>
      <c r="F17" s="221"/>
      <c r="G17" s="655"/>
      <c r="H17" s="655"/>
      <c r="I17" s="655"/>
      <c r="J17" s="655"/>
      <c r="K17" s="221">
        <f t="shared" si="12"/>
        <v>0</v>
      </c>
      <c r="L17" s="656"/>
      <c r="M17" s="656"/>
      <c r="N17" s="656"/>
      <c r="O17" s="656"/>
      <c r="P17" s="221">
        <f t="shared" si="13"/>
        <v>0</v>
      </c>
      <c r="Q17" s="656"/>
      <c r="R17" s="656"/>
      <c r="S17" s="656"/>
      <c r="T17" s="656"/>
      <c r="U17" s="221">
        <f t="shared" si="14"/>
        <v>0</v>
      </c>
      <c r="V17" s="656"/>
      <c r="W17" s="656"/>
      <c r="X17" s="656"/>
      <c r="Y17" s="656"/>
      <c r="Z17" s="221">
        <f t="shared" si="15"/>
        <v>0</v>
      </c>
      <c r="AA17" s="656"/>
      <c r="AB17" s="656"/>
      <c r="AC17" s="656"/>
      <c r="AD17" s="656"/>
      <c r="AE17" s="221">
        <f t="shared" si="16"/>
        <v>0</v>
      </c>
      <c r="AF17" s="656"/>
      <c r="AG17" s="656"/>
      <c r="AH17" s="656"/>
      <c r="AI17" s="656"/>
      <c r="AJ17" s="221">
        <f t="shared" si="17"/>
        <v>0</v>
      </c>
      <c r="AK17" s="656"/>
      <c r="AL17" s="656"/>
      <c r="AM17" s="656"/>
      <c r="AN17" s="656"/>
      <c r="AO17" s="221">
        <f t="shared" si="18"/>
        <v>0</v>
      </c>
      <c r="AP17" s="656"/>
      <c r="AQ17" s="656"/>
      <c r="AR17" s="656"/>
      <c r="AS17" s="656"/>
      <c r="AT17" s="221">
        <f t="shared" si="19"/>
        <v>0</v>
      </c>
      <c r="AU17" s="656"/>
      <c r="AV17" s="656"/>
      <c r="AW17" s="656"/>
      <c r="AX17" s="656"/>
      <c r="AY17" s="221">
        <f t="shared" si="20"/>
        <v>0</v>
      </c>
      <c r="AZ17" s="656"/>
      <c r="BA17" s="656"/>
      <c r="BB17" s="656"/>
      <c r="BC17" s="656"/>
      <c r="BD17" s="221">
        <f t="shared" si="21"/>
        <v>0</v>
      </c>
      <c r="BE17" s="656"/>
      <c r="BF17" s="656"/>
      <c r="BG17" s="656"/>
      <c r="BH17" s="656"/>
      <c r="BI17" s="221">
        <f t="shared" si="22"/>
        <v>0</v>
      </c>
      <c r="BJ17" s="656"/>
      <c r="BK17" s="656"/>
      <c r="BL17" s="656"/>
      <c r="BM17" s="656"/>
      <c r="BN17" s="221">
        <f t="shared" si="23"/>
        <v>0</v>
      </c>
      <c r="BO17" s="656"/>
      <c r="BP17" s="656"/>
      <c r="BQ17" s="656"/>
      <c r="BR17" s="656"/>
      <c r="BS17" s="221">
        <f t="shared" si="24"/>
        <v>0</v>
      </c>
      <c r="BT17" s="656">
        <v>7</v>
      </c>
      <c r="BU17" s="656">
        <v>20</v>
      </c>
      <c r="BV17" s="656">
        <v>23</v>
      </c>
      <c r="BW17" s="656">
        <v>25</v>
      </c>
      <c r="BX17" s="221">
        <f t="shared" si="25"/>
        <v>75</v>
      </c>
      <c r="BY17" s="656"/>
      <c r="BZ17" s="656"/>
      <c r="CA17" s="656"/>
      <c r="CB17" s="656"/>
      <c r="CC17" s="221">
        <f t="shared" si="26"/>
        <v>0</v>
      </c>
      <c r="CD17" s="656"/>
      <c r="CE17" s="656"/>
      <c r="CF17" s="656"/>
      <c r="CG17" s="656"/>
      <c r="CH17" s="221">
        <f t="shared" si="27"/>
        <v>0</v>
      </c>
      <c r="CI17" s="656"/>
      <c r="CJ17" s="656"/>
      <c r="CK17" s="656"/>
      <c r="CL17" s="656"/>
      <c r="CM17" s="221">
        <f t="shared" si="28"/>
        <v>0</v>
      </c>
      <c r="CN17" s="656"/>
      <c r="CO17" s="656"/>
      <c r="CP17" s="656"/>
      <c r="CQ17" s="656"/>
      <c r="CR17" s="221">
        <f t="shared" si="29"/>
        <v>0</v>
      </c>
      <c r="CS17" s="656"/>
      <c r="CT17" s="656"/>
      <c r="CU17" s="656"/>
      <c r="CV17" s="656"/>
      <c r="CW17" s="221">
        <f t="shared" si="30"/>
        <v>0</v>
      </c>
      <c r="CZ17" s="201"/>
      <c r="DA17" s="200"/>
      <c r="DB17" s="200"/>
    </row>
    <row r="18" spans="1:106" hidden="1" outlineLevel="1">
      <c r="A18" s="560" t="s">
        <v>863</v>
      </c>
      <c r="B18" s="655"/>
      <c r="C18" s="655"/>
      <c r="D18" s="655"/>
      <c r="E18" s="655"/>
      <c r="F18" s="221"/>
      <c r="G18" s="655"/>
      <c r="H18" s="655"/>
      <c r="I18" s="655"/>
      <c r="J18" s="655"/>
      <c r="K18" s="221">
        <f t="shared" si="12"/>
        <v>0</v>
      </c>
      <c r="L18" s="656"/>
      <c r="M18" s="656"/>
      <c r="N18" s="656"/>
      <c r="O18" s="656"/>
      <c r="P18" s="221">
        <f t="shared" si="13"/>
        <v>0</v>
      </c>
      <c r="Q18" s="656"/>
      <c r="R18" s="656"/>
      <c r="S18" s="656"/>
      <c r="T18" s="656"/>
      <c r="U18" s="221">
        <f t="shared" si="14"/>
        <v>0</v>
      </c>
      <c r="V18" s="656"/>
      <c r="W18" s="656"/>
      <c r="X18" s="656"/>
      <c r="Y18" s="656"/>
      <c r="Z18" s="221">
        <f t="shared" si="15"/>
        <v>0</v>
      </c>
      <c r="AA18" s="656"/>
      <c r="AB18" s="656"/>
      <c r="AC18" s="656"/>
      <c r="AD18" s="656"/>
      <c r="AE18" s="221">
        <f t="shared" si="16"/>
        <v>0</v>
      </c>
      <c r="AF18" s="656"/>
      <c r="AG18" s="656"/>
      <c r="AH18" s="656"/>
      <c r="AI18" s="656"/>
      <c r="AJ18" s="221">
        <f t="shared" si="17"/>
        <v>0</v>
      </c>
      <c r="AK18" s="656"/>
      <c r="AL18" s="656"/>
      <c r="AM18" s="656"/>
      <c r="AN18" s="656"/>
      <c r="AO18" s="221">
        <f t="shared" si="18"/>
        <v>0</v>
      </c>
      <c r="AP18" s="656"/>
      <c r="AQ18" s="656"/>
      <c r="AR18" s="656"/>
      <c r="AS18" s="656"/>
      <c r="AT18" s="221">
        <f t="shared" si="19"/>
        <v>0</v>
      </c>
      <c r="AU18" s="656"/>
      <c r="AV18" s="656"/>
      <c r="AW18" s="656"/>
      <c r="AX18" s="656"/>
      <c r="AY18" s="221">
        <f t="shared" si="20"/>
        <v>0</v>
      </c>
      <c r="AZ18" s="656"/>
      <c r="BA18" s="656"/>
      <c r="BB18" s="656"/>
      <c r="BC18" s="656"/>
      <c r="BD18" s="221">
        <f t="shared" si="21"/>
        <v>0</v>
      </c>
      <c r="BE18" s="656"/>
      <c r="BF18" s="656"/>
      <c r="BG18" s="656"/>
      <c r="BH18" s="656"/>
      <c r="BI18" s="221">
        <f t="shared" si="22"/>
        <v>0</v>
      </c>
      <c r="BJ18" s="656"/>
      <c r="BK18" s="656"/>
      <c r="BL18" s="656"/>
      <c r="BM18" s="656"/>
      <c r="BN18" s="221">
        <f t="shared" si="23"/>
        <v>0</v>
      </c>
      <c r="BO18" s="656"/>
      <c r="BP18" s="656"/>
      <c r="BQ18" s="656"/>
      <c r="BR18" s="656"/>
      <c r="BS18" s="221">
        <f t="shared" si="24"/>
        <v>0</v>
      </c>
      <c r="BT18" s="656"/>
      <c r="BU18" s="656"/>
      <c r="BV18" s="656"/>
      <c r="BW18" s="656"/>
      <c r="BX18" s="221">
        <f t="shared" si="25"/>
        <v>0</v>
      </c>
      <c r="BY18" s="656"/>
      <c r="BZ18" s="656"/>
      <c r="CA18" s="656"/>
      <c r="CB18" s="656"/>
      <c r="CC18" s="221">
        <f t="shared" si="26"/>
        <v>0</v>
      </c>
      <c r="CD18" s="656">
        <v>32</v>
      </c>
      <c r="CE18" s="656"/>
      <c r="CF18" s="656"/>
      <c r="CG18" s="656"/>
      <c r="CH18" s="221">
        <f t="shared" si="27"/>
        <v>32</v>
      </c>
      <c r="CI18" s="656"/>
      <c r="CJ18" s="656"/>
      <c r="CK18" s="656"/>
      <c r="CL18" s="656"/>
      <c r="CM18" s="221">
        <f t="shared" si="28"/>
        <v>0</v>
      </c>
      <c r="CN18" s="656"/>
      <c r="CO18" s="656"/>
      <c r="CP18" s="656"/>
      <c r="CQ18" s="656"/>
      <c r="CR18" s="221">
        <f t="shared" si="29"/>
        <v>0</v>
      </c>
      <c r="CS18" s="656"/>
      <c r="CT18" s="656"/>
      <c r="CU18" s="656"/>
      <c r="CV18" s="656"/>
      <c r="CW18" s="221">
        <f t="shared" si="30"/>
        <v>0</v>
      </c>
      <c r="CZ18" s="201"/>
      <c r="DA18" s="200"/>
      <c r="DB18" s="200"/>
    </row>
    <row r="19" spans="1:106" hidden="1" outlineLevel="1">
      <c r="A19" s="560" t="s">
        <v>572</v>
      </c>
      <c r="B19" s="655"/>
      <c r="C19" s="655"/>
      <c r="D19" s="655"/>
      <c r="E19" s="655"/>
      <c r="F19" s="221"/>
      <c r="G19" s="655"/>
      <c r="H19" s="655"/>
      <c r="I19" s="655"/>
      <c r="J19" s="655"/>
      <c r="K19" s="221">
        <f t="shared" si="12"/>
        <v>0</v>
      </c>
      <c r="L19" s="656"/>
      <c r="M19" s="656"/>
      <c r="N19" s="656"/>
      <c r="O19" s="656"/>
      <c r="P19" s="221">
        <f t="shared" si="13"/>
        <v>0</v>
      </c>
      <c r="Q19" s="656"/>
      <c r="R19" s="656"/>
      <c r="S19" s="656"/>
      <c r="T19" s="656"/>
      <c r="U19" s="221">
        <f t="shared" si="14"/>
        <v>0</v>
      </c>
      <c r="V19" s="656"/>
      <c r="W19" s="656"/>
      <c r="X19" s="656"/>
      <c r="Y19" s="656"/>
      <c r="Z19" s="221">
        <f t="shared" si="15"/>
        <v>0</v>
      </c>
      <c r="AA19" s="656"/>
      <c r="AB19" s="656"/>
      <c r="AC19" s="656"/>
      <c r="AD19" s="656"/>
      <c r="AE19" s="221">
        <f t="shared" si="16"/>
        <v>0</v>
      </c>
      <c r="AF19" s="656"/>
      <c r="AG19" s="656"/>
      <c r="AH19" s="656"/>
      <c r="AI19" s="656"/>
      <c r="AJ19" s="221">
        <f t="shared" si="17"/>
        <v>0</v>
      </c>
      <c r="AK19" s="656"/>
      <c r="AL19" s="656"/>
      <c r="AM19" s="656"/>
      <c r="AN19" s="656"/>
      <c r="AO19" s="221">
        <f t="shared" si="18"/>
        <v>0</v>
      </c>
      <c r="AP19" s="656"/>
      <c r="AQ19" s="656"/>
      <c r="AR19" s="656"/>
      <c r="AS19" s="656"/>
      <c r="AT19" s="221">
        <f t="shared" si="19"/>
        <v>0</v>
      </c>
      <c r="AU19" s="656"/>
      <c r="AV19" s="656"/>
      <c r="AW19" s="656"/>
      <c r="AX19" s="656"/>
      <c r="AY19" s="221">
        <f t="shared" si="20"/>
        <v>0</v>
      </c>
      <c r="AZ19" s="656"/>
      <c r="BA19" s="656"/>
      <c r="BB19" s="656"/>
      <c r="BC19" s="656"/>
      <c r="BD19" s="221">
        <f t="shared" si="21"/>
        <v>0</v>
      </c>
      <c r="BE19" s="656"/>
      <c r="BF19" s="656"/>
      <c r="BG19" s="656"/>
      <c r="BH19" s="656"/>
      <c r="BI19" s="221">
        <f t="shared" si="22"/>
        <v>0</v>
      </c>
      <c r="BJ19" s="656"/>
      <c r="BK19" s="656"/>
      <c r="BL19" s="656"/>
      <c r="BM19" s="656"/>
      <c r="BN19" s="221">
        <f t="shared" si="23"/>
        <v>0</v>
      </c>
      <c r="BO19" s="656"/>
      <c r="BP19" s="656"/>
      <c r="BQ19" s="656"/>
      <c r="BR19" s="656"/>
      <c r="BS19" s="221">
        <f t="shared" si="24"/>
        <v>0</v>
      </c>
      <c r="BT19" s="656"/>
      <c r="BU19" s="656"/>
      <c r="BV19" s="656"/>
      <c r="BW19" s="656"/>
      <c r="BX19" s="221">
        <f t="shared" si="25"/>
        <v>0</v>
      </c>
      <c r="BY19" s="656"/>
      <c r="BZ19" s="656"/>
      <c r="CA19" s="656"/>
      <c r="CB19" s="656"/>
      <c r="CC19" s="221">
        <f t="shared" si="26"/>
        <v>0</v>
      </c>
      <c r="CD19" s="656"/>
      <c r="CE19" s="656"/>
      <c r="CF19" s="656"/>
      <c r="CG19" s="656"/>
      <c r="CH19" s="221">
        <f t="shared" si="27"/>
        <v>0</v>
      </c>
      <c r="CI19" s="656"/>
      <c r="CJ19" s="656"/>
      <c r="CK19" s="656"/>
      <c r="CL19" s="656"/>
      <c r="CM19" s="221">
        <f t="shared" si="28"/>
        <v>0</v>
      </c>
      <c r="CN19" s="656"/>
      <c r="CO19" s="656"/>
      <c r="CP19" s="656"/>
      <c r="CQ19" s="656"/>
      <c r="CR19" s="221">
        <f t="shared" si="29"/>
        <v>0</v>
      </c>
      <c r="CS19" s="656"/>
      <c r="CT19" s="656"/>
      <c r="CU19" s="656"/>
      <c r="CV19" s="656"/>
      <c r="CW19" s="221">
        <f t="shared" si="30"/>
        <v>0</v>
      </c>
      <c r="CZ19" s="201"/>
      <c r="DA19" s="200"/>
      <c r="DB19" s="200"/>
    </row>
    <row r="20" spans="1:106" hidden="1" outlineLevel="1">
      <c r="A20" s="560" t="s">
        <v>573</v>
      </c>
      <c r="B20" s="655"/>
      <c r="C20" s="655"/>
      <c r="D20" s="655"/>
      <c r="E20" s="655"/>
      <c r="F20" s="221"/>
      <c r="G20" s="655"/>
      <c r="H20" s="655"/>
      <c r="I20" s="655"/>
      <c r="J20" s="655"/>
      <c r="K20" s="221">
        <f t="shared" si="12"/>
        <v>0</v>
      </c>
      <c r="L20" s="656"/>
      <c r="M20" s="656"/>
      <c r="N20" s="656"/>
      <c r="O20" s="656"/>
      <c r="P20" s="221">
        <f t="shared" si="13"/>
        <v>0</v>
      </c>
      <c r="Q20" s="656"/>
      <c r="R20" s="656"/>
      <c r="S20" s="656"/>
      <c r="T20" s="656"/>
      <c r="U20" s="221">
        <f t="shared" si="14"/>
        <v>0</v>
      </c>
      <c r="V20" s="656"/>
      <c r="W20" s="656"/>
      <c r="X20" s="656"/>
      <c r="Y20" s="656"/>
      <c r="Z20" s="221">
        <f t="shared" si="15"/>
        <v>0</v>
      </c>
      <c r="AA20" s="656"/>
      <c r="AB20" s="656"/>
      <c r="AC20" s="656"/>
      <c r="AD20" s="1327"/>
      <c r="AE20" s="221">
        <f t="shared" si="16"/>
        <v>0</v>
      </c>
      <c r="AF20" s="656"/>
      <c r="AG20" s="656"/>
      <c r="AH20" s="656"/>
      <c r="AI20" s="656"/>
      <c r="AJ20" s="221">
        <f t="shared" si="17"/>
        <v>0</v>
      </c>
      <c r="AK20" s="656"/>
      <c r="AL20" s="656"/>
      <c r="AM20" s="656"/>
      <c r="AN20" s="656"/>
      <c r="AO20" s="221">
        <f t="shared" si="18"/>
        <v>0</v>
      </c>
      <c r="AP20" s="656"/>
      <c r="AQ20" s="656"/>
      <c r="AR20" s="656"/>
      <c r="AS20" s="656"/>
      <c r="AT20" s="221">
        <f t="shared" si="19"/>
        <v>0</v>
      </c>
      <c r="AU20" s="656"/>
      <c r="AV20" s="656"/>
      <c r="AW20" s="656"/>
      <c r="AX20" s="656"/>
      <c r="AY20" s="221">
        <f t="shared" si="20"/>
        <v>0</v>
      </c>
      <c r="AZ20" s="656"/>
      <c r="BA20" s="656"/>
      <c r="BB20" s="656"/>
      <c r="BC20" s="656"/>
      <c r="BD20" s="221">
        <f t="shared" si="21"/>
        <v>0</v>
      </c>
      <c r="BE20" s="656"/>
      <c r="BF20" s="656"/>
      <c r="BG20" s="656"/>
      <c r="BH20" s="656"/>
      <c r="BI20" s="221">
        <f t="shared" si="22"/>
        <v>0</v>
      </c>
      <c r="BJ20" s="656"/>
      <c r="BK20" s="656"/>
      <c r="BL20" s="656"/>
      <c r="BM20" s="656"/>
      <c r="BN20" s="221">
        <f t="shared" si="23"/>
        <v>0</v>
      </c>
      <c r="BO20" s="656"/>
      <c r="BP20" s="656"/>
      <c r="BQ20" s="656"/>
      <c r="BR20" s="656"/>
      <c r="BS20" s="221">
        <f t="shared" si="24"/>
        <v>0</v>
      </c>
      <c r="BT20" s="656"/>
      <c r="BU20" s="656"/>
      <c r="BV20" s="656"/>
      <c r="BW20" s="656"/>
      <c r="BX20" s="221">
        <f t="shared" si="25"/>
        <v>0</v>
      </c>
      <c r="BY20" s="656"/>
      <c r="BZ20" s="656"/>
      <c r="CA20" s="656"/>
      <c r="CB20" s="656"/>
      <c r="CC20" s="221">
        <f t="shared" si="26"/>
        <v>0</v>
      </c>
      <c r="CD20" s="656"/>
      <c r="CE20" s="656"/>
      <c r="CF20" s="656"/>
      <c r="CG20" s="656"/>
      <c r="CH20" s="221">
        <f t="shared" si="27"/>
        <v>0</v>
      </c>
      <c r="CI20" s="656"/>
      <c r="CJ20" s="656"/>
      <c r="CK20" s="656"/>
      <c r="CL20" s="656"/>
      <c r="CM20" s="221">
        <f t="shared" si="28"/>
        <v>0</v>
      </c>
      <c r="CN20" s="656"/>
      <c r="CO20" s="656"/>
      <c r="CP20" s="656"/>
      <c r="CQ20" s="656"/>
      <c r="CR20" s="221">
        <f t="shared" si="29"/>
        <v>0</v>
      </c>
      <c r="CS20" s="656"/>
      <c r="CT20" s="656"/>
      <c r="CU20" s="656"/>
      <c r="CV20" s="656"/>
      <c r="CW20" s="221">
        <f t="shared" si="30"/>
        <v>0</v>
      </c>
      <c r="CZ20" s="201"/>
      <c r="DA20" s="200"/>
      <c r="DB20" s="200"/>
    </row>
    <row r="21" spans="1:106" hidden="1" outlineLevel="1">
      <c r="A21" s="553" t="s">
        <v>9</v>
      </c>
      <c r="B21" s="783"/>
      <c r="C21" s="783"/>
      <c r="D21" s="783"/>
      <c r="E21" s="783"/>
      <c r="F21" s="784"/>
      <c r="G21" s="783">
        <f t="shared" ref="G21:AY21" si="31">G11-SUM(G12:G20)</f>
        <v>267.89600000000002</v>
      </c>
      <c r="H21" s="783">
        <f t="shared" si="31"/>
        <v>317.35900000000004</v>
      </c>
      <c r="I21" s="783">
        <f t="shared" si="31"/>
        <v>284.87900000000002</v>
      </c>
      <c r="J21" s="783">
        <f t="shared" si="31"/>
        <v>294.654</v>
      </c>
      <c r="K21" s="784">
        <f t="shared" si="31"/>
        <v>1164.788</v>
      </c>
      <c r="L21" s="783">
        <f t="shared" si="31"/>
        <v>296.89499999999998</v>
      </c>
      <c r="M21" s="783">
        <f t="shared" si="31"/>
        <v>320.14599999999996</v>
      </c>
      <c r="N21" s="783">
        <f t="shared" si="31"/>
        <v>319.12199999999996</v>
      </c>
      <c r="O21" s="783">
        <f t="shared" si="31"/>
        <v>358.5859999999999</v>
      </c>
      <c r="P21" s="784">
        <f t="shared" si="31"/>
        <v>1294.7489999999998</v>
      </c>
      <c r="Q21" s="783">
        <f t="shared" si="31"/>
        <v>423.28100000000001</v>
      </c>
      <c r="R21" s="783">
        <f t="shared" si="31"/>
        <v>410.08499999999998</v>
      </c>
      <c r="S21" s="783">
        <f t="shared" si="31"/>
        <v>403.71299999999997</v>
      </c>
      <c r="T21" s="783">
        <f t="shared" si="31"/>
        <v>429.50199999999995</v>
      </c>
      <c r="U21" s="784">
        <f t="shared" si="31"/>
        <v>1666.5809999999999</v>
      </c>
      <c r="V21" s="783">
        <f t="shared" si="31"/>
        <v>472.88200000000001</v>
      </c>
      <c r="W21" s="783">
        <f t="shared" si="31"/>
        <v>496.029</v>
      </c>
      <c r="X21" s="783">
        <f t="shared" si="31"/>
        <v>487.03899999999999</v>
      </c>
      <c r="Y21" s="783">
        <f t="shared" si="31"/>
        <v>510.37100000000009</v>
      </c>
      <c r="Z21" s="784">
        <f t="shared" si="31"/>
        <v>1966.3210000000001</v>
      </c>
      <c r="AA21" s="783">
        <f t="shared" si="31"/>
        <v>527.59400000000005</v>
      </c>
      <c r="AB21" s="783">
        <f t="shared" si="31"/>
        <v>507.572</v>
      </c>
      <c r="AC21" s="783">
        <f t="shared" si="31"/>
        <v>474.3069999999999</v>
      </c>
      <c r="AD21" s="783">
        <f t="shared" si="31"/>
        <v>554.29099999999994</v>
      </c>
      <c r="AE21" s="784">
        <f t="shared" si="31"/>
        <v>2063.7640000000001</v>
      </c>
      <c r="AF21" s="783">
        <f t="shared" si="31"/>
        <v>649.40700000000004</v>
      </c>
      <c r="AG21" s="783">
        <f t="shared" si="31"/>
        <v>745.577</v>
      </c>
      <c r="AH21" s="783">
        <f t="shared" si="31"/>
        <v>851.68599999999992</v>
      </c>
      <c r="AI21" s="783">
        <f t="shared" si="31"/>
        <v>911.21100000000001</v>
      </c>
      <c r="AJ21" s="784">
        <f t="shared" si="31"/>
        <v>3157.8810000000003</v>
      </c>
      <c r="AK21" s="783">
        <f t="shared" si="31"/>
        <v>890.44499999999994</v>
      </c>
      <c r="AL21" s="783">
        <f t="shared" si="31"/>
        <v>886.88600000000008</v>
      </c>
      <c r="AM21" s="783">
        <f t="shared" si="31"/>
        <v>887.25699999999995</v>
      </c>
      <c r="AN21" s="783">
        <f t="shared" si="31"/>
        <v>915.30100000000004</v>
      </c>
      <c r="AO21" s="784">
        <f t="shared" si="31"/>
        <v>3579.8890000000001</v>
      </c>
      <c r="AP21" s="783">
        <f t="shared" si="31"/>
        <v>786.39</v>
      </c>
      <c r="AQ21" s="783">
        <f t="shared" si="31"/>
        <v>704.673</v>
      </c>
      <c r="AR21" s="783">
        <f t="shared" si="31"/>
        <v>697.50700000000006</v>
      </c>
      <c r="AS21" s="783">
        <f t="shared" si="31"/>
        <v>757.28300000000002</v>
      </c>
      <c r="AT21" s="784">
        <f t="shared" si="31"/>
        <v>2945.8530000000001</v>
      </c>
      <c r="AU21" s="783">
        <f t="shared" si="31"/>
        <v>858.7</v>
      </c>
      <c r="AV21" s="783">
        <f t="shared" si="31"/>
        <v>943.03499999999997</v>
      </c>
      <c r="AW21" s="783">
        <f t="shared" si="31"/>
        <v>990.31900000000007</v>
      </c>
      <c r="AX21" s="783">
        <f t="shared" si="31"/>
        <v>1002.5459999999999</v>
      </c>
      <c r="AY21" s="784">
        <f t="shared" si="31"/>
        <v>3794.6</v>
      </c>
      <c r="AZ21" s="783">
        <f t="shared" ref="AZ21:BI21" si="32">AZ11-SUM(AZ12:AZ20)</f>
        <v>1020.2060000000001</v>
      </c>
      <c r="BA21" s="783">
        <f t="shared" si="32"/>
        <v>1015.304</v>
      </c>
      <c r="BB21" s="783">
        <f t="shared" si="32"/>
        <v>1005.337</v>
      </c>
      <c r="BC21" s="783">
        <f t="shared" si="32"/>
        <v>1152.1609999999998</v>
      </c>
      <c r="BD21" s="784">
        <f t="shared" si="32"/>
        <v>4193.0079999999998</v>
      </c>
      <c r="BE21" s="783">
        <f>BE11-SUM(BE12:BE20)</f>
        <v>1035.6200000000001</v>
      </c>
      <c r="BF21" s="783">
        <f t="shared" si="32"/>
        <v>1107.4490000000001</v>
      </c>
      <c r="BG21" s="783">
        <f t="shared" si="32"/>
        <v>1060.58</v>
      </c>
      <c r="BH21" s="783">
        <f t="shared" si="32"/>
        <v>1128.4279999999999</v>
      </c>
      <c r="BI21" s="784">
        <f t="shared" si="32"/>
        <v>4332.0769999999993</v>
      </c>
      <c r="BJ21" s="783">
        <f t="shared" ref="BJ21:BS21" si="33">BJ11-SUM(BJ12:BJ20)</f>
        <v>987.87299999999993</v>
      </c>
      <c r="BK21" s="783">
        <f t="shared" si="33"/>
        <v>1010.549</v>
      </c>
      <c r="BL21" s="783">
        <f t="shared" si="33"/>
        <v>989.11900000000003</v>
      </c>
      <c r="BM21" s="783">
        <f t="shared" si="33"/>
        <v>1018.6989999999998</v>
      </c>
      <c r="BN21" s="784">
        <f t="shared" si="33"/>
        <v>4006.24</v>
      </c>
      <c r="BO21" s="783">
        <f t="shared" si="33"/>
        <v>975.51</v>
      </c>
      <c r="BP21" s="783">
        <f t="shared" si="33"/>
        <v>1041.8753000000002</v>
      </c>
      <c r="BQ21" s="783">
        <f t="shared" si="33"/>
        <v>983.23301100000015</v>
      </c>
      <c r="BR21" s="783">
        <f t="shared" si="33"/>
        <v>1073.328</v>
      </c>
      <c r="BS21" s="784">
        <f t="shared" si="33"/>
        <v>4073.9463110000006</v>
      </c>
      <c r="BT21" s="783">
        <f t="shared" ref="BT21:CC21" si="34">BT11-SUM(BT12:BT20)</f>
        <v>1102.181</v>
      </c>
      <c r="BU21" s="783">
        <f t="shared" si="34"/>
        <v>1142.1579999999999</v>
      </c>
      <c r="BV21" s="783">
        <f t="shared" si="34"/>
        <v>1194.768</v>
      </c>
      <c r="BW21" s="783">
        <f t="shared" si="34"/>
        <v>1281.4039999999998</v>
      </c>
      <c r="BX21" s="784">
        <f t="shared" si="34"/>
        <v>4720.5109999999995</v>
      </c>
      <c r="BY21" s="783">
        <f t="shared" si="34"/>
        <v>1383.335</v>
      </c>
      <c r="BZ21" s="783">
        <f t="shared" si="34"/>
        <v>1398.7090000000001</v>
      </c>
      <c r="CA21" s="783">
        <f t="shared" si="34"/>
        <v>1463.9670000000001</v>
      </c>
      <c r="CB21" s="783">
        <f t="shared" si="34"/>
        <v>1608.4189999999999</v>
      </c>
      <c r="CC21" s="784">
        <f t="shared" si="34"/>
        <v>5854.43</v>
      </c>
      <c r="CD21" s="783">
        <f t="shared" ref="CD21:CM21" si="35">CD11-SUM(CD12:CD20)</f>
        <v>1649.646</v>
      </c>
      <c r="CE21" s="783">
        <f t="shared" si="35"/>
        <v>1772.19</v>
      </c>
      <c r="CF21" s="783">
        <f t="shared" si="35"/>
        <v>1841.0740000000001</v>
      </c>
      <c r="CG21" s="783">
        <f t="shared" si="35"/>
        <v>2006.595</v>
      </c>
      <c r="CH21" s="784">
        <f t="shared" si="35"/>
        <v>7269.5050000000001</v>
      </c>
      <c r="CI21" s="783">
        <f t="shared" si="35"/>
        <v>2078.9470000000001</v>
      </c>
      <c r="CJ21" s="783">
        <f t="shared" si="35"/>
        <v>2175.0017125198278</v>
      </c>
      <c r="CK21" s="783">
        <f t="shared" si="35"/>
        <v>2261.4757834422894</v>
      </c>
      <c r="CL21" s="783">
        <f t="shared" si="35"/>
        <v>2379.804478255523</v>
      </c>
      <c r="CM21" s="784">
        <f t="shared" si="35"/>
        <v>8895.2289742176399</v>
      </c>
      <c r="CN21" s="783">
        <f t="shared" ref="CN21:CW21" si="36">CN11-SUM(CN12:CN20)</f>
        <v>2468.4531475484737</v>
      </c>
      <c r="CO21" s="783">
        <f t="shared" si="36"/>
        <v>2570.9578231587748</v>
      </c>
      <c r="CP21" s="783">
        <f t="shared" si="36"/>
        <v>2678.1316066154886</v>
      </c>
      <c r="CQ21" s="783">
        <f t="shared" si="36"/>
        <v>2816.7017567979938</v>
      </c>
      <c r="CR21" s="784">
        <f t="shared" si="36"/>
        <v>10534.244334120731</v>
      </c>
      <c r="CS21" s="783">
        <f t="shared" si="36"/>
        <v>2904.455994825903</v>
      </c>
      <c r="CT21" s="783">
        <f t="shared" si="36"/>
        <v>3003.8963441027872</v>
      </c>
      <c r="CU21" s="783">
        <f t="shared" si="36"/>
        <v>3105.0692880368842</v>
      </c>
      <c r="CV21" s="783">
        <f t="shared" si="36"/>
        <v>3241.6785565389209</v>
      </c>
      <c r="CW21" s="784">
        <f t="shared" si="36"/>
        <v>12255.100183504495</v>
      </c>
      <c r="CZ21" s="415"/>
      <c r="DA21" s="414"/>
      <c r="DB21" s="414"/>
    </row>
    <row r="22" spans="1:106" hidden="1" outlineLevel="1">
      <c r="A22" s="553" t="s">
        <v>92</v>
      </c>
      <c r="B22" s="789"/>
      <c r="C22" s="789"/>
      <c r="D22" s="789"/>
      <c r="E22" s="789"/>
      <c r="F22" s="790"/>
      <c r="G22" s="791" t="s">
        <v>131</v>
      </c>
      <c r="H22" s="791" t="s">
        <v>131</v>
      </c>
      <c r="I22" s="791" t="s">
        <v>131</v>
      </c>
      <c r="J22" s="791" t="s">
        <v>131</v>
      </c>
      <c r="K22" s="792" t="s">
        <v>131</v>
      </c>
      <c r="L22" s="789">
        <f>'Rev by Geo'!M26-'Rev by Geo'!M31</f>
        <v>-9.0997414400295851E-2</v>
      </c>
      <c r="M22" s="789">
        <f>'Rev by Geo'!N26-'Rev by Geo'!N31</f>
        <v>-4.5217003089651486E-2</v>
      </c>
      <c r="N22" s="789">
        <f>'Rev by Geo'!O26-'Rev by Geo'!O31</f>
        <v>-4.2979816922333214E-2</v>
      </c>
      <c r="O22" s="789">
        <f>'Rev by Geo'!P26-'Rev by Geo'!P31</f>
        <v>-3.9756742116383581E-2</v>
      </c>
      <c r="P22" s="790">
        <f>'Rev by Geo'!Q26-'Rev by Geo'!Q31</f>
        <v>5.0179946908793571E-2</v>
      </c>
      <c r="Q22" s="789">
        <f>'Rev by Geo'!R26-'Rev by Geo'!R31</f>
        <v>9.7677630138601312E-2</v>
      </c>
      <c r="R22" s="789">
        <f>'Rev by Geo'!S26-'Rev by Geo'!S31</f>
        <v>4.997719790345645E-2</v>
      </c>
      <c r="S22" s="789">
        <f>'Rev by Geo'!T26-'Rev by Geo'!T31</f>
        <v>3.4469575898872673E-2</v>
      </c>
      <c r="T22" s="789">
        <f>'Rev by Geo'!U26-'Rev by Geo'!U31</f>
        <v>3.458026805285197E-2</v>
      </c>
      <c r="U22" s="790">
        <f>'Rev by Geo'!V26-'Rev by Geo'!V31</f>
        <v>5.2659627464473724E-2</v>
      </c>
      <c r="V22" s="789">
        <f>'Rev by Geo'!W26-'Rev by Geo'!W31</f>
        <v>2.6653688684349142E-2</v>
      </c>
      <c r="W22" s="789">
        <f>'Rev by Geo'!X26-'Rev by Geo'!X31</f>
        <v>2.4629040320909068E-2</v>
      </c>
      <c r="X22" s="789">
        <f>'Rev by Geo'!Y26-'Rev by Geo'!Y31</f>
        <v>7.1833208244469482E-3</v>
      </c>
      <c r="Y22" s="789">
        <f>'Rev by Geo'!Z26-'Rev by Geo'!Z31</f>
        <v>-1.4668150555759984E-2</v>
      </c>
      <c r="Z22" s="790">
        <f>'Rev by Geo'!AA26-'Rev by Geo'!AA31</f>
        <v>1.0813155796207452E-2</v>
      </c>
      <c r="AA22" s="789">
        <f>'Rev by Geo'!AB26-'Rev by Geo'!AB31</f>
        <v>-5.1809965276749859E-2</v>
      </c>
      <c r="AB22" s="789">
        <f>'Rev by Geo'!AC26-'Rev by Geo'!AC31</f>
        <v>-3.0643369641694562E-2</v>
      </c>
      <c r="AC22" s="789">
        <f>'Rev by Geo'!AD26-'Rev by Geo'!AD31</f>
        <v>-3.6958025948639062E-3</v>
      </c>
      <c r="AD22" s="789">
        <f>'Rev by Geo'!AE26-'Rev by Geo'!AE31</f>
        <v>1.2735833344762915E-2</v>
      </c>
      <c r="AE22" s="790">
        <f>'Rev by Geo'!AF26-'Rev by Geo'!AF31</f>
        <v>-1.7799738699835865E-2</v>
      </c>
      <c r="AF22" s="789">
        <f>'Rev by Geo'!AG26-'Rev by Geo'!AG31</f>
        <v>2.0911456982537935E-2</v>
      </c>
      <c r="AG22" s="789">
        <f>'Rev by Geo'!AH26-'Rev by Geo'!AH31</f>
        <v>1.9634719004935075E-2</v>
      </c>
      <c r="AH22" s="789">
        <f>'Rev by Geo'!AI26-'Rev by Geo'!AI31</f>
        <v>1.8409441522706294E-2</v>
      </c>
      <c r="AI22" s="789">
        <f>'Rev by Geo'!AJ26-'Rev by Geo'!AJ31</f>
        <v>4.1940850954667264E-2</v>
      </c>
      <c r="AJ22" s="790">
        <f>'Rev by Geo'!AK26-'Rev by Geo'!AK31</f>
        <v>2.558187395643241E-2</v>
      </c>
      <c r="AK22" s="789">
        <f>'Rev by Geo'!AL26-'Rev by Geo'!AL31</f>
        <v>4.9191031202312052E-2</v>
      </c>
      <c r="AL22" s="789">
        <f>'Rev by Geo'!AM26-'Rev by Geo'!AM31</f>
        <v>5.9666540142735203E-2</v>
      </c>
      <c r="AM22" s="789">
        <f>'Rev by Geo'!AN26-'Rev by Geo'!AN31</f>
        <v>4.5506207686870415E-2</v>
      </c>
      <c r="AN22" s="789">
        <f>'Rev by Geo'!AO26-'Rev by Geo'!AO31</f>
        <v>7.5734379852745448E-3</v>
      </c>
      <c r="AO22" s="790">
        <f>'Rev by Geo'!AP26-'Rev by Geo'!AP31</f>
        <v>3.8661684844995881E-2</v>
      </c>
      <c r="AP22" s="789">
        <f>'Rev by Geo'!AQ26-'Rev by Geo'!AQ31</f>
        <v>1.3914391119047131E-2</v>
      </c>
      <c r="AQ22" s="789">
        <f>'Rev by Geo'!AR26-'Rev by Geo'!AR31</f>
        <v>-1.8409355881139233E-2</v>
      </c>
      <c r="AR22" s="789">
        <f>'Rev by Geo'!AS26-'Rev by Geo'!AS31</f>
        <v>-7.2053531276731198E-3</v>
      </c>
      <c r="AS22" s="789">
        <f>'Rev by Geo'!AT26-'Rev by Geo'!AT31</f>
        <v>2.4017235860115949E-2</v>
      </c>
      <c r="AT22" s="790">
        <f>'Rev by Geo'!AU26-'Rev by Geo'!AU31</f>
        <v>3.2551288601404549E-3</v>
      </c>
      <c r="AU22" s="789">
        <f>'Rev by Geo'!CQ26-'Rev by Geo'!CQ31</f>
        <v>0</v>
      </c>
      <c r="AV22" s="789">
        <f>'Rev by Geo'!CR26-'Rev by Geo'!CR31</f>
        <v>0</v>
      </c>
      <c r="AW22" s="789">
        <f>'Rev by Geo'!CS26-'Rev by Geo'!CS31</f>
        <v>0</v>
      </c>
      <c r="AX22" s="789">
        <f>'Rev by Geo'!CT26-'Rev by Geo'!CT31</f>
        <v>0</v>
      </c>
      <c r="AY22" s="790">
        <f>'Rev by Geo'!CU26-'Rev by Geo'!CU31</f>
        <v>0</v>
      </c>
      <c r="AZ22" s="789">
        <f>'Rev by Geo'!CV26-'Rev by Geo'!CV31</f>
        <v>0</v>
      </c>
      <c r="BA22" s="789">
        <f>'Rev by Geo'!CW26-'Rev by Geo'!CW31</f>
        <v>0</v>
      </c>
      <c r="BB22" s="789">
        <f>'Rev by Geo'!CX26-'Rev by Geo'!CX31</f>
        <v>0</v>
      </c>
      <c r="BC22" s="789">
        <f>'Rev by Geo'!CY26-'Rev by Geo'!CY31</f>
        <v>0</v>
      </c>
      <c r="BD22" s="790">
        <f>'Rev by Geo'!CZ26-'Rev by Geo'!CZ31</f>
        <v>0</v>
      </c>
      <c r="BE22" s="789">
        <f>'Rev by Geo'!DA26-'Rev by Geo'!DA31</f>
        <v>0</v>
      </c>
      <c r="BF22" s="789">
        <f>'Rev by Geo'!DB26-'Rev by Geo'!DB31</f>
        <v>0</v>
      </c>
      <c r="BG22" s="789">
        <f>'Rev by Geo'!DC26-'Rev by Geo'!DC31</f>
        <v>0</v>
      </c>
      <c r="BH22" s="789">
        <f>'Rev by Geo'!DD26-'Rev by Geo'!DD31</f>
        <v>0</v>
      </c>
      <c r="BI22" s="790">
        <f>'Rev by Geo'!DE26-'Rev by Geo'!DE31</f>
        <v>0</v>
      </c>
      <c r="BJ22" s="789">
        <f>'Rev by Geo'!DF26-'Rev by Geo'!DF31</f>
        <v>0</v>
      </c>
      <c r="BK22" s="789">
        <f>'Rev by Geo'!DG26-'Rev by Geo'!DG31</f>
        <v>0</v>
      </c>
      <c r="BL22" s="789">
        <f>'Rev by Geo'!DH26-'Rev by Geo'!DH31</f>
        <v>0</v>
      </c>
      <c r="BM22" s="789">
        <f>'Rev by Geo'!DI26-'Rev by Geo'!DI31</f>
        <v>0</v>
      </c>
      <c r="BN22" s="790">
        <f>'Rev by Geo'!DJ26-'Rev by Geo'!DJ31</f>
        <v>0</v>
      </c>
      <c r="BO22" s="789">
        <f>'Rev by Geo'!DK26-'Rev by Geo'!DK31</f>
        <v>0</v>
      </c>
      <c r="BP22" s="789">
        <f>'Rev by Geo'!DL26-'Rev by Geo'!DL31</f>
        <v>0</v>
      </c>
      <c r="BQ22" s="789">
        <f>'Rev by Geo'!DM26-'Rev by Geo'!DM31</f>
        <v>0</v>
      </c>
      <c r="BR22" s="789">
        <f>'Rev by Geo'!DN26-'Rev by Geo'!DN31</f>
        <v>0</v>
      </c>
      <c r="BS22" s="790">
        <f>'Rev by Geo'!DO26-'Rev by Geo'!DO31</f>
        <v>0</v>
      </c>
      <c r="BT22" s="789">
        <f>'Rev by Geo'!DP26-'Rev by Geo'!DP31</f>
        <v>0</v>
      </c>
      <c r="BU22" s="789">
        <f>'Rev by Geo'!DQ26-'Rev by Geo'!DQ31</f>
        <v>0</v>
      </c>
      <c r="BV22" s="789">
        <f>'Rev by Geo'!DR26-'Rev by Geo'!DR31</f>
        <v>0</v>
      </c>
      <c r="BW22" s="789">
        <f>'Rev by Geo'!DS26-'Rev by Geo'!DS31</f>
        <v>0</v>
      </c>
      <c r="BX22" s="790">
        <f>'Rev by Geo'!DT26-'Rev by Geo'!DT31</f>
        <v>0</v>
      </c>
      <c r="BY22" s="789">
        <f>'Rev by Geo'!DU26-'Rev by Geo'!DU31</f>
        <v>0</v>
      </c>
      <c r="BZ22" s="789">
        <f>'Rev by Geo'!DV26-'Rev by Geo'!DV31</f>
        <v>0</v>
      </c>
      <c r="CA22" s="789">
        <f>'Rev by Geo'!DW26-'Rev by Geo'!DW31</f>
        <v>0</v>
      </c>
      <c r="CB22" s="789">
        <f>'Rev by Geo'!DX26-'Rev by Geo'!DX31</f>
        <v>0</v>
      </c>
      <c r="CC22" s="790">
        <f>'Rev by Geo'!DY26-'Rev by Geo'!DY31</f>
        <v>0</v>
      </c>
      <c r="CD22" s="789">
        <f>'Rev by Geo'!DZ26-'Rev by Geo'!DZ31</f>
        <v>0</v>
      </c>
      <c r="CE22" s="789">
        <f>'Rev by Geo'!EA26-'Rev by Geo'!EA31</f>
        <v>0</v>
      </c>
      <c r="CF22" s="789">
        <f>'Rev by Geo'!EB26-'Rev by Geo'!EB31</f>
        <v>0</v>
      </c>
      <c r="CG22" s="789">
        <f>'Rev by Geo'!EC26-'Rev by Geo'!EC31</f>
        <v>0</v>
      </c>
      <c r="CH22" s="790">
        <f>'Rev by Geo'!ED26-'Rev by Geo'!ED31</f>
        <v>0</v>
      </c>
      <c r="CI22" s="789">
        <f>'Rev by Geo'!EE26-'Rev by Geo'!EE31</f>
        <v>0</v>
      </c>
      <c r="CJ22" s="789">
        <f>'Rev by Geo'!EF26-'Rev by Geo'!EF31</f>
        <v>0</v>
      </c>
      <c r="CK22" s="789">
        <f>'Rev by Geo'!EG26-'Rev by Geo'!EG31</f>
        <v>0</v>
      </c>
      <c r="CL22" s="789">
        <f>'Rev by Geo'!EH26-'Rev by Geo'!EH31</f>
        <v>0</v>
      </c>
      <c r="CM22" s="790">
        <f>'Rev by Geo'!EI26-'Rev by Geo'!EI31</f>
        <v>0</v>
      </c>
      <c r="CN22" s="789">
        <f>'Rev by Geo'!EJ26-'Rev by Geo'!EJ31</f>
        <v>0</v>
      </c>
      <c r="CO22" s="789">
        <f>'Rev by Geo'!EK26-'Rev by Geo'!EK31</f>
        <v>0</v>
      </c>
      <c r="CP22" s="789">
        <f>'Rev by Geo'!EL26-'Rev by Geo'!EL31</f>
        <v>0</v>
      </c>
      <c r="CQ22" s="789">
        <f>'Rev by Geo'!EM26-'Rev by Geo'!EM31</f>
        <v>0</v>
      </c>
      <c r="CR22" s="790">
        <f>'Rev by Geo'!EN26-'Rev by Geo'!EN31</f>
        <v>0</v>
      </c>
      <c r="CS22" s="789">
        <f>'Rev by Geo'!EO26-'Rev by Geo'!EO31</f>
        <v>0</v>
      </c>
      <c r="CT22" s="789">
        <f>'Rev by Geo'!EP26-'Rev by Geo'!EP31</f>
        <v>0</v>
      </c>
      <c r="CU22" s="789">
        <f>'Rev by Geo'!EQ26-'Rev by Geo'!EQ31</f>
        <v>0</v>
      </c>
      <c r="CV22" s="789">
        <f>'Rev by Geo'!ER26-'Rev by Geo'!ER31</f>
        <v>0</v>
      </c>
      <c r="CW22" s="790">
        <f>'Rev by Geo'!ES26-'Rev by Geo'!ES31</f>
        <v>0</v>
      </c>
      <c r="CZ22" s="415"/>
      <c r="DA22" s="414"/>
      <c r="DB22" s="414"/>
    </row>
    <row r="23" spans="1:106" collapsed="1">
      <c r="A23" s="200" t="s">
        <v>9</v>
      </c>
      <c r="B23" s="417"/>
      <c r="C23" s="417"/>
      <c r="D23" s="417"/>
      <c r="E23" s="417"/>
      <c r="F23" s="311"/>
      <c r="G23" s="439" t="s">
        <v>131</v>
      </c>
      <c r="H23" s="439" t="s">
        <v>131</v>
      </c>
      <c r="I23" s="439" t="s">
        <v>131</v>
      </c>
      <c r="J23" s="439" t="s">
        <v>131</v>
      </c>
      <c r="K23" s="647" t="s">
        <v>131</v>
      </c>
      <c r="L23" s="417">
        <f t="shared" ref="L23:AY23" si="37">L21/G11-1</f>
        <v>0.10824723026846228</v>
      </c>
      <c r="M23" s="417">
        <f t="shared" si="37"/>
        <v>8.7818527282979009E-3</v>
      </c>
      <c r="N23" s="417">
        <f t="shared" si="37"/>
        <v>0.12020191028471716</v>
      </c>
      <c r="O23" s="417">
        <f t="shared" si="37"/>
        <v>0.21697312780413602</v>
      </c>
      <c r="P23" s="311">
        <f t="shared" si="37"/>
        <v>0.11157481018004978</v>
      </c>
      <c r="Q23" s="417">
        <f t="shared" si="37"/>
        <v>0.42569258492059503</v>
      </c>
      <c r="R23" s="417">
        <f t="shared" si="37"/>
        <v>0.28093120013993622</v>
      </c>
      <c r="S23" s="417">
        <f t="shared" si="37"/>
        <v>0.26507417226013885</v>
      </c>
      <c r="T23" s="417">
        <f t="shared" si="37"/>
        <v>0.19776566848677879</v>
      </c>
      <c r="U23" s="311">
        <f t="shared" si="37"/>
        <v>0.28718462033954095</v>
      </c>
      <c r="V23" s="417">
        <f t="shared" si="37"/>
        <v>0.11718220283924863</v>
      </c>
      <c r="W23" s="417">
        <f t="shared" si="37"/>
        <v>0.20957606349903068</v>
      </c>
      <c r="X23" s="417">
        <f t="shared" si="37"/>
        <v>0.20639910035099196</v>
      </c>
      <c r="Y23" s="417">
        <f t="shared" si="37"/>
        <v>0.18828550274503986</v>
      </c>
      <c r="Z23" s="311">
        <f t="shared" si="37"/>
        <v>0.17985324445676532</v>
      </c>
      <c r="AA23" s="417">
        <f t="shared" si="37"/>
        <v>0.11569905388659341</v>
      </c>
      <c r="AB23" s="417">
        <f t="shared" si="37"/>
        <v>2.3270816827241969E-2</v>
      </c>
      <c r="AC23" s="417">
        <f t="shared" si="37"/>
        <v>-2.6141643687672023E-2</v>
      </c>
      <c r="AD23" s="417">
        <f t="shared" si="37"/>
        <v>8.6055046231074739E-2</v>
      </c>
      <c r="AE23" s="311">
        <f t="shared" si="37"/>
        <v>4.9555998232231557E-2</v>
      </c>
      <c r="AF23" s="417">
        <f t="shared" si="37"/>
        <v>-9.2619431926014295E-3</v>
      </c>
      <c r="AG23" s="417">
        <f t="shared" si="37"/>
        <v>0.17329445311713165</v>
      </c>
      <c r="AH23" s="417">
        <f t="shared" si="37"/>
        <v>0.41431207042283935</v>
      </c>
      <c r="AI23" s="417">
        <f t="shared" si="37"/>
        <v>0.33574376076519963</v>
      </c>
      <c r="AJ23" s="311">
        <f t="shared" si="37"/>
        <v>0.22621869296780961</v>
      </c>
      <c r="AK23" s="417">
        <f t="shared" si="37"/>
        <v>0.37116631018760171</v>
      </c>
      <c r="AL23" s="417">
        <f t="shared" si="37"/>
        <v>0.18952971993503032</v>
      </c>
      <c r="AM23" s="417">
        <f t="shared" si="37"/>
        <v>4.1765392409878865E-2</v>
      </c>
      <c r="AN23" s="417">
        <f t="shared" si="37"/>
        <v>4.4885322938374994E-3</v>
      </c>
      <c r="AO23" s="311">
        <f t="shared" si="37"/>
        <v>0.13363644798521523</v>
      </c>
      <c r="AP23" s="417">
        <f t="shared" si="37"/>
        <v>-0.11685730168623554</v>
      </c>
      <c r="AQ23" s="417">
        <f t="shared" si="37"/>
        <v>-0.2054525609830351</v>
      </c>
      <c r="AR23" s="417">
        <f t="shared" si="37"/>
        <v>-0.21386137274769301</v>
      </c>
      <c r="AS23" s="417">
        <f t="shared" si="37"/>
        <v>-0.17264047564680907</v>
      </c>
      <c r="AT23" s="311">
        <f t="shared" si="37"/>
        <v>-0.17711051934850497</v>
      </c>
      <c r="AU23" s="417">
        <f t="shared" si="37"/>
        <v>9.195183051666489E-2</v>
      </c>
      <c r="AV23" s="417">
        <f t="shared" si="37"/>
        <v>0.33825902226990379</v>
      </c>
      <c r="AW23" s="417">
        <f t="shared" si="37"/>
        <v>0.41979793751173822</v>
      </c>
      <c r="AX23" s="417">
        <f t="shared" si="37"/>
        <v>0.32387231721826581</v>
      </c>
      <c r="AY23" s="311">
        <f t="shared" si="37"/>
        <v>0.28811587000437555</v>
      </c>
      <c r="AZ23" s="417">
        <f>AZ21/AU11-1</f>
        <v>0.18808198439501589</v>
      </c>
      <c r="BA23" s="417">
        <f t="shared" ref="BA23:BI23" si="38">BA21/AV11-1</f>
        <v>7.6634483343672288E-2</v>
      </c>
      <c r="BB23" s="417">
        <f t="shared" si="38"/>
        <v>1.516481053074803E-2</v>
      </c>
      <c r="BC23" s="417">
        <f t="shared" si="38"/>
        <v>0.14307810140622612</v>
      </c>
      <c r="BD23" s="311">
        <f t="shared" si="38"/>
        <v>0.10342315789473688</v>
      </c>
      <c r="BE23" s="417">
        <f t="shared" si="38"/>
        <v>7.7006459045680931E-3</v>
      </c>
      <c r="BF23" s="417">
        <f t="shared" si="38"/>
        <v>8.2360955414448656E-2</v>
      </c>
      <c r="BG23" s="417">
        <f t="shared" si="38"/>
        <v>4.6750334579535036E-2</v>
      </c>
      <c r="BH23" s="417">
        <f t="shared" si="38"/>
        <v>-2.0598683690907782E-2</v>
      </c>
      <c r="BI23" s="311">
        <f t="shared" si="38"/>
        <v>2.7469618794675243E-2</v>
      </c>
      <c r="BJ23" s="417">
        <f t="shared" ref="BJ23:BS23" si="39">BJ21/BE11-1</f>
        <v>-5.4865961233041882E-2</v>
      </c>
      <c r="BK23" s="417">
        <f t="shared" si="39"/>
        <v>-0.10129405602210517</v>
      </c>
      <c r="BL23" s="417">
        <f t="shared" si="39"/>
        <v>-8.4640655944029919E-2</v>
      </c>
      <c r="BM23" s="417">
        <f t="shared" si="39"/>
        <v>-0.11680746435841682</v>
      </c>
      <c r="BN23" s="311">
        <f t="shared" si="39"/>
        <v>-9.0251169647546758E-2</v>
      </c>
      <c r="BO23" s="417">
        <f t="shared" si="39"/>
        <v>-3.211019642355728E-2</v>
      </c>
      <c r="BP23" s="417">
        <f t="shared" si="39"/>
        <v>3.0999288505555E-2</v>
      </c>
      <c r="BQ23" s="417">
        <f t="shared" si="39"/>
        <v>-1.1944289074974801E-2</v>
      </c>
      <c r="BR23" s="417">
        <f t="shared" si="39"/>
        <v>3.0362897535660682E-2</v>
      </c>
      <c r="BS23" s="311">
        <f t="shared" si="39"/>
        <v>4.6128739606041691E-3</v>
      </c>
      <c r="BT23" s="417">
        <f t="shared" ref="BT23:CC23" si="40">BT21/BO11-1</f>
        <v>0.1020487541495021</v>
      </c>
      <c r="BU23" s="417">
        <f t="shared" si="40"/>
        <v>6.9228090409358289E-2</v>
      </c>
      <c r="BV23" s="417">
        <f t="shared" si="40"/>
        <v>0.1883402674931296</v>
      </c>
      <c r="BW23" s="417">
        <f t="shared" si="40"/>
        <v>0.19386059061163019</v>
      </c>
      <c r="BX23" s="311">
        <f t="shared" si="40"/>
        <v>0.13827755291995647</v>
      </c>
      <c r="BY23" s="417">
        <f t="shared" si="40"/>
        <v>0.24716795545542158</v>
      </c>
      <c r="BZ23" s="417">
        <f t="shared" si="40"/>
        <v>0.20354461269465962</v>
      </c>
      <c r="CA23" s="417">
        <f t="shared" si="40"/>
        <v>0.20217233496035369</v>
      </c>
      <c r="CB23" s="417">
        <f t="shared" si="40"/>
        <v>0.23118040054990652</v>
      </c>
      <c r="CC23" s="311">
        <f t="shared" si="40"/>
        <v>0.22081463268460877</v>
      </c>
      <c r="CD23" s="417">
        <f t="shared" ref="CD23:CM23" si="41">CD21/BY11-1</f>
        <v>0.19251374395934451</v>
      </c>
      <c r="CE23" s="417">
        <f t="shared" si="41"/>
        <v>0.26701837194155464</v>
      </c>
      <c r="CF23" s="417">
        <f t="shared" si="41"/>
        <v>0.2575925550234397</v>
      </c>
      <c r="CG23" s="417">
        <f t="shared" si="41"/>
        <v>0.24755738399011706</v>
      </c>
      <c r="CH23" s="311">
        <f t="shared" si="41"/>
        <v>0.24171012378660262</v>
      </c>
      <c r="CI23" s="417">
        <f t="shared" si="41"/>
        <v>0.2362572146575439</v>
      </c>
      <c r="CJ23" s="417">
        <f t="shared" si="41"/>
        <v>0.22729600805772954</v>
      </c>
      <c r="CK23" s="417">
        <f t="shared" si="41"/>
        <v>0.22834594559604304</v>
      </c>
      <c r="CL23" s="417">
        <f t="shared" si="41"/>
        <v>0.18599143237949023</v>
      </c>
      <c r="CM23" s="311">
        <f t="shared" si="41"/>
        <v>0.21827335244139934</v>
      </c>
      <c r="CN23" s="417">
        <f t="shared" ref="CN23:CW23" si="42">CN21/CI11-1</f>
        <v>0.1873574206309605</v>
      </c>
      <c r="CO23" s="417">
        <f t="shared" si="42"/>
        <v>0.18204864316185554</v>
      </c>
      <c r="CP23" s="417">
        <f t="shared" si="42"/>
        <v>0.18424067426403723</v>
      </c>
      <c r="CQ23" s="417">
        <f t="shared" si="42"/>
        <v>0.18358536700575123</v>
      </c>
      <c r="CR23" s="311">
        <f t="shared" si="42"/>
        <v>0.1842578043413714</v>
      </c>
      <c r="CS23" s="417">
        <f t="shared" si="42"/>
        <v>0.17662998696590315</v>
      </c>
      <c r="CT23" s="417">
        <f t="shared" si="42"/>
        <v>0.16839580838089674</v>
      </c>
      <c r="CU23" s="417">
        <f t="shared" si="42"/>
        <v>0.15941624390929077</v>
      </c>
      <c r="CV23" s="417">
        <f t="shared" si="42"/>
        <v>0.15087745754951265</v>
      </c>
      <c r="CW23" s="311">
        <f t="shared" si="42"/>
        <v>0.16335826233020456</v>
      </c>
      <c r="CZ23" s="201"/>
      <c r="DA23" s="200"/>
      <c r="DB23" s="200"/>
    </row>
    <row r="24" spans="1:106">
      <c r="A24" s="200" t="s">
        <v>430</v>
      </c>
      <c r="B24" s="417"/>
      <c r="C24" s="417"/>
      <c r="D24" s="417"/>
      <c r="E24" s="417"/>
      <c r="F24" s="311"/>
      <c r="G24" s="439" t="s">
        <v>131</v>
      </c>
      <c r="H24" s="439" t="s">
        <v>131</v>
      </c>
      <c r="I24" s="439" t="s">
        <v>131</v>
      </c>
      <c r="J24" s="439" t="s">
        <v>131</v>
      </c>
      <c r="K24" s="647" t="s">
        <v>131</v>
      </c>
      <c r="L24" s="417">
        <f t="shared" ref="L24:AY24" si="43">L23-L22</f>
        <v>0.19924464466875813</v>
      </c>
      <c r="M24" s="417">
        <f t="shared" si="43"/>
        <v>5.3998855817949387E-2</v>
      </c>
      <c r="N24" s="417">
        <f t="shared" si="43"/>
        <v>0.16318172720705038</v>
      </c>
      <c r="O24" s="417">
        <f t="shared" si="43"/>
        <v>0.2567298699205196</v>
      </c>
      <c r="P24" s="311">
        <f t="shared" si="43"/>
        <v>6.1394863271256206E-2</v>
      </c>
      <c r="Q24" s="417">
        <f t="shared" si="43"/>
        <v>0.32801495478199372</v>
      </c>
      <c r="R24" s="417">
        <f t="shared" si="43"/>
        <v>0.23095400223647977</v>
      </c>
      <c r="S24" s="417">
        <f t="shared" si="43"/>
        <v>0.23060459636126618</v>
      </c>
      <c r="T24" s="417">
        <f t="shared" si="43"/>
        <v>0.16318540043392682</v>
      </c>
      <c r="U24" s="311">
        <f t="shared" si="43"/>
        <v>0.23452499287506723</v>
      </c>
      <c r="V24" s="417">
        <f t="shared" si="43"/>
        <v>9.0528514154899486E-2</v>
      </c>
      <c r="W24" s="417">
        <f t="shared" si="43"/>
        <v>0.18494702317812162</v>
      </c>
      <c r="X24" s="417">
        <f t="shared" si="43"/>
        <v>0.19921577952654501</v>
      </c>
      <c r="Y24" s="417">
        <f t="shared" si="43"/>
        <v>0.20295365330079984</v>
      </c>
      <c r="Z24" s="311">
        <f t="shared" si="43"/>
        <v>0.16904008866055786</v>
      </c>
      <c r="AA24" s="417">
        <f t="shared" si="43"/>
        <v>0.16750901916334326</v>
      </c>
      <c r="AB24" s="417">
        <f t="shared" si="43"/>
        <v>5.3914186468936531E-2</v>
      </c>
      <c r="AC24" s="417">
        <f t="shared" si="43"/>
        <v>-2.2445841092808116E-2</v>
      </c>
      <c r="AD24" s="417">
        <f t="shared" si="43"/>
        <v>7.3319212886311824E-2</v>
      </c>
      <c r="AE24" s="311">
        <f t="shared" si="43"/>
        <v>6.7355736932067423E-2</v>
      </c>
      <c r="AF24" s="417">
        <f t="shared" si="43"/>
        <v>-3.0173400175139364E-2</v>
      </c>
      <c r="AG24" s="417">
        <f t="shared" si="43"/>
        <v>0.15365973411219658</v>
      </c>
      <c r="AH24" s="417">
        <f t="shared" si="43"/>
        <v>0.39590262890013306</v>
      </c>
      <c r="AI24" s="417">
        <f t="shared" si="43"/>
        <v>0.29380290981053236</v>
      </c>
      <c r="AJ24" s="311">
        <f t="shared" si="43"/>
        <v>0.2006368190113772</v>
      </c>
      <c r="AK24" s="417">
        <f t="shared" si="43"/>
        <v>0.32197527898528966</v>
      </c>
      <c r="AL24" s="417">
        <f t="shared" si="43"/>
        <v>0.12986317979229511</v>
      </c>
      <c r="AM24" s="417">
        <f t="shared" si="43"/>
        <v>-3.7408152769915493E-3</v>
      </c>
      <c r="AN24" s="417">
        <f t="shared" si="43"/>
        <v>-3.0849056914370454E-3</v>
      </c>
      <c r="AO24" s="311">
        <f t="shared" si="43"/>
        <v>9.4974763140219354E-2</v>
      </c>
      <c r="AP24" s="417">
        <f t="shared" si="43"/>
        <v>-0.13077169280528267</v>
      </c>
      <c r="AQ24" s="417">
        <f t="shared" si="43"/>
        <v>-0.18704320510189587</v>
      </c>
      <c r="AR24" s="417">
        <f t="shared" si="43"/>
        <v>-0.20665601962001989</v>
      </c>
      <c r="AS24" s="417">
        <f t="shared" si="43"/>
        <v>-0.19665771150692501</v>
      </c>
      <c r="AT24" s="311">
        <f t="shared" si="43"/>
        <v>-0.18036564820864542</v>
      </c>
      <c r="AU24" s="417">
        <f t="shared" si="43"/>
        <v>9.195183051666489E-2</v>
      </c>
      <c r="AV24" s="417">
        <f t="shared" si="43"/>
        <v>0.33825902226990379</v>
      </c>
      <c r="AW24" s="417">
        <f t="shared" si="43"/>
        <v>0.41979793751173822</v>
      </c>
      <c r="AX24" s="417">
        <f t="shared" si="43"/>
        <v>0.32387231721826581</v>
      </c>
      <c r="AY24" s="311">
        <f t="shared" si="43"/>
        <v>0.28811587000437555</v>
      </c>
      <c r="AZ24" s="417">
        <f t="shared" ref="AZ24:BI24" si="44">AZ23-AZ22</f>
        <v>0.18808198439501589</v>
      </c>
      <c r="BA24" s="417">
        <f t="shared" si="44"/>
        <v>7.6634483343672288E-2</v>
      </c>
      <c r="BB24" s="417">
        <f t="shared" si="44"/>
        <v>1.516481053074803E-2</v>
      </c>
      <c r="BC24" s="417">
        <f t="shared" si="44"/>
        <v>0.14307810140622612</v>
      </c>
      <c r="BD24" s="311">
        <f t="shared" si="44"/>
        <v>0.10342315789473688</v>
      </c>
      <c r="BE24" s="417">
        <f>BE23-BE22</f>
        <v>7.7006459045680931E-3</v>
      </c>
      <c r="BF24" s="417">
        <f t="shared" si="44"/>
        <v>8.2360955414448656E-2</v>
      </c>
      <c r="BG24" s="417">
        <f t="shared" si="44"/>
        <v>4.6750334579535036E-2</v>
      </c>
      <c r="BH24" s="417">
        <f t="shared" si="44"/>
        <v>-2.0598683690907782E-2</v>
      </c>
      <c r="BI24" s="311">
        <f t="shared" si="44"/>
        <v>2.7469618794675243E-2</v>
      </c>
      <c r="BJ24" s="417">
        <f t="shared" ref="BJ24:BS24" si="45">BJ23-BJ22</f>
        <v>-5.4865961233041882E-2</v>
      </c>
      <c r="BK24" s="417">
        <f t="shared" si="45"/>
        <v>-0.10129405602210517</v>
      </c>
      <c r="BL24" s="417">
        <f t="shared" si="45"/>
        <v>-8.4640655944029919E-2</v>
      </c>
      <c r="BM24" s="417">
        <f t="shared" si="45"/>
        <v>-0.11680746435841682</v>
      </c>
      <c r="BN24" s="311">
        <f t="shared" si="45"/>
        <v>-9.0251169647546758E-2</v>
      </c>
      <c r="BO24" s="417">
        <f t="shared" si="45"/>
        <v>-3.211019642355728E-2</v>
      </c>
      <c r="BP24" s="417">
        <f t="shared" si="45"/>
        <v>3.0999288505555E-2</v>
      </c>
      <c r="BQ24" s="417">
        <f t="shared" si="45"/>
        <v>-1.1944289074974801E-2</v>
      </c>
      <c r="BR24" s="417">
        <f t="shared" si="45"/>
        <v>3.0362897535660682E-2</v>
      </c>
      <c r="BS24" s="311">
        <f t="shared" si="45"/>
        <v>4.6128739606041691E-3</v>
      </c>
      <c r="BT24" s="417">
        <f t="shared" ref="BT24:CC24" si="46">BT23-BT22</f>
        <v>0.1020487541495021</v>
      </c>
      <c r="BU24" s="417">
        <f t="shared" si="46"/>
        <v>6.9228090409358289E-2</v>
      </c>
      <c r="BV24" s="417">
        <f t="shared" si="46"/>
        <v>0.1883402674931296</v>
      </c>
      <c r="BW24" s="417">
        <f t="shared" si="46"/>
        <v>0.19386059061163019</v>
      </c>
      <c r="BX24" s="311">
        <f t="shared" si="46"/>
        <v>0.13827755291995647</v>
      </c>
      <c r="BY24" s="417">
        <f t="shared" si="46"/>
        <v>0.24716795545542158</v>
      </c>
      <c r="BZ24" s="417">
        <f t="shared" si="46"/>
        <v>0.20354461269465962</v>
      </c>
      <c r="CA24" s="417">
        <f t="shared" si="46"/>
        <v>0.20217233496035369</v>
      </c>
      <c r="CB24" s="417">
        <f t="shared" si="46"/>
        <v>0.23118040054990652</v>
      </c>
      <c r="CC24" s="311">
        <f t="shared" si="46"/>
        <v>0.22081463268460877</v>
      </c>
      <c r="CD24" s="417">
        <f t="shared" ref="CD24:CM24" si="47">CD23-CD22</f>
        <v>0.19251374395934451</v>
      </c>
      <c r="CE24" s="417">
        <f t="shared" si="47"/>
        <v>0.26701837194155464</v>
      </c>
      <c r="CF24" s="417">
        <f t="shared" si="47"/>
        <v>0.2575925550234397</v>
      </c>
      <c r="CG24" s="417">
        <f t="shared" si="47"/>
        <v>0.24755738399011706</v>
      </c>
      <c r="CH24" s="311">
        <f t="shared" si="47"/>
        <v>0.24171012378660262</v>
      </c>
      <c r="CI24" s="417">
        <f t="shared" si="47"/>
        <v>0.2362572146575439</v>
      </c>
      <c r="CJ24" s="417">
        <f t="shared" si="47"/>
        <v>0.22729600805772954</v>
      </c>
      <c r="CK24" s="417">
        <f t="shared" si="47"/>
        <v>0.22834594559604304</v>
      </c>
      <c r="CL24" s="417">
        <f t="shared" si="47"/>
        <v>0.18599143237949023</v>
      </c>
      <c r="CM24" s="311">
        <f t="shared" si="47"/>
        <v>0.21827335244139934</v>
      </c>
      <c r="CN24" s="417">
        <f t="shared" ref="CN24:CW24" si="48">CN23-CN22</f>
        <v>0.1873574206309605</v>
      </c>
      <c r="CO24" s="417">
        <f t="shared" si="48"/>
        <v>0.18204864316185554</v>
      </c>
      <c r="CP24" s="417">
        <f t="shared" si="48"/>
        <v>0.18424067426403723</v>
      </c>
      <c r="CQ24" s="417">
        <f t="shared" si="48"/>
        <v>0.18358536700575123</v>
      </c>
      <c r="CR24" s="311">
        <f t="shared" si="48"/>
        <v>0.1842578043413714</v>
      </c>
      <c r="CS24" s="417">
        <f t="shared" si="48"/>
        <v>0.17662998696590315</v>
      </c>
      <c r="CT24" s="417">
        <f t="shared" si="48"/>
        <v>0.16839580838089674</v>
      </c>
      <c r="CU24" s="417">
        <f t="shared" si="48"/>
        <v>0.15941624390929077</v>
      </c>
      <c r="CV24" s="417">
        <f t="shared" si="48"/>
        <v>0.15087745754951265</v>
      </c>
      <c r="CW24" s="311">
        <f t="shared" si="48"/>
        <v>0.16335826233020456</v>
      </c>
      <c r="CZ24" s="201"/>
      <c r="DA24" s="200"/>
      <c r="DB24" s="200"/>
    </row>
    <row r="25" spans="1:106" ht="5.25" customHeight="1">
      <c r="A25" s="114"/>
      <c r="B25" s="117"/>
      <c r="C25" s="117"/>
      <c r="D25" s="117"/>
      <c r="E25" s="117"/>
      <c r="F25" s="119"/>
      <c r="G25" s="117"/>
      <c r="H25" s="117"/>
      <c r="I25" s="117"/>
      <c r="J25" s="117"/>
      <c r="K25" s="119"/>
      <c r="L25" s="117"/>
      <c r="M25" s="117"/>
      <c r="N25" s="117"/>
      <c r="O25" s="117"/>
      <c r="P25" s="119"/>
      <c r="Q25" s="117"/>
      <c r="R25" s="117"/>
      <c r="S25" s="117"/>
      <c r="T25" s="117"/>
      <c r="U25" s="119"/>
      <c r="V25" s="117"/>
      <c r="W25" s="117"/>
      <c r="X25" s="117"/>
      <c r="Y25" s="117"/>
      <c r="Z25" s="119"/>
      <c r="AA25" s="117"/>
      <c r="AB25" s="117"/>
      <c r="AC25" s="117"/>
      <c r="AD25" s="117"/>
      <c r="AE25" s="119"/>
      <c r="AF25" s="117"/>
      <c r="AG25" s="117"/>
      <c r="AH25" s="117"/>
      <c r="AI25" s="117"/>
      <c r="AJ25" s="119"/>
      <c r="AK25" s="117"/>
      <c r="AL25" s="117"/>
      <c r="AM25" s="117"/>
      <c r="AN25" s="117"/>
      <c r="AO25" s="119"/>
      <c r="AP25" s="117"/>
      <c r="AQ25" s="117"/>
      <c r="AR25" s="117"/>
      <c r="AS25" s="117"/>
      <c r="AT25" s="119"/>
      <c r="AU25" s="117"/>
      <c r="AV25" s="117"/>
      <c r="AW25" s="117"/>
      <c r="AX25" s="117"/>
      <c r="AY25" s="119"/>
      <c r="AZ25" s="117"/>
      <c r="BA25" s="117"/>
      <c r="BB25" s="117"/>
      <c r="BC25" s="117"/>
      <c r="BD25" s="119"/>
      <c r="BE25" s="117"/>
      <c r="BF25" s="117"/>
      <c r="BG25" s="117"/>
      <c r="BH25" s="117"/>
      <c r="BI25" s="119"/>
      <c r="BJ25" s="117"/>
      <c r="BK25" s="117"/>
      <c r="BL25" s="117"/>
      <c r="BM25" s="117"/>
      <c r="BN25" s="119"/>
      <c r="BO25" s="117"/>
      <c r="BP25" s="117"/>
      <c r="BQ25" s="117"/>
      <c r="BR25" s="117"/>
      <c r="BS25" s="119"/>
      <c r="BT25" s="117"/>
      <c r="BU25" s="117"/>
      <c r="BV25" s="117"/>
      <c r="BW25" s="117"/>
      <c r="BX25" s="119"/>
      <c r="BY25" s="117"/>
      <c r="BZ25" s="117"/>
      <c r="CA25" s="117"/>
      <c r="CB25" s="117"/>
      <c r="CC25" s="119"/>
      <c r="CD25" s="117"/>
      <c r="CE25" s="117"/>
      <c r="CF25" s="117"/>
      <c r="CG25" s="117"/>
      <c r="CH25" s="119"/>
      <c r="CI25" s="117"/>
      <c r="CJ25" s="117"/>
      <c r="CK25" s="117"/>
      <c r="CL25" s="117"/>
      <c r="CM25" s="119"/>
      <c r="CN25" s="117"/>
      <c r="CO25" s="117"/>
      <c r="CP25" s="117"/>
      <c r="CQ25" s="117"/>
      <c r="CR25" s="119"/>
      <c r="CS25" s="117"/>
      <c r="CT25" s="117"/>
      <c r="CU25" s="117"/>
      <c r="CV25" s="117"/>
      <c r="CW25" s="119"/>
      <c r="CZ25" s="126"/>
      <c r="DA25" s="117"/>
      <c r="DB25" s="117"/>
    </row>
    <row r="26" spans="1:106">
      <c r="A26" s="793" t="s">
        <v>722</v>
      </c>
      <c r="B26" s="424"/>
      <c r="C26" s="424"/>
      <c r="D26" s="424"/>
      <c r="E26" s="424"/>
      <c r="F26" s="191"/>
      <c r="G26" s="424"/>
      <c r="H26" s="424"/>
      <c r="I26" s="424"/>
      <c r="J26" s="424"/>
      <c r="K26" s="191"/>
      <c r="L26" s="424"/>
      <c r="M26" s="424"/>
      <c r="N26" s="424"/>
      <c r="O26" s="424"/>
      <c r="P26" s="191"/>
      <c r="Q26" s="424"/>
      <c r="R26" s="424"/>
      <c r="S26" s="424"/>
      <c r="T26" s="424"/>
      <c r="U26" s="191"/>
      <c r="V26" s="424"/>
      <c r="W26" s="424"/>
      <c r="X26" s="424"/>
      <c r="Y26" s="424"/>
      <c r="Z26" s="191"/>
      <c r="AA26" s="424"/>
      <c r="AB26" s="424"/>
      <c r="AC26" s="424"/>
      <c r="AD26" s="424"/>
      <c r="AE26" s="191"/>
      <c r="AF26" s="424"/>
      <c r="AG26" s="424"/>
      <c r="AH26" s="424"/>
      <c r="AI26" s="424"/>
      <c r="AJ26" s="794"/>
      <c r="AK26" s="424"/>
      <c r="AL26" s="424"/>
      <c r="AM26" s="424"/>
      <c r="AN26" s="424"/>
      <c r="AO26" s="191"/>
      <c r="AP26" s="424"/>
      <c r="AQ26" s="424"/>
      <c r="AR26" s="424"/>
      <c r="AS26" s="424"/>
      <c r="AT26" s="191"/>
      <c r="AU26" s="424"/>
      <c r="AV26" s="424"/>
      <c r="AW26" s="424"/>
      <c r="AX26" s="424"/>
      <c r="AY26" s="191"/>
      <c r="AZ26" s="424"/>
      <c r="BA26" s="424"/>
      <c r="BB26" s="424"/>
      <c r="BC26" s="424"/>
      <c r="BD26" s="191"/>
      <c r="BE26" s="424"/>
      <c r="BF26" s="424"/>
      <c r="BG26" s="424"/>
      <c r="BH26" s="424"/>
      <c r="BI26" s="191"/>
      <c r="BJ26" s="424"/>
      <c r="BK26" s="424"/>
      <c r="BL26" s="424"/>
      <c r="BM26" s="424"/>
      <c r="BN26" s="191"/>
      <c r="BO26" s="424"/>
      <c r="BP26" s="424"/>
      <c r="BQ26" s="424"/>
      <c r="BR26" s="424"/>
      <c r="BS26" s="191"/>
      <c r="BT26" s="424"/>
      <c r="BU26" s="424"/>
      <c r="BV26" s="424"/>
      <c r="BW26" s="424"/>
      <c r="BX26" s="191"/>
      <c r="BY26" s="424"/>
      <c r="BZ26" s="424"/>
      <c r="CA26" s="424"/>
      <c r="CB26" s="424"/>
      <c r="CC26" s="191"/>
      <c r="CD26" s="424"/>
      <c r="CE26" s="424"/>
      <c r="CF26" s="424"/>
      <c r="CG26" s="424"/>
      <c r="CH26" s="191"/>
      <c r="CI26" s="424"/>
      <c r="CJ26" s="424"/>
      <c r="CK26" s="424"/>
      <c r="CL26" s="424"/>
      <c r="CM26" s="191"/>
      <c r="CN26" s="424"/>
      <c r="CO26" s="424"/>
      <c r="CP26" s="424"/>
      <c r="CQ26" s="424"/>
      <c r="CR26" s="191"/>
      <c r="CS26" s="424"/>
      <c r="CT26" s="424"/>
      <c r="CU26" s="424"/>
      <c r="CV26" s="424"/>
      <c r="CW26" s="191"/>
      <c r="CZ26" s="201"/>
      <c r="DA26" s="200"/>
      <c r="DB26" s="200"/>
    </row>
    <row r="27" spans="1:106">
      <c r="A27" s="795" t="s">
        <v>268</v>
      </c>
      <c r="B27" s="796"/>
      <c r="C27" s="797"/>
      <c r="D27" s="797"/>
      <c r="E27" s="797"/>
      <c r="F27" s="798"/>
      <c r="G27" s="797"/>
      <c r="H27" s="797"/>
      <c r="I27" s="797"/>
      <c r="J27" s="799">
        <v>145</v>
      </c>
      <c r="K27" s="798"/>
      <c r="L27" s="799">
        <v>100</v>
      </c>
      <c r="M27" s="799">
        <v>113</v>
      </c>
      <c r="N27" s="799">
        <v>120</v>
      </c>
      <c r="O27" s="799">
        <v>114</v>
      </c>
      <c r="P27" s="800">
        <f>(P29*1000)/P28</f>
        <v>112.70085470085471</v>
      </c>
      <c r="Q27" s="799">
        <v>205</v>
      </c>
      <c r="R27" s="799">
        <v>236</v>
      </c>
      <c r="S27" s="799">
        <v>184</v>
      </c>
      <c r="T27" s="799">
        <v>219</v>
      </c>
      <c r="U27" s="800">
        <f>(U29*1000)/U28</f>
        <v>210.82876712328766</v>
      </c>
      <c r="V27" s="799">
        <v>150</v>
      </c>
      <c r="W27" s="799">
        <v>119</v>
      </c>
      <c r="X27" s="799">
        <v>191</v>
      </c>
      <c r="Y27" s="799">
        <v>162</v>
      </c>
      <c r="Z27" s="800">
        <f>(Z29*1000)/Z28</f>
        <v>155.46788990825684</v>
      </c>
      <c r="AA27" s="799"/>
      <c r="AB27" s="799"/>
      <c r="AC27" s="801"/>
      <c r="AD27" s="801"/>
      <c r="AE27" s="802"/>
      <c r="AF27" s="801"/>
      <c r="AG27" s="801"/>
      <c r="AH27" s="801"/>
      <c r="AI27" s="801"/>
      <c r="AJ27" s="803"/>
      <c r="AK27" s="801"/>
      <c r="AL27" s="801"/>
      <c r="AM27" s="801"/>
      <c r="AN27" s="801"/>
      <c r="AO27" s="802"/>
      <c r="AP27" s="801"/>
      <c r="AQ27" s="801"/>
      <c r="AR27" s="801"/>
      <c r="AS27" s="801"/>
      <c r="AT27" s="802"/>
      <c r="AU27" s="801"/>
      <c r="AV27" s="801"/>
      <c r="AW27" s="801"/>
      <c r="AX27" s="801"/>
      <c r="AY27" s="802"/>
      <c r="AZ27" s="801"/>
      <c r="BA27" s="801"/>
      <c r="BB27" s="801"/>
      <c r="BC27" s="801"/>
      <c r="BD27" s="802"/>
      <c r="BE27" s="801"/>
      <c r="BF27" s="801"/>
      <c r="BG27" s="801"/>
      <c r="BH27" s="801"/>
      <c r="BI27" s="802"/>
      <c r="BJ27" s="801"/>
      <c r="BK27" s="801"/>
      <c r="BL27" s="801"/>
      <c r="BM27" s="801"/>
      <c r="BN27" s="802"/>
      <c r="BO27" s="801"/>
      <c r="BP27" s="801"/>
      <c r="BQ27" s="801"/>
      <c r="BR27" s="801"/>
      <c r="BS27" s="802"/>
      <c r="BT27" s="801"/>
      <c r="BU27" s="801"/>
      <c r="BV27" s="801"/>
      <c r="BW27" s="801"/>
      <c r="BX27" s="802"/>
      <c r="BY27" s="801"/>
      <c r="BZ27" s="801"/>
      <c r="CA27" s="801"/>
      <c r="CB27" s="801"/>
      <c r="CC27" s="802"/>
      <c r="CD27" s="801"/>
      <c r="CE27" s="801"/>
      <c r="CF27" s="801"/>
      <c r="CG27" s="801"/>
      <c r="CH27" s="802"/>
      <c r="CI27" s="801"/>
      <c r="CJ27" s="801"/>
      <c r="CK27" s="801"/>
      <c r="CL27" s="801"/>
      <c r="CM27" s="802"/>
      <c r="CN27" s="801"/>
      <c r="CO27" s="801"/>
      <c r="CP27" s="801"/>
      <c r="CQ27" s="801"/>
      <c r="CR27" s="802"/>
      <c r="CS27" s="801"/>
      <c r="CT27" s="801"/>
      <c r="CU27" s="801"/>
      <c r="CV27" s="801"/>
      <c r="CW27" s="802"/>
      <c r="CZ27" s="201"/>
      <c r="DA27" s="200"/>
      <c r="DB27" s="200"/>
    </row>
    <row r="28" spans="1:106">
      <c r="A28" s="206" t="s">
        <v>161</v>
      </c>
      <c r="B28" s="804"/>
      <c r="C28" s="804"/>
      <c r="D28" s="804"/>
      <c r="E28" s="804"/>
      <c r="F28" s="651"/>
      <c r="G28" s="805"/>
      <c r="H28" s="805"/>
      <c r="I28" s="805"/>
      <c r="J28" s="137">
        <v>17</v>
      </c>
      <c r="K28" s="806"/>
      <c r="L28" s="137">
        <v>21</v>
      </c>
      <c r="M28" s="137">
        <v>32</v>
      </c>
      <c r="N28" s="137">
        <v>29</v>
      </c>
      <c r="O28" s="137">
        <v>35</v>
      </c>
      <c r="P28" s="139">
        <f>SUM(L28:O28)</f>
        <v>117</v>
      </c>
      <c r="Q28" s="137">
        <v>29</v>
      </c>
      <c r="R28" s="137">
        <v>34</v>
      </c>
      <c r="S28" s="137">
        <v>39</v>
      </c>
      <c r="T28" s="137">
        <v>44</v>
      </c>
      <c r="U28" s="139">
        <f>SUM(Q28:T28)</f>
        <v>146</v>
      </c>
      <c r="V28" s="137">
        <v>39</v>
      </c>
      <c r="W28" s="137">
        <v>60</v>
      </c>
      <c r="X28" s="137">
        <v>56</v>
      </c>
      <c r="Y28" s="137">
        <v>63</v>
      </c>
      <c r="Z28" s="139">
        <f>SUM(V28:Y28)</f>
        <v>218</v>
      </c>
      <c r="AA28" s="137">
        <v>113</v>
      </c>
      <c r="AB28" s="137">
        <v>97</v>
      </c>
      <c r="AC28" s="137">
        <v>82</v>
      </c>
      <c r="AD28" s="137">
        <v>104</v>
      </c>
      <c r="AE28" s="139">
        <f>SUM(AA28:AD28)</f>
        <v>396</v>
      </c>
      <c r="AF28" s="137">
        <v>110</v>
      </c>
      <c r="AG28" s="137">
        <v>101</v>
      </c>
      <c r="AH28" s="137">
        <v>104</v>
      </c>
      <c r="AI28" s="137">
        <v>154</v>
      </c>
      <c r="AJ28" s="788">
        <f>SUM(AF28:AI28)</f>
        <v>469</v>
      </c>
      <c r="AK28" s="137">
        <v>123</v>
      </c>
      <c r="AL28" s="805"/>
      <c r="AM28" s="805"/>
      <c r="AN28" s="805"/>
      <c r="AO28" s="807"/>
      <c r="AP28" s="805"/>
      <c r="AQ28" s="805"/>
      <c r="AR28" s="805"/>
      <c r="AS28" s="805"/>
      <c r="AT28" s="807"/>
      <c r="AU28" s="805">
        <v>149</v>
      </c>
      <c r="AV28" s="805">
        <v>124</v>
      </c>
      <c r="AW28" s="805">
        <v>173</v>
      </c>
      <c r="AX28" s="805">
        <v>163</v>
      </c>
      <c r="AY28" s="807"/>
      <c r="AZ28" s="805"/>
      <c r="BA28" s="805"/>
      <c r="BB28" s="805"/>
      <c r="BC28" s="805"/>
      <c r="BD28" s="807"/>
      <c r="BE28" s="805"/>
      <c r="BF28" s="805"/>
      <c r="BG28" s="805"/>
      <c r="BH28" s="805"/>
      <c r="BI28" s="807"/>
      <c r="BJ28" s="805"/>
      <c r="BK28" s="805"/>
      <c r="BL28" s="805"/>
      <c r="BM28" s="805"/>
      <c r="BN28" s="807"/>
      <c r="BO28" s="805"/>
      <c r="BP28" s="805"/>
      <c r="BQ28" s="805"/>
      <c r="BR28" s="805"/>
      <c r="BS28" s="807"/>
      <c r="BT28" s="805"/>
      <c r="BU28" s="805"/>
      <c r="BV28" s="805"/>
      <c r="BW28" s="805"/>
      <c r="BX28" s="807"/>
      <c r="BY28" s="805"/>
      <c r="BZ28" s="805"/>
      <c r="CA28" s="805"/>
      <c r="CB28" s="805"/>
      <c r="CC28" s="807"/>
      <c r="CD28" s="805"/>
      <c r="CE28" s="805"/>
      <c r="CF28" s="805"/>
      <c r="CG28" s="805"/>
      <c r="CH28" s="807"/>
      <c r="CI28" s="805"/>
      <c r="CJ28" s="805"/>
      <c r="CK28" s="805"/>
      <c r="CL28" s="805"/>
      <c r="CM28" s="807"/>
      <c r="CN28" s="805"/>
      <c r="CO28" s="805"/>
      <c r="CP28" s="805"/>
      <c r="CQ28" s="805"/>
      <c r="CR28" s="807"/>
      <c r="CS28" s="805"/>
      <c r="CT28" s="805"/>
      <c r="CU28" s="805"/>
      <c r="CV28" s="805"/>
      <c r="CW28" s="807"/>
      <c r="CZ28" s="201"/>
      <c r="DA28" s="200"/>
      <c r="DB28" s="200"/>
    </row>
    <row r="29" spans="1:106">
      <c r="A29" s="206" t="s">
        <v>163</v>
      </c>
      <c r="B29" s="804"/>
      <c r="C29" s="804"/>
      <c r="D29" s="804"/>
      <c r="E29" s="804"/>
      <c r="F29" s="651"/>
      <c r="G29" s="808" t="s">
        <v>164</v>
      </c>
      <c r="H29" s="808"/>
      <c r="I29" s="808"/>
      <c r="J29" s="316">
        <f>J28*J27/1000</f>
        <v>2.4649999999999999</v>
      </c>
      <c r="K29" s="806"/>
      <c r="L29" s="316">
        <f>L28*L27/1000</f>
        <v>2.1</v>
      </c>
      <c r="M29" s="316">
        <f>M28*M27/1000</f>
        <v>3.6160000000000001</v>
      </c>
      <c r="N29" s="316">
        <f>N28*N27/1000</f>
        <v>3.48</v>
      </c>
      <c r="O29" s="316">
        <f>O28*O27/1000</f>
        <v>3.99</v>
      </c>
      <c r="P29" s="360">
        <f>SUM(L29:O29)</f>
        <v>13.186</v>
      </c>
      <c r="Q29" s="316">
        <f>Q28*Q27/1000</f>
        <v>5.9450000000000003</v>
      </c>
      <c r="R29" s="316">
        <f t="shared" ref="R29:Y29" si="49">R28*R27/1000</f>
        <v>8.0239999999999991</v>
      </c>
      <c r="S29" s="316">
        <f t="shared" si="49"/>
        <v>7.1760000000000002</v>
      </c>
      <c r="T29" s="316">
        <f t="shared" si="49"/>
        <v>9.6359999999999992</v>
      </c>
      <c r="U29" s="360">
        <f>SUM(Q29:T29)</f>
        <v>30.780999999999999</v>
      </c>
      <c r="V29" s="316">
        <f t="shared" si="49"/>
        <v>5.85</v>
      </c>
      <c r="W29" s="316">
        <f t="shared" si="49"/>
        <v>7.14</v>
      </c>
      <c r="X29" s="316">
        <f t="shared" si="49"/>
        <v>10.696</v>
      </c>
      <c r="Y29" s="316">
        <f t="shared" si="49"/>
        <v>10.206</v>
      </c>
      <c r="Z29" s="360">
        <f>SUM(V29:Y29)</f>
        <v>33.891999999999996</v>
      </c>
      <c r="AA29" s="316"/>
      <c r="AB29" s="805"/>
      <c r="AC29" s="805"/>
      <c r="AD29" s="805"/>
      <c r="AE29" s="807"/>
      <c r="AF29" s="805"/>
      <c r="AG29" s="805"/>
      <c r="AH29" s="805"/>
      <c r="AI29" s="805"/>
      <c r="AJ29" s="809"/>
      <c r="AK29" s="805"/>
      <c r="AL29" s="805"/>
      <c r="AM29" s="805"/>
      <c r="AN29" s="805"/>
      <c r="AO29" s="807"/>
      <c r="AP29" s="805"/>
      <c r="AQ29" s="805"/>
      <c r="AR29" s="805"/>
      <c r="AS29" s="805"/>
      <c r="AT29" s="807"/>
      <c r="AU29" s="805"/>
      <c r="AV29" s="805"/>
      <c r="AW29" s="805"/>
      <c r="AX29" s="805"/>
      <c r="AY29" s="807"/>
      <c r="AZ29" s="805"/>
      <c r="BA29" s="805"/>
      <c r="BB29" s="805"/>
      <c r="BC29" s="805"/>
      <c r="BD29" s="807"/>
      <c r="BE29" s="805"/>
      <c r="BF29" s="805"/>
      <c r="BG29" s="805"/>
      <c r="BH29" s="805"/>
      <c r="BI29" s="807"/>
      <c r="BJ29" s="805"/>
      <c r="BK29" s="805"/>
      <c r="BL29" s="805"/>
      <c r="BM29" s="805"/>
      <c r="BN29" s="807"/>
      <c r="BO29" s="805"/>
      <c r="BP29" s="805"/>
      <c r="BQ29" s="805"/>
      <c r="BR29" s="805"/>
      <c r="BS29" s="807"/>
      <c r="BT29" s="805"/>
      <c r="BU29" s="805"/>
      <c r="BV29" s="805"/>
      <c r="BW29" s="805"/>
      <c r="BX29" s="807"/>
      <c r="BY29" s="805"/>
      <c r="BZ29" s="805"/>
      <c r="CA29" s="805"/>
      <c r="CB29" s="805"/>
      <c r="CC29" s="807"/>
      <c r="CD29" s="805"/>
      <c r="CE29" s="805"/>
      <c r="CF29" s="805"/>
      <c r="CG29" s="805"/>
      <c r="CH29" s="807"/>
      <c r="CI29" s="805"/>
      <c r="CJ29" s="805"/>
      <c r="CK29" s="805"/>
      <c r="CL29" s="805"/>
      <c r="CM29" s="807"/>
      <c r="CN29" s="805"/>
      <c r="CO29" s="805"/>
      <c r="CP29" s="805"/>
      <c r="CQ29" s="805"/>
      <c r="CR29" s="807"/>
      <c r="CS29" s="805"/>
      <c r="CT29" s="805"/>
      <c r="CU29" s="805"/>
      <c r="CV29" s="805"/>
      <c r="CW29" s="807"/>
      <c r="CZ29" s="201"/>
      <c r="DA29" s="200"/>
      <c r="DB29" s="200"/>
    </row>
    <row r="30" spans="1:106">
      <c r="A30" s="113" t="s">
        <v>162</v>
      </c>
      <c r="B30" s="810"/>
      <c r="C30" s="810"/>
      <c r="D30" s="810"/>
      <c r="E30" s="810"/>
      <c r="F30" s="811"/>
      <c r="G30" s="812"/>
      <c r="H30" s="812"/>
      <c r="I30" s="812"/>
      <c r="J30" s="813"/>
      <c r="K30" s="814"/>
      <c r="L30" s="813">
        <f>L29/'Revenue Drivers'!M237</f>
        <v>0.13636363636363635</v>
      </c>
      <c r="M30" s="813">
        <f>M29/'Revenue Drivers'!N237</f>
        <v>0.21915151515151515</v>
      </c>
      <c r="N30" s="813">
        <f>N29/'Revenue Drivers'!O237</f>
        <v>0.19885714285714284</v>
      </c>
      <c r="O30" s="813">
        <f>O29/'Revenue Drivers'!P237</f>
        <v>0.20461538461538462</v>
      </c>
      <c r="P30" s="815">
        <f>P29/'Revenue Drivers'!Q237</f>
        <v>0.19137880986937589</v>
      </c>
      <c r="Q30" s="813">
        <f>Q29/'Revenue Drivers'!R237</f>
        <v>0.27910798122065728</v>
      </c>
      <c r="R30" s="813">
        <f>R29/'Revenue Drivers'!S237</f>
        <v>0.34437768240343342</v>
      </c>
      <c r="S30" s="813">
        <f>S29/'Revenue Drivers'!T237</f>
        <v>0.24161616161616162</v>
      </c>
      <c r="T30" s="813">
        <f>T29/'Revenue Drivers'!U237</f>
        <v>0.32887372013651872</v>
      </c>
      <c r="U30" s="815">
        <f>U29/'Revenue Drivers'!V237</f>
        <v>0.29711389961389961</v>
      </c>
      <c r="V30" s="813">
        <f>V29/'Revenue Drivers'!W237</f>
        <v>0.24173553719008264</v>
      </c>
      <c r="W30" s="813">
        <f>W29/'Revenue Drivers'!X237</f>
        <v>0.27045454545454545</v>
      </c>
      <c r="X30" s="813">
        <f>X29/'Revenue Drivers'!Y237</f>
        <v>0.35300330033003297</v>
      </c>
      <c r="Y30" s="813">
        <f>Y29/'Revenue Drivers'!Z237</f>
        <v>0.30648648648648652</v>
      </c>
      <c r="Z30" s="815">
        <f>Z29/'Revenue Drivers'!AA237</f>
        <v>0.29677758318739056</v>
      </c>
      <c r="AA30" s="813"/>
      <c r="AB30" s="812"/>
      <c r="AC30" s="812"/>
      <c r="AD30" s="812"/>
      <c r="AE30" s="814"/>
      <c r="AF30" s="812"/>
      <c r="AG30" s="812"/>
      <c r="AH30" s="812"/>
      <c r="AI30" s="812"/>
      <c r="AJ30" s="816"/>
      <c r="AK30" s="812"/>
      <c r="AL30" s="812"/>
      <c r="AM30" s="812"/>
      <c r="AN30" s="812"/>
      <c r="AO30" s="814"/>
      <c r="AP30" s="812"/>
      <c r="AQ30" s="812"/>
      <c r="AR30" s="812"/>
      <c r="AS30" s="812"/>
      <c r="AT30" s="814"/>
      <c r="AU30" s="812"/>
      <c r="AV30" s="812"/>
      <c r="AW30" s="812"/>
      <c r="AX30" s="812"/>
      <c r="AY30" s="814"/>
      <c r="AZ30" s="812"/>
      <c r="BA30" s="812"/>
      <c r="BB30" s="812"/>
      <c r="BC30" s="812"/>
      <c r="BD30" s="814"/>
      <c r="BE30" s="812"/>
      <c r="BF30" s="812"/>
      <c r="BG30" s="812"/>
      <c r="BH30" s="812"/>
      <c r="BI30" s="814"/>
      <c r="BJ30" s="812"/>
      <c r="BK30" s="812"/>
      <c r="BL30" s="812"/>
      <c r="BM30" s="812"/>
      <c r="BN30" s="814"/>
      <c r="BO30" s="812"/>
      <c r="BP30" s="812"/>
      <c r="BQ30" s="812"/>
      <c r="BR30" s="812"/>
      <c r="BS30" s="814"/>
      <c r="BT30" s="812"/>
      <c r="BU30" s="812"/>
      <c r="BV30" s="812"/>
      <c r="BW30" s="812"/>
      <c r="BX30" s="814"/>
      <c r="BY30" s="812">
        <f>BY52-BW52</f>
        <v>261</v>
      </c>
      <c r="BZ30" s="812"/>
      <c r="CA30" s="812"/>
      <c r="CB30" s="812"/>
      <c r="CC30" s="814"/>
      <c r="CD30" s="812"/>
      <c r="CE30" s="812"/>
      <c r="CF30" s="812"/>
      <c r="CG30" s="812"/>
      <c r="CH30" s="814"/>
      <c r="CI30" s="812"/>
      <c r="CJ30" s="812"/>
      <c r="CK30" s="812"/>
      <c r="CL30" s="812"/>
      <c r="CM30" s="814"/>
      <c r="CN30" s="812"/>
      <c r="CO30" s="812"/>
      <c r="CP30" s="812"/>
      <c r="CQ30" s="812"/>
      <c r="CR30" s="814"/>
      <c r="CS30" s="812"/>
      <c r="CT30" s="812"/>
      <c r="CU30" s="812"/>
      <c r="CV30" s="812"/>
      <c r="CW30" s="814"/>
      <c r="CZ30" s="201"/>
      <c r="DA30" s="200"/>
      <c r="DB30" s="200"/>
    </row>
    <row r="31" spans="1:106">
      <c r="A31" s="206"/>
      <c r="B31" s="192"/>
      <c r="C31" s="192"/>
      <c r="D31" s="192"/>
      <c r="E31" s="192"/>
      <c r="F31" s="191"/>
      <c r="G31" s="817"/>
      <c r="H31" s="817"/>
      <c r="I31" s="817"/>
      <c r="J31" s="817"/>
      <c r="K31" s="647"/>
      <c r="L31" s="817"/>
      <c r="M31" s="817"/>
      <c r="N31" s="817"/>
      <c r="O31" s="817"/>
      <c r="P31" s="647"/>
      <c r="Q31" s="817"/>
      <c r="R31" s="817"/>
      <c r="S31" s="817"/>
      <c r="T31" s="817"/>
      <c r="U31" s="647"/>
      <c r="V31" s="817"/>
      <c r="W31" s="817"/>
      <c r="X31" s="817"/>
      <c r="Y31" s="817"/>
      <c r="Z31" s="647"/>
      <c r="AA31" s="817"/>
      <c r="AB31" s="817"/>
      <c r="AC31" s="817"/>
      <c r="AD31" s="817"/>
      <c r="AE31" s="647"/>
      <c r="AF31" s="817"/>
      <c r="AG31" s="817"/>
      <c r="AH31" s="817"/>
      <c r="AI31" s="817"/>
      <c r="AJ31" s="786"/>
      <c r="AK31" s="817"/>
      <c r="AL31" s="817"/>
      <c r="AM31" s="817"/>
      <c r="AN31" s="817"/>
      <c r="AO31" s="647"/>
      <c r="AP31" s="817"/>
      <c r="AQ31" s="817"/>
      <c r="AR31" s="817"/>
      <c r="AS31" s="817"/>
      <c r="AT31" s="647"/>
      <c r="AU31" s="817"/>
      <c r="AV31" s="817"/>
      <c r="AW31" s="817"/>
      <c r="AX31" s="817"/>
      <c r="AY31" s="647"/>
      <c r="AZ31" s="817"/>
      <c r="BA31" s="817"/>
      <c r="BB31" s="817"/>
      <c r="BC31" s="817"/>
      <c r="BD31" s="647"/>
      <c r="BE31" s="817"/>
      <c r="BF31" s="817"/>
      <c r="BG31" s="817"/>
      <c r="BH31" s="817"/>
      <c r="BI31" s="647"/>
      <c r="BJ31" s="817"/>
      <c r="BK31" s="817"/>
      <c r="BL31" s="817"/>
      <c r="BM31" s="817"/>
      <c r="BN31" s="647"/>
      <c r="BO31" s="817"/>
      <c r="BP31" s="817"/>
      <c r="BQ31" s="817"/>
      <c r="BR31" s="817"/>
      <c r="BS31" s="647"/>
      <c r="BT31" s="817"/>
      <c r="BU31" s="817"/>
      <c r="BV31" s="817"/>
      <c r="BW31" s="817"/>
      <c r="BX31" s="647"/>
      <c r="BY31" s="817"/>
      <c r="BZ31" s="817"/>
      <c r="CA31" s="817"/>
      <c r="CB31" s="817"/>
      <c r="CC31" s="647"/>
      <c r="CD31" s="817"/>
      <c r="CE31" s="817"/>
      <c r="CF31" s="817"/>
      <c r="CG31" s="817"/>
      <c r="CH31" s="647"/>
      <c r="CI31" s="817"/>
      <c r="CJ31" s="817"/>
      <c r="CK31" s="817"/>
      <c r="CL31" s="817"/>
      <c r="CM31" s="647"/>
      <c r="CN31" s="817"/>
      <c r="CO31" s="817"/>
      <c r="CP31" s="817"/>
      <c r="CQ31" s="817"/>
      <c r="CR31" s="647"/>
      <c r="CS31" s="817"/>
      <c r="CT31" s="817"/>
      <c r="CU31" s="817"/>
      <c r="CV31" s="817"/>
      <c r="CW31" s="647"/>
      <c r="CZ31" s="201"/>
      <c r="DA31" s="200"/>
      <c r="DB31" s="200"/>
    </row>
    <row r="32" spans="1:106" hidden="1" outlineLevel="1">
      <c r="A32" s="392" t="s">
        <v>770</v>
      </c>
      <c r="B32" s="117"/>
      <c r="C32" s="117"/>
      <c r="D32" s="117"/>
      <c r="E32" s="117"/>
      <c r="F32" s="119"/>
      <c r="G32" s="117"/>
      <c r="H32" s="117"/>
      <c r="I32" s="117"/>
      <c r="J32" s="117"/>
      <c r="K32" s="119"/>
      <c r="L32" s="117"/>
      <c r="M32" s="117"/>
      <c r="N32" s="117"/>
      <c r="O32" s="117"/>
      <c r="P32" s="119"/>
      <c r="Q32" s="117"/>
      <c r="R32" s="117"/>
      <c r="S32" s="117"/>
      <c r="T32" s="117"/>
      <c r="U32" s="119"/>
      <c r="V32" s="117"/>
      <c r="W32" s="117"/>
      <c r="X32" s="117"/>
      <c r="Y32" s="117"/>
      <c r="Z32" s="119"/>
      <c r="AA32" s="117"/>
      <c r="AB32" s="117"/>
      <c r="AC32" s="117"/>
      <c r="AD32" s="117"/>
      <c r="AE32" s="119"/>
      <c r="AF32" s="117"/>
      <c r="AG32" s="117"/>
      <c r="AH32" s="117"/>
      <c r="AI32" s="117"/>
      <c r="AJ32" s="119"/>
      <c r="AK32" s="117"/>
      <c r="AL32" s="117"/>
      <c r="AM32" s="117"/>
      <c r="AN32" s="117"/>
      <c r="AO32" s="119"/>
      <c r="AP32" s="117"/>
      <c r="AQ32" s="117"/>
      <c r="AR32" s="117"/>
      <c r="AS32" s="117"/>
      <c r="AT32" s="119"/>
      <c r="AU32" s="117"/>
      <c r="AV32" s="117"/>
      <c r="AW32" s="117"/>
      <c r="AX32" s="117"/>
      <c r="AY32" s="119"/>
      <c r="AZ32" s="117"/>
      <c r="BA32" s="117"/>
      <c r="BB32" s="117"/>
      <c r="BC32" s="117"/>
      <c r="BD32" s="119"/>
      <c r="BE32" s="117"/>
      <c r="BF32" s="117"/>
      <c r="BG32" s="117"/>
      <c r="BH32" s="117"/>
      <c r="BI32" s="119"/>
      <c r="BJ32" s="117"/>
      <c r="BK32" s="117"/>
      <c r="BL32" s="117"/>
      <c r="BM32" s="117"/>
      <c r="BN32" s="119"/>
      <c r="BO32" s="117"/>
      <c r="BP32" s="117"/>
      <c r="BQ32" s="117"/>
      <c r="BR32" s="117"/>
      <c r="BS32" s="119"/>
      <c r="BT32" s="117"/>
      <c r="BU32" s="117"/>
      <c r="BV32" s="117"/>
      <c r="BW32" s="117"/>
      <c r="BX32" s="119"/>
      <c r="BY32" s="117"/>
      <c r="BZ32" s="117"/>
      <c r="CA32" s="117"/>
      <c r="CB32" s="117"/>
      <c r="CC32" s="119"/>
      <c r="CD32" s="117"/>
      <c r="CE32" s="117"/>
      <c r="CF32" s="117"/>
      <c r="CG32" s="117"/>
      <c r="CH32" s="119"/>
      <c r="CI32" s="117"/>
      <c r="CJ32" s="117"/>
      <c r="CK32" s="117"/>
      <c r="CL32" s="117"/>
      <c r="CM32" s="119"/>
      <c r="CN32" s="117"/>
      <c r="CO32" s="117"/>
      <c r="CP32" s="117"/>
      <c r="CQ32" s="117"/>
      <c r="CR32" s="119"/>
      <c r="CS32" s="117"/>
      <c r="CT32" s="117"/>
      <c r="CU32" s="117"/>
      <c r="CV32" s="117"/>
      <c r="CW32" s="119"/>
      <c r="CZ32" s="201"/>
      <c r="DA32" s="200"/>
      <c r="DB32" s="200"/>
    </row>
    <row r="33" spans="1:106" hidden="1" outlineLevel="1">
      <c r="A33" s="206" t="s">
        <v>723</v>
      </c>
      <c r="B33" s="192"/>
      <c r="C33" s="192"/>
      <c r="D33" s="192"/>
      <c r="E33" s="192"/>
      <c r="F33" s="647"/>
      <c r="G33" s="137">
        <f>G37*G35</f>
        <v>195.56408000000002</v>
      </c>
      <c r="H33" s="137">
        <f>H37*H35</f>
        <v>218.97771</v>
      </c>
      <c r="I33" s="137">
        <f>I37*I35</f>
        <v>205.11288000000002</v>
      </c>
      <c r="J33" s="137">
        <f>J37*J35</f>
        <v>215.09742</v>
      </c>
      <c r="K33" s="647">
        <f>SUM(G33:J33)</f>
        <v>834.75208999999995</v>
      </c>
      <c r="L33" s="137">
        <f>L37*L35</f>
        <v>219.70229999999998</v>
      </c>
      <c r="M33" s="137">
        <f>M37*M35</f>
        <v>233.70657999999997</v>
      </c>
      <c r="N33" s="137">
        <f>N37*N35</f>
        <v>245.72393999999997</v>
      </c>
      <c r="O33" s="137">
        <f>O37*O35</f>
        <v>261.7677799999999</v>
      </c>
      <c r="P33" s="647">
        <f>SUM(L33:O33)</f>
        <v>960.90059999999983</v>
      </c>
      <c r="Q33" s="137">
        <f>Q37*Q35</f>
        <v>300.52951000000002</v>
      </c>
      <c r="R33" s="137">
        <f>R37*R35</f>
        <v>295.26119999999997</v>
      </c>
      <c r="S33" s="137">
        <f>S37*S35</f>
        <v>294.71048999999999</v>
      </c>
      <c r="T33" s="137">
        <f>T37*T35</f>
        <v>322.12649999999996</v>
      </c>
      <c r="U33" s="647">
        <f>SUM(Q33:T33)</f>
        <v>1212.6277</v>
      </c>
      <c r="V33" s="137">
        <f>V37*V35</f>
        <v>359.39032000000003</v>
      </c>
      <c r="W33" s="137">
        <f>W37*W35</f>
        <v>367.06146000000001</v>
      </c>
      <c r="X33" s="137">
        <f>X37*X35</f>
        <v>355.53846999999996</v>
      </c>
      <c r="Y33" s="210">
        <f>Z33-SUM(V33:X33)</f>
        <v>392.75049999999987</v>
      </c>
      <c r="Z33" s="139">
        <f>Z37*Z35</f>
        <v>1474.7407499999999</v>
      </c>
      <c r="AA33" s="209"/>
      <c r="AB33" s="209"/>
      <c r="AC33" s="209"/>
      <c r="AD33" s="209"/>
      <c r="AE33" s="647"/>
      <c r="AF33" s="209"/>
      <c r="AG33" s="209"/>
      <c r="AH33" s="209"/>
      <c r="AI33" s="209"/>
      <c r="AJ33" s="786"/>
      <c r="AK33" s="209"/>
      <c r="AL33" s="209"/>
      <c r="AM33" s="209"/>
      <c r="AN33" s="209"/>
      <c r="AO33" s="647"/>
      <c r="AP33" s="209"/>
      <c r="AQ33" s="209"/>
      <c r="AR33" s="209"/>
      <c r="AS33" s="209"/>
      <c r="AT33" s="647"/>
      <c r="AU33" s="209"/>
      <c r="AV33" s="209"/>
      <c r="AW33" s="209"/>
      <c r="AX33" s="209"/>
      <c r="AY33" s="647"/>
      <c r="AZ33" s="209"/>
      <c r="BA33" s="209"/>
      <c r="BB33" s="209"/>
      <c r="BC33" s="209"/>
      <c r="BD33" s="647"/>
      <c r="BE33" s="209"/>
      <c r="BF33" s="209"/>
      <c r="BG33" s="209"/>
      <c r="BH33" s="209"/>
      <c r="BI33" s="647"/>
      <c r="BJ33" s="209"/>
      <c r="BK33" s="209"/>
      <c r="BL33" s="209"/>
      <c r="BM33" s="209"/>
      <c r="BN33" s="647"/>
      <c r="BO33" s="209"/>
      <c r="BP33" s="209"/>
      <c r="BQ33" s="209"/>
      <c r="BR33" s="209"/>
      <c r="BS33" s="647"/>
      <c r="BT33" s="209"/>
      <c r="BU33" s="209"/>
      <c r="BV33" s="209"/>
      <c r="BW33" s="209"/>
      <c r="BX33" s="647"/>
      <c r="BY33" s="209"/>
      <c r="BZ33" s="209"/>
      <c r="CA33" s="209"/>
      <c r="CB33" s="209"/>
      <c r="CC33" s="647"/>
      <c r="CD33" s="209"/>
      <c r="CE33" s="209"/>
      <c r="CF33" s="209"/>
      <c r="CG33" s="209"/>
      <c r="CH33" s="647"/>
      <c r="CI33" s="209"/>
      <c r="CJ33" s="209"/>
      <c r="CK33" s="209"/>
      <c r="CL33" s="209"/>
      <c r="CM33" s="647"/>
      <c r="CN33" s="209"/>
      <c r="CO33" s="209"/>
      <c r="CP33" s="209"/>
      <c r="CQ33" s="209"/>
      <c r="CR33" s="647"/>
      <c r="CS33" s="209"/>
      <c r="CT33" s="209"/>
      <c r="CU33" s="209"/>
      <c r="CV33" s="209"/>
      <c r="CW33" s="647"/>
      <c r="CZ33" s="201"/>
      <c r="DA33" s="200"/>
      <c r="DB33" s="200"/>
    </row>
    <row r="34" spans="1:106" hidden="1" outlineLevel="1">
      <c r="A34" s="206" t="s">
        <v>114</v>
      </c>
      <c r="B34" s="137"/>
      <c r="C34" s="137"/>
      <c r="D34" s="137"/>
      <c r="E34" s="137"/>
      <c r="F34" s="647"/>
      <c r="G34" s="818">
        <f>G38*G35</f>
        <v>72.331920000000011</v>
      </c>
      <c r="H34" s="818">
        <f>H38*H35</f>
        <v>98.381290000000007</v>
      </c>
      <c r="I34" s="818">
        <f>I38*I35</f>
        <v>79.766120000000015</v>
      </c>
      <c r="J34" s="818">
        <f>J38*J35</f>
        <v>79.556580000000011</v>
      </c>
      <c r="K34" s="814">
        <f>SUM(G34:J34)</f>
        <v>330.03591</v>
      </c>
      <c r="L34" s="818">
        <f>L38*L35</f>
        <v>77.192700000000002</v>
      </c>
      <c r="M34" s="818">
        <f>M38*M35</f>
        <v>86.439419999999998</v>
      </c>
      <c r="N34" s="818">
        <f>N38*N35</f>
        <v>73.398059999999987</v>
      </c>
      <c r="O34" s="818">
        <f>O38*O35</f>
        <v>96.818219999999982</v>
      </c>
      <c r="P34" s="814">
        <f>SUM(L34:O34)</f>
        <v>333.84839999999997</v>
      </c>
      <c r="Q34" s="818">
        <f>Q38*Q35</f>
        <v>122.75148999999999</v>
      </c>
      <c r="R34" s="818">
        <f>R38*R35</f>
        <v>114.82380000000001</v>
      </c>
      <c r="S34" s="818">
        <f>S38*S35</f>
        <v>109.00251</v>
      </c>
      <c r="T34" s="818">
        <f>T38*T35</f>
        <v>107.37549999999999</v>
      </c>
      <c r="U34" s="814">
        <f>SUM(Q34:T34)</f>
        <v>453.95330000000001</v>
      </c>
      <c r="V34" s="818">
        <f>V38*V35</f>
        <v>113.49168</v>
      </c>
      <c r="W34" s="818">
        <f>W38*W35</f>
        <v>128.96754000000001</v>
      </c>
      <c r="X34" s="818">
        <f>X38*X35</f>
        <v>131.50053</v>
      </c>
      <c r="Y34" s="819">
        <f>Z34-SUM(V34:X34)</f>
        <v>117.62049999999999</v>
      </c>
      <c r="Z34" s="820">
        <f>Z38*Z35</f>
        <v>491.58024999999998</v>
      </c>
      <c r="AA34" s="137"/>
      <c r="AB34" s="137"/>
      <c r="AC34" s="137"/>
      <c r="AD34" s="137"/>
      <c r="AE34" s="647"/>
      <c r="AF34" s="137"/>
      <c r="AG34" s="137"/>
      <c r="AH34" s="137"/>
      <c r="AI34" s="137"/>
      <c r="AJ34" s="786"/>
      <c r="AK34" s="137"/>
      <c r="AL34" s="137"/>
      <c r="AM34" s="137"/>
      <c r="AN34" s="137"/>
      <c r="AO34" s="647"/>
      <c r="AP34" s="137"/>
      <c r="AQ34" s="137"/>
      <c r="AR34" s="137"/>
      <c r="AS34" s="137"/>
      <c r="AT34" s="647"/>
      <c r="AU34" s="137"/>
      <c r="AV34" s="137"/>
      <c r="AW34" s="137"/>
      <c r="AX34" s="137"/>
      <c r="AY34" s="647"/>
      <c r="AZ34" s="137"/>
      <c r="BA34" s="137"/>
      <c r="BB34" s="137"/>
      <c r="BC34" s="137"/>
      <c r="BD34" s="647"/>
      <c r="BE34" s="137"/>
      <c r="BF34" s="137"/>
      <c r="BG34" s="137"/>
      <c r="BH34" s="137"/>
      <c r="BI34" s="647"/>
      <c r="BJ34" s="137"/>
      <c r="BK34" s="137"/>
      <c r="BL34" s="137"/>
      <c r="BM34" s="137"/>
      <c r="BN34" s="647"/>
      <c r="BO34" s="137"/>
      <c r="BP34" s="137"/>
      <c r="BQ34" s="137"/>
      <c r="BR34" s="137"/>
      <c r="BS34" s="647"/>
      <c r="BT34" s="137"/>
      <c r="BU34" s="137"/>
      <c r="BV34" s="137"/>
      <c r="BW34" s="137"/>
      <c r="BX34" s="647"/>
      <c r="BY34" s="137"/>
      <c r="BZ34" s="137"/>
      <c r="CA34" s="137"/>
      <c r="CB34" s="137"/>
      <c r="CC34" s="647"/>
      <c r="CD34" s="137"/>
      <c r="CE34" s="137"/>
      <c r="CF34" s="137"/>
      <c r="CG34" s="137"/>
      <c r="CH34" s="647"/>
      <c r="CI34" s="137"/>
      <c r="CJ34" s="137"/>
      <c r="CK34" s="137"/>
      <c r="CL34" s="137"/>
      <c r="CM34" s="647"/>
      <c r="CN34" s="137"/>
      <c r="CO34" s="137"/>
      <c r="CP34" s="137"/>
      <c r="CQ34" s="137"/>
      <c r="CR34" s="647"/>
      <c r="CS34" s="137"/>
      <c r="CT34" s="137"/>
      <c r="CU34" s="137"/>
      <c r="CV34" s="137"/>
      <c r="CW34" s="647"/>
      <c r="CZ34" s="201"/>
      <c r="DA34" s="200"/>
      <c r="DB34" s="200"/>
    </row>
    <row r="35" spans="1:106" hidden="1" outlineLevel="1">
      <c r="A35" s="206" t="s">
        <v>466</v>
      </c>
      <c r="B35" s="192"/>
      <c r="C35" s="192"/>
      <c r="D35" s="192"/>
      <c r="E35" s="192"/>
      <c r="F35" s="647"/>
      <c r="G35" s="137">
        <f>Model!H24</f>
        <v>267.89600000000002</v>
      </c>
      <c r="H35" s="137">
        <f>Model!I24</f>
        <v>317.35900000000004</v>
      </c>
      <c r="I35" s="137">
        <f>Model!J24</f>
        <v>284.87900000000002</v>
      </c>
      <c r="J35" s="137">
        <f>Model!K24</f>
        <v>294.654</v>
      </c>
      <c r="K35" s="139">
        <f>Model!L24</f>
        <v>1164.788</v>
      </c>
      <c r="L35" s="137">
        <f>Model!M24</f>
        <v>296.89499999999998</v>
      </c>
      <c r="M35" s="137">
        <f>Model!N24</f>
        <v>320.14599999999996</v>
      </c>
      <c r="N35" s="137">
        <f>Model!O24</f>
        <v>319.12199999999996</v>
      </c>
      <c r="O35" s="137">
        <f>Model!P24</f>
        <v>358.5859999999999</v>
      </c>
      <c r="P35" s="139">
        <f>Model!Q24</f>
        <v>1294.7489999999998</v>
      </c>
      <c r="Q35" s="137">
        <f>Model!R24</f>
        <v>423.28100000000001</v>
      </c>
      <c r="R35" s="137">
        <f>Model!S24</f>
        <v>410.08499999999998</v>
      </c>
      <c r="S35" s="137">
        <f>Model!T24</f>
        <v>403.71299999999997</v>
      </c>
      <c r="T35" s="137">
        <f>Model!U24</f>
        <v>429.50199999999995</v>
      </c>
      <c r="U35" s="139">
        <f>Model!V24</f>
        <v>1666.5810000000001</v>
      </c>
      <c r="V35" s="137">
        <f>Model!W24</f>
        <v>472.88200000000001</v>
      </c>
      <c r="W35" s="137">
        <f>Model!X24</f>
        <v>496.029</v>
      </c>
      <c r="X35" s="137">
        <f>Model!Y24</f>
        <v>487.03899999999999</v>
      </c>
      <c r="Y35" s="137">
        <f>Model!Z24</f>
        <v>510.37100000000009</v>
      </c>
      <c r="Z35" s="139">
        <f>Model!AA24</f>
        <v>1966.3209999999999</v>
      </c>
      <c r="AA35" s="209"/>
      <c r="AB35" s="209"/>
      <c r="AC35" s="209"/>
      <c r="AD35" s="209"/>
      <c r="AE35" s="647"/>
      <c r="AF35" s="209"/>
      <c r="AG35" s="209"/>
      <c r="AH35" s="209"/>
      <c r="AI35" s="209"/>
      <c r="AJ35" s="786"/>
      <c r="AK35" s="209"/>
      <c r="AL35" s="209"/>
      <c r="AM35" s="209"/>
      <c r="AN35" s="209"/>
      <c r="AO35" s="647"/>
      <c r="AP35" s="209"/>
      <c r="AQ35" s="209"/>
      <c r="AR35" s="209"/>
      <c r="AS35" s="209"/>
      <c r="AT35" s="647"/>
      <c r="AU35" s="209"/>
      <c r="AV35" s="209"/>
      <c r="AW35" s="209"/>
      <c r="AX35" s="209"/>
      <c r="AY35" s="647"/>
      <c r="AZ35" s="209"/>
      <c r="BA35" s="209"/>
      <c r="BB35" s="209"/>
      <c r="BC35" s="209"/>
      <c r="BD35" s="647"/>
      <c r="BE35" s="209"/>
      <c r="BF35" s="209"/>
      <c r="BG35" s="209"/>
      <c r="BH35" s="209"/>
      <c r="BI35" s="647"/>
      <c r="BJ35" s="209"/>
      <c r="BK35" s="209"/>
      <c r="BL35" s="209"/>
      <c r="BM35" s="209"/>
      <c r="BN35" s="647"/>
      <c r="BO35" s="209"/>
      <c r="BP35" s="209"/>
      <c r="BQ35" s="209"/>
      <c r="BR35" s="209"/>
      <c r="BS35" s="647"/>
      <c r="BT35" s="209"/>
      <c r="BU35" s="209"/>
      <c r="BV35" s="209"/>
      <c r="BW35" s="209"/>
      <c r="BX35" s="647"/>
      <c r="BY35" s="209"/>
      <c r="BZ35" s="209"/>
      <c r="CA35" s="209"/>
      <c r="CB35" s="209"/>
      <c r="CC35" s="647"/>
      <c r="CD35" s="209"/>
      <c r="CE35" s="209"/>
      <c r="CF35" s="209"/>
      <c r="CG35" s="209"/>
      <c r="CH35" s="647"/>
      <c r="CI35" s="209"/>
      <c r="CJ35" s="209"/>
      <c r="CK35" s="209"/>
      <c r="CL35" s="209"/>
      <c r="CM35" s="647"/>
      <c r="CN35" s="209"/>
      <c r="CO35" s="209"/>
      <c r="CP35" s="209"/>
      <c r="CQ35" s="209"/>
      <c r="CR35" s="647"/>
      <c r="CS35" s="209"/>
      <c r="CT35" s="209"/>
      <c r="CU35" s="209"/>
      <c r="CV35" s="209"/>
      <c r="CW35" s="647"/>
      <c r="CZ35" s="201"/>
      <c r="DA35" s="200"/>
      <c r="DB35" s="200"/>
    </row>
    <row r="36" spans="1:106" hidden="1" outlineLevel="1">
      <c r="A36" s="206"/>
      <c r="B36" s="192"/>
      <c r="C36" s="192"/>
      <c r="D36" s="192"/>
      <c r="E36" s="192"/>
      <c r="F36" s="647"/>
      <c r="G36" s="821"/>
      <c r="H36" s="821"/>
      <c r="I36" s="821"/>
      <c r="J36" s="821"/>
      <c r="K36" s="647"/>
      <c r="L36" s="821"/>
      <c r="M36" s="821"/>
      <c r="N36" s="821"/>
      <c r="O36" s="821"/>
      <c r="P36" s="647"/>
      <c r="Q36" s="821"/>
      <c r="R36" s="821"/>
      <c r="S36" s="821"/>
      <c r="T36" s="821"/>
      <c r="U36" s="647"/>
      <c r="V36" s="209"/>
      <c r="W36" s="209"/>
      <c r="X36" s="209"/>
      <c r="Y36" s="209"/>
      <c r="Z36" s="647"/>
      <c r="AA36" s="209"/>
      <c r="AB36" s="209"/>
      <c r="AC36" s="209"/>
      <c r="AD36" s="209"/>
      <c r="AE36" s="647"/>
      <c r="AF36" s="209"/>
      <c r="AG36" s="209"/>
      <c r="AH36" s="209"/>
      <c r="AI36" s="209"/>
      <c r="AJ36" s="786"/>
      <c r="AK36" s="209"/>
      <c r="AL36" s="209"/>
      <c r="AM36" s="209"/>
      <c r="AN36" s="209"/>
      <c r="AO36" s="647"/>
      <c r="AP36" s="209"/>
      <c r="AQ36" s="209"/>
      <c r="AR36" s="209"/>
      <c r="AS36" s="209"/>
      <c r="AT36" s="647"/>
      <c r="AU36" s="209"/>
      <c r="AV36" s="209"/>
      <c r="AW36" s="209"/>
      <c r="AX36" s="209"/>
      <c r="AY36" s="647"/>
      <c r="AZ36" s="209"/>
      <c r="BA36" s="209"/>
      <c r="BB36" s="209"/>
      <c r="BC36" s="209"/>
      <c r="BD36" s="647"/>
      <c r="BE36" s="209"/>
      <c r="BF36" s="209"/>
      <c r="BG36" s="209"/>
      <c r="BH36" s="209"/>
      <c r="BI36" s="647"/>
      <c r="BJ36" s="209"/>
      <c r="BK36" s="209"/>
      <c r="BL36" s="209"/>
      <c r="BM36" s="209"/>
      <c r="BN36" s="647"/>
      <c r="BO36" s="209"/>
      <c r="BP36" s="209"/>
      <c r="BQ36" s="209"/>
      <c r="BR36" s="209"/>
      <c r="BS36" s="647"/>
      <c r="BT36" s="209"/>
      <c r="BU36" s="209"/>
      <c r="BV36" s="209"/>
      <c r="BW36" s="209"/>
      <c r="BX36" s="647"/>
      <c r="BY36" s="209"/>
      <c r="BZ36" s="209"/>
      <c r="CA36" s="209"/>
      <c r="CB36" s="209"/>
      <c r="CC36" s="647"/>
      <c r="CD36" s="209"/>
      <c r="CE36" s="209"/>
      <c r="CF36" s="209"/>
      <c r="CG36" s="209"/>
      <c r="CH36" s="647"/>
      <c r="CI36" s="209"/>
      <c r="CJ36" s="209"/>
      <c r="CK36" s="209"/>
      <c r="CL36" s="209"/>
      <c r="CM36" s="647"/>
      <c r="CN36" s="209"/>
      <c r="CO36" s="209"/>
      <c r="CP36" s="209"/>
      <c r="CQ36" s="209"/>
      <c r="CR36" s="647"/>
      <c r="CS36" s="209"/>
      <c r="CT36" s="209"/>
      <c r="CU36" s="209"/>
      <c r="CV36" s="209"/>
      <c r="CW36" s="647"/>
      <c r="CZ36" s="201"/>
      <c r="DA36" s="200"/>
      <c r="DB36" s="200"/>
    </row>
    <row r="37" spans="1:106" hidden="1" outlineLevel="1">
      <c r="A37" s="206" t="s">
        <v>723</v>
      </c>
      <c r="B37" s="822"/>
      <c r="C37" s="822"/>
      <c r="D37" s="822"/>
      <c r="E37" s="822"/>
      <c r="F37" s="823"/>
      <c r="G37" s="822">
        <v>0.73</v>
      </c>
      <c r="H37" s="822">
        <v>0.69</v>
      </c>
      <c r="I37" s="822">
        <v>0.72</v>
      </c>
      <c r="J37" s="822">
        <v>0.73</v>
      </c>
      <c r="K37" s="311">
        <f>K33/K$35</f>
        <v>0.71665581204476692</v>
      </c>
      <c r="L37" s="822">
        <v>0.74</v>
      </c>
      <c r="M37" s="822">
        <v>0.73</v>
      </c>
      <c r="N37" s="822">
        <v>0.77</v>
      </c>
      <c r="O37" s="822">
        <v>0.73</v>
      </c>
      <c r="P37" s="311">
        <f>P33/P$35</f>
        <v>0.74215203101141614</v>
      </c>
      <c r="Q37" s="822">
        <v>0.71</v>
      </c>
      <c r="R37" s="822">
        <v>0.72</v>
      </c>
      <c r="S37" s="822">
        <v>0.73</v>
      </c>
      <c r="T37" s="822">
        <v>0.75</v>
      </c>
      <c r="U37" s="311">
        <f>U33/U$35</f>
        <v>0.72761401936059511</v>
      </c>
      <c r="V37" s="822">
        <v>0.76</v>
      </c>
      <c r="W37" s="822">
        <v>0.74</v>
      </c>
      <c r="X37" s="822">
        <v>0.73</v>
      </c>
      <c r="Y37" s="189">
        <f>Y33/Y$35</f>
        <v>0.7695392175495861</v>
      </c>
      <c r="Z37" s="823">
        <v>0.75</v>
      </c>
      <c r="AA37" s="209"/>
      <c r="AB37" s="209"/>
      <c r="AC37" s="209"/>
      <c r="AD37" s="209"/>
      <c r="AE37" s="647"/>
      <c r="AF37" s="209"/>
      <c r="AG37" s="209"/>
      <c r="AH37" s="209"/>
      <c r="AI37" s="209"/>
      <c r="AJ37" s="786"/>
      <c r="AK37" s="209"/>
      <c r="AL37" s="209"/>
      <c r="AM37" s="209"/>
      <c r="AN37" s="209"/>
      <c r="AO37" s="647"/>
      <c r="AP37" s="209"/>
      <c r="AQ37" s="209"/>
      <c r="AR37" s="209"/>
      <c r="AS37" s="209"/>
      <c r="AT37" s="647"/>
      <c r="AU37" s="209"/>
      <c r="AV37" s="209"/>
      <c r="AW37" s="209"/>
      <c r="AX37" s="209"/>
      <c r="AY37" s="647"/>
      <c r="AZ37" s="209"/>
      <c r="BA37" s="209"/>
      <c r="BB37" s="209"/>
      <c r="BC37" s="209"/>
      <c r="BD37" s="647"/>
      <c r="BE37" s="209"/>
      <c r="BF37" s="209"/>
      <c r="BG37" s="209"/>
      <c r="BH37" s="209"/>
      <c r="BI37" s="647"/>
      <c r="BJ37" s="209"/>
      <c r="BK37" s="209"/>
      <c r="BL37" s="209"/>
      <c r="BM37" s="209"/>
      <c r="BN37" s="647"/>
      <c r="BO37" s="209"/>
      <c r="BP37" s="209"/>
      <c r="BQ37" s="209"/>
      <c r="BR37" s="209"/>
      <c r="BS37" s="647"/>
      <c r="BT37" s="209"/>
      <c r="BU37" s="209"/>
      <c r="BV37" s="209"/>
      <c r="BW37" s="209"/>
      <c r="BX37" s="647"/>
      <c r="BY37" s="209"/>
      <c r="BZ37" s="209"/>
      <c r="CA37" s="209"/>
      <c r="CB37" s="209"/>
      <c r="CC37" s="647"/>
      <c r="CD37" s="209"/>
      <c r="CE37" s="209"/>
      <c r="CF37" s="209"/>
      <c r="CG37" s="209"/>
      <c r="CH37" s="647"/>
      <c r="CI37" s="209"/>
      <c r="CJ37" s="209"/>
      <c r="CK37" s="209"/>
      <c r="CL37" s="209"/>
      <c r="CM37" s="647"/>
      <c r="CN37" s="209"/>
      <c r="CO37" s="209"/>
      <c r="CP37" s="209"/>
      <c r="CQ37" s="209"/>
      <c r="CR37" s="647"/>
      <c r="CS37" s="209"/>
      <c r="CT37" s="209"/>
      <c r="CU37" s="209"/>
      <c r="CV37" s="209"/>
      <c r="CW37" s="647"/>
      <c r="CZ37" s="201"/>
      <c r="DA37" s="200"/>
      <c r="DB37" s="200"/>
    </row>
    <row r="38" spans="1:106" hidden="1" outlineLevel="1">
      <c r="A38" s="206" t="s">
        <v>114</v>
      </c>
      <c r="B38" s="192"/>
      <c r="C38" s="192"/>
      <c r="D38" s="192"/>
      <c r="E38" s="192"/>
      <c r="F38" s="647"/>
      <c r="G38" s="824">
        <v>0.27</v>
      </c>
      <c r="H38" s="824">
        <v>0.31</v>
      </c>
      <c r="I38" s="824">
        <v>0.28000000000000003</v>
      </c>
      <c r="J38" s="824">
        <v>0.27</v>
      </c>
      <c r="K38" s="825">
        <f>K34/K$35</f>
        <v>0.28334418795523303</v>
      </c>
      <c r="L38" s="824">
        <v>0.26</v>
      </c>
      <c r="M38" s="824">
        <v>0.27</v>
      </c>
      <c r="N38" s="824">
        <v>0.23</v>
      </c>
      <c r="O38" s="824">
        <v>0.27</v>
      </c>
      <c r="P38" s="825">
        <f>P34/P$35</f>
        <v>0.25784796898858392</v>
      </c>
      <c r="Q38" s="824">
        <v>0.28999999999999998</v>
      </c>
      <c r="R38" s="824">
        <v>0.28000000000000003</v>
      </c>
      <c r="S38" s="824">
        <v>0.27</v>
      </c>
      <c r="T38" s="824">
        <v>0.25</v>
      </c>
      <c r="U38" s="825">
        <f>U34/U$35</f>
        <v>0.27238598063940483</v>
      </c>
      <c r="V38" s="824">
        <v>0.24</v>
      </c>
      <c r="W38" s="824">
        <v>0.26</v>
      </c>
      <c r="X38" s="824">
        <v>0.27</v>
      </c>
      <c r="Y38" s="826">
        <f>Y34/Y$35</f>
        <v>0.23046078245041346</v>
      </c>
      <c r="Z38" s="827">
        <v>0.25</v>
      </c>
      <c r="AA38" s="209"/>
      <c r="AB38" s="209"/>
      <c r="AC38" s="209"/>
      <c r="AD38" s="209"/>
      <c r="AE38" s="647"/>
      <c r="AF38" s="209"/>
      <c r="AG38" s="209"/>
      <c r="AH38" s="209"/>
      <c r="AI38" s="209"/>
      <c r="AJ38" s="786"/>
      <c r="AK38" s="209"/>
      <c r="AL38" s="209"/>
      <c r="AM38" s="209"/>
      <c r="AN38" s="209"/>
      <c r="AO38" s="647"/>
      <c r="AP38" s="209"/>
      <c r="AQ38" s="209"/>
      <c r="AR38" s="209"/>
      <c r="AS38" s="209"/>
      <c r="AT38" s="647"/>
      <c r="AU38" s="209"/>
      <c r="AV38" s="209"/>
      <c r="AW38" s="209"/>
      <c r="AX38" s="209"/>
      <c r="AY38" s="647"/>
      <c r="AZ38" s="209"/>
      <c r="BA38" s="209"/>
      <c r="BB38" s="209"/>
      <c r="BC38" s="209"/>
      <c r="BD38" s="647"/>
      <c r="BE38" s="209"/>
      <c r="BF38" s="209"/>
      <c r="BG38" s="209"/>
      <c r="BH38" s="209"/>
      <c r="BI38" s="647"/>
      <c r="BJ38" s="209"/>
      <c r="BK38" s="209"/>
      <c r="BL38" s="209"/>
      <c r="BM38" s="209"/>
      <c r="BN38" s="647"/>
      <c r="BO38" s="209"/>
      <c r="BP38" s="209"/>
      <c r="BQ38" s="209"/>
      <c r="BR38" s="209"/>
      <c r="BS38" s="647"/>
      <c r="BT38" s="209"/>
      <c r="BU38" s="209"/>
      <c r="BV38" s="209"/>
      <c r="BW38" s="209"/>
      <c r="BX38" s="647"/>
      <c r="BY38" s="209"/>
      <c r="BZ38" s="209"/>
      <c r="CA38" s="209"/>
      <c r="CB38" s="209"/>
      <c r="CC38" s="647"/>
      <c r="CD38" s="209"/>
      <c r="CE38" s="209"/>
      <c r="CF38" s="209"/>
      <c r="CG38" s="209"/>
      <c r="CH38" s="647"/>
      <c r="CI38" s="209"/>
      <c r="CJ38" s="209"/>
      <c r="CK38" s="209"/>
      <c r="CL38" s="209"/>
      <c r="CM38" s="647"/>
      <c r="CN38" s="209"/>
      <c r="CO38" s="209"/>
      <c r="CP38" s="209"/>
      <c r="CQ38" s="209"/>
      <c r="CR38" s="647"/>
      <c r="CS38" s="209"/>
      <c r="CT38" s="209"/>
      <c r="CU38" s="209"/>
      <c r="CV38" s="209"/>
      <c r="CW38" s="647"/>
      <c r="CZ38" s="201"/>
      <c r="DA38" s="200"/>
      <c r="DB38" s="200"/>
    </row>
    <row r="39" spans="1:106" hidden="1" outlineLevel="1">
      <c r="A39" s="206" t="s">
        <v>466</v>
      </c>
      <c r="B39" s="192"/>
      <c r="C39" s="192"/>
      <c r="D39" s="192"/>
      <c r="E39" s="192"/>
      <c r="F39" s="647"/>
      <c r="G39" s="822">
        <f t="shared" ref="G39:Z39" si="50">SUM(G37:G38)</f>
        <v>1</v>
      </c>
      <c r="H39" s="822">
        <f t="shared" si="50"/>
        <v>1</v>
      </c>
      <c r="I39" s="822">
        <f t="shared" si="50"/>
        <v>1</v>
      </c>
      <c r="J39" s="822">
        <f t="shared" si="50"/>
        <v>1</v>
      </c>
      <c r="K39" s="311">
        <f t="shared" si="50"/>
        <v>1</v>
      </c>
      <c r="L39" s="822">
        <f t="shared" si="50"/>
        <v>1</v>
      </c>
      <c r="M39" s="822">
        <f t="shared" si="50"/>
        <v>1</v>
      </c>
      <c r="N39" s="822">
        <f t="shared" si="50"/>
        <v>1</v>
      </c>
      <c r="O39" s="822">
        <f t="shared" si="50"/>
        <v>1</v>
      </c>
      <c r="P39" s="311">
        <f t="shared" si="50"/>
        <v>1</v>
      </c>
      <c r="Q39" s="822">
        <f t="shared" si="50"/>
        <v>1</v>
      </c>
      <c r="R39" s="822">
        <f t="shared" si="50"/>
        <v>1</v>
      </c>
      <c r="S39" s="822">
        <f t="shared" si="50"/>
        <v>1</v>
      </c>
      <c r="T39" s="822">
        <f t="shared" si="50"/>
        <v>1</v>
      </c>
      <c r="U39" s="311">
        <f t="shared" si="50"/>
        <v>1</v>
      </c>
      <c r="V39" s="822">
        <f t="shared" si="50"/>
        <v>1</v>
      </c>
      <c r="W39" s="822">
        <f t="shared" si="50"/>
        <v>1</v>
      </c>
      <c r="X39" s="822">
        <f t="shared" si="50"/>
        <v>1</v>
      </c>
      <c r="Y39" s="189">
        <f t="shared" si="50"/>
        <v>0.99999999999999956</v>
      </c>
      <c r="Z39" s="823">
        <f t="shared" si="50"/>
        <v>1</v>
      </c>
      <c r="AA39" s="209"/>
      <c r="AB39" s="209"/>
      <c r="AC39" s="209"/>
      <c r="AD39" s="209"/>
      <c r="AE39" s="647"/>
      <c r="AF39" s="209"/>
      <c r="AG39" s="209"/>
      <c r="AH39" s="209"/>
      <c r="AI39" s="209"/>
      <c r="AJ39" s="786"/>
      <c r="AK39" s="209"/>
      <c r="AL39" s="209"/>
      <c r="AM39" s="209"/>
      <c r="AN39" s="209"/>
      <c r="AO39" s="647"/>
      <c r="AP39" s="209"/>
      <c r="AQ39" s="209"/>
      <c r="AR39" s="209"/>
      <c r="AS39" s="209"/>
      <c r="AT39" s="647"/>
      <c r="AU39" s="209"/>
      <c r="AV39" s="209"/>
      <c r="AW39" s="209"/>
      <c r="AX39" s="209"/>
      <c r="AY39" s="647"/>
      <c r="AZ39" s="209"/>
      <c r="BA39" s="209"/>
      <c r="BB39" s="209"/>
      <c r="BC39" s="209"/>
      <c r="BD39" s="647"/>
      <c r="BE39" s="209"/>
      <c r="BF39" s="209"/>
      <c r="BG39" s="209"/>
      <c r="BH39" s="209"/>
      <c r="BI39" s="647"/>
      <c r="BJ39" s="209"/>
      <c r="BK39" s="209"/>
      <c r="BL39" s="209"/>
      <c r="BM39" s="209"/>
      <c r="BN39" s="647"/>
      <c r="BO39" s="209"/>
      <c r="BP39" s="209"/>
      <c r="BQ39" s="209"/>
      <c r="BR39" s="209"/>
      <c r="BS39" s="647"/>
      <c r="BT39" s="209"/>
      <c r="BU39" s="209"/>
      <c r="BV39" s="209"/>
      <c r="BW39" s="209"/>
      <c r="BX39" s="647"/>
      <c r="BY39" s="209"/>
      <c r="BZ39" s="209"/>
      <c r="CA39" s="209"/>
      <c r="CB39" s="209"/>
      <c r="CC39" s="647"/>
      <c r="CD39" s="209"/>
      <c r="CE39" s="209"/>
      <c r="CF39" s="209"/>
      <c r="CG39" s="209"/>
      <c r="CH39" s="647"/>
      <c r="CI39" s="209"/>
      <c r="CJ39" s="209"/>
      <c r="CK39" s="209"/>
      <c r="CL39" s="209"/>
      <c r="CM39" s="647"/>
      <c r="CN39" s="209"/>
      <c r="CO39" s="209"/>
      <c r="CP39" s="209"/>
      <c r="CQ39" s="209"/>
      <c r="CR39" s="647"/>
      <c r="CS39" s="209"/>
      <c r="CT39" s="209"/>
      <c r="CU39" s="209"/>
      <c r="CV39" s="209"/>
      <c r="CW39" s="647"/>
      <c r="CZ39" s="201"/>
      <c r="DA39" s="200"/>
      <c r="DB39" s="200"/>
    </row>
    <row r="40" spans="1:106" hidden="1" outlineLevel="1">
      <c r="A40" s="206"/>
      <c r="B40" s="192"/>
      <c r="C40" s="192"/>
      <c r="D40" s="192"/>
      <c r="E40" s="192"/>
      <c r="F40" s="647"/>
      <c r="G40" s="822"/>
      <c r="H40" s="822"/>
      <c r="I40" s="822"/>
      <c r="J40" s="822"/>
      <c r="K40" s="311"/>
      <c r="L40" s="822"/>
      <c r="M40" s="822"/>
      <c r="N40" s="822"/>
      <c r="O40" s="822"/>
      <c r="P40" s="311"/>
      <c r="Q40" s="822"/>
      <c r="R40" s="822"/>
      <c r="S40" s="822"/>
      <c r="T40" s="822"/>
      <c r="U40" s="311"/>
      <c r="V40" s="822"/>
      <c r="W40" s="209"/>
      <c r="X40" s="209"/>
      <c r="Y40" s="209"/>
      <c r="Z40" s="647"/>
      <c r="AA40" s="209"/>
      <c r="AB40" s="209"/>
      <c r="AC40" s="209"/>
      <c r="AD40" s="209"/>
      <c r="AE40" s="647"/>
      <c r="AF40" s="209"/>
      <c r="AG40" s="209"/>
      <c r="AH40" s="209"/>
      <c r="AI40" s="209"/>
      <c r="AJ40" s="786"/>
      <c r="AK40" s="209"/>
      <c r="AL40" s="209"/>
      <c r="AM40" s="209"/>
      <c r="AN40" s="209"/>
      <c r="AO40" s="647"/>
      <c r="AP40" s="209"/>
      <c r="AQ40" s="209"/>
      <c r="AR40" s="209"/>
      <c r="AS40" s="209"/>
      <c r="AT40" s="647"/>
      <c r="AU40" s="209"/>
      <c r="AV40" s="209"/>
      <c r="AW40" s="209"/>
      <c r="AX40" s="209"/>
      <c r="AY40" s="647"/>
      <c r="AZ40" s="209"/>
      <c r="BA40" s="209"/>
      <c r="BB40" s="209"/>
      <c r="BC40" s="209"/>
      <c r="BD40" s="647"/>
      <c r="BE40" s="209"/>
      <c r="BF40" s="209"/>
      <c r="BG40" s="209"/>
      <c r="BH40" s="209"/>
      <c r="BI40" s="647"/>
      <c r="BJ40" s="209"/>
      <c r="BK40" s="209"/>
      <c r="BL40" s="209"/>
      <c r="BM40" s="209"/>
      <c r="BN40" s="647"/>
      <c r="BO40" s="209"/>
      <c r="BP40" s="209"/>
      <c r="BQ40" s="209"/>
      <c r="BR40" s="209"/>
      <c r="BS40" s="647"/>
      <c r="BT40" s="209"/>
      <c r="BU40" s="209"/>
      <c r="BV40" s="209"/>
      <c r="BW40" s="209"/>
      <c r="BX40" s="647"/>
      <c r="BY40" s="209"/>
      <c r="BZ40" s="209"/>
      <c r="CA40" s="209"/>
      <c r="CB40" s="209"/>
      <c r="CC40" s="647"/>
      <c r="CD40" s="209"/>
      <c r="CE40" s="209"/>
      <c r="CF40" s="209"/>
      <c r="CG40" s="209"/>
      <c r="CH40" s="647"/>
      <c r="CI40" s="209"/>
      <c r="CJ40" s="209"/>
      <c r="CK40" s="209"/>
      <c r="CL40" s="209"/>
      <c r="CM40" s="647"/>
      <c r="CN40" s="209"/>
      <c r="CO40" s="209"/>
      <c r="CP40" s="209"/>
      <c r="CQ40" s="209"/>
      <c r="CR40" s="647"/>
      <c r="CS40" s="209"/>
      <c r="CT40" s="209"/>
      <c r="CU40" s="209"/>
      <c r="CV40" s="209"/>
      <c r="CW40" s="647"/>
      <c r="CZ40" s="201"/>
      <c r="DA40" s="200"/>
      <c r="DB40" s="200"/>
    </row>
    <row r="41" spans="1:106" hidden="1" outlineLevel="1">
      <c r="A41" s="206" t="s">
        <v>26</v>
      </c>
      <c r="B41" s="192"/>
      <c r="C41" s="192"/>
      <c r="D41" s="192"/>
      <c r="E41" s="192"/>
      <c r="F41" s="647"/>
      <c r="G41" s="822"/>
      <c r="H41" s="822"/>
      <c r="I41" s="822"/>
      <c r="J41" s="822"/>
      <c r="K41" s="311"/>
      <c r="L41" s="822"/>
      <c r="M41" s="822"/>
      <c r="N41" s="822"/>
      <c r="O41" s="822"/>
      <c r="P41" s="311"/>
      <c r="Q41" s="822"/>
      <c r="R41" s="822"/>
      <c r="S41" s="822"/>
      <c r="T41" s="822"/>
      <c r="U41" s="311"/>
      <c r="V41" s="822"/>
      <c r="W41" s="209"/>
      <c r="X41" s="209"/>
      <c r="Y41" s="209"/>
      <c r="Z41" s="647"/>
      <c r="AA41" s="209"/>
      <c r="AB41" s="209"/>
      <c r="AC41" s="209"/>
      <c r="AD41" s="209"/>
      <c r="AE41" s="647"/>
      <c r="AF41" s="209"/>
      <c r="AG41" s="209"/>
      <c r="AH41" s="209"/>
      <c r="AI41" s="209"/>
      <c r="AJ41" s="786"/>
      <c r="AK41" s="209"/>
      <c r="AL41" s="209"/>
      <c r="AM41" s="209"/>
      <c r="AN41" s="209"/>
      <c r="AO41" s="647"/>
      <c r="AP41" s="209"/>
      <c r="AQ41" s="209"/>
      <c r="AR41" s="209"/>
      <c r="AS41" s="209"/>
      <c r="AT41" s="647"/>
      <c r="AU41" s="209"/>
      <c r="AV41" s="209"/>
      <c r="AW41" s="209"/>
      <c r="AX41" s="209"/>
      <c r="AY41" s="647"/>
      <c r="AZ41" s="209"/>
      <c r="BA41" s="209"/>
      <c r="BB41" s="209"/>
      <c r="BC41" s="209"/>
      <c r="BD41" s="647"/>
      <c r="BE41" s="209"/>
      <c r="BF41" s="209"/>
      <c r="BG41" s="209"/>
      <c r="BH41" s="209"/>
      <c r="BI41" s="647"/>
      <c r="BJ41" s="209"/>
      <c r="BK41" s="209"/>
      <c r="BL41" s="209"/>
      <c r="BM41" s="209"/>
      <c r="BN41" s="647"/>
      <c r="BO41" s="209"/>
      <c r="BP41" s="209"/>
      <c r="BQ41" s="209"/>
      <c r="BR41" s="209"/>
      <c r="BS41" s="647"/>
      <c r="BT41" s="209"/>
      <c r="BU41" s="209"/>
      <c r="BV41" s="209"/>
      <c r="BW41" s="209"/>
      <c r="BX41" s="647"/>
      <c r="BY41" s="209"/>
      <c r="BZ41" s="209"/>
      <c r="CA41" s="209"/>
      <c r="CB41" s="209"/>
      <c r="CC41" s="647"/>
      <c r="CD41" s="209"/>
      <c r="CE41" s="209"/>
      <c r="CF41" s="209"/>
      <c r="CG41" s="209"/>
      <c r="CH41" s="647"/>
      <c r="CI41" s="209"/>
      <c r="CJ41" s="209"/>
      <c r="CK41" s="209"/>
      <c r="CL41" s="209"/>
      <c r="CM41" s="647"/>
      <c r="CN41" s="209"/>
      <c r="CO41" s="209"/>
      <c r="CP41" s="209"/>
      <c r="CQ41" s="209"/>
      <c r="CR41" s="647"/>
      <c r="CS41" s="209"/>
      <c r="CT41" s="209"/>
      <c r="CU41" s="209"/>
      <c r="CV41" s="209"/>
      <c r="CW41" s="647"/>
      <c r="CZ41" s="201"/>
      <c r="DA41" s="200"/>
      <c r="DB41" s="200"/>
    </row>
    <row r="42" spans="1:106" hidden="1" outlineLevel="1">
      <c r="A42" s="206" t="s">
        <v>723</v>
      </c>
      <c r="B42" s="192"/>
      <c r="C42" s="192"/>
      <c r="D42" s="192"/>
      <c r="E42" s="192"/>
      <c r="F42" s="647"/>
      <c r="G42" s="822"/>
      <c r="H42" s="822"/>
      <c r="I42" s="822"/>
      <c r="J42" s="822"/>
      <c r="K42" s="311"/>
      <c r="L42" s="189">
        <f t="shared" ref="L42:Z44" si="51">L33/G33-1</f>
        <v>0.12342869917624943</v>
      </c>
      <c r="M42" s="189">
        <f t="shared" si="51"/>
        <v>6.7261960132837029E-2</v>
      </c>
      <c r="N42" s="189">
        <f t="shared" si="51"/>
        <v>0.19799370961004481</v>
      </c>
      <c r="O42" s="189">
        <f t="shared" si="51"/>
        <v>0.21697312780413602</v>
      </c>
      <c r="P42" s="311">
        <f t="shared" si="51"/>
        <v>0.15112092741211325</v>
      </c>
      <c r="Q42" s="189">
        <f t="shared" si="51"/>
        <v>0.36789423688327361</v>
      </c>
      <c r="R42" s="189">
        <f t="shared" si="51"/>
        <v>0.26338419739829333</v>
      </c>
      <c r="S42" s="189">
        <f t="shared" si="51"/>
        <v>0.19935603344143038</v>
      </c>
      <c r="T42" s="189">
        <f t="shared" si="51"/>
        <v>0.23058116625353997</v>
      </c>
      <c r="U42" s="311">
        <f t="shared" si="51"/>
        <v>0.26196996858988353</v>
      </c>
      <c r="V42" s="189">
        <f t="shared" si="51"/>
        <v>0.19585700585609711</v>
      </c>
      <c r="W42" s="189">
        <f t="shared" si="51"/>
        <v>0.24317539859622617</v>
      </c>
      <c r="X42" s="189">
        <f t="shared" si="51"/>
        <v>0.20639910035099174</v>
      </c>
      <c r="Y42" s="189">
        <f t="shared" si="51"/>
        <v>0.21924306134391269</v>
      </c>
      <c r="Z42" s="311">
        <f t="shared" si="51"/>
        <v>0.21615294620104741</v>
      </c>
      <c r="AA42" s="209"/>
      <c r="AB42" s="209"/>
      <c r="AC42" s="209"/>
      <c r="AD42" s="209"/>
      <c r="AE42" s="647"/>
      <c r="AF42" s="209"/>
      <c r="AG42" s="209"/>
      <c r="AH42" s="209"/>
      <c r="AI42" s="209"/>
      <c r="AJ42" s="786"/>
      <c r="AK42" s="209"/>
      <c r="AL42" s="209"/>
      <c r="AM42" s="209"/>
      <c r="AN42" s="209"/>
      <c r="AO42" s="647"/>
      <c r="AP42" s="209"/>
      <c r="AQ42" s="209"/>
      <c r="AR42" s="209"/>
      <c r="AS42" s="209"/>
      <c r="AT42" s="647"/>
      <c r="AU42" s="209"/>
      <c r="AV42" s="209"/>
      <c r="AW42" s="209"/>
      <c r="AX42" s="209"/>
      <c r="AY42" s="647"/>
      <c r="AZ42" s="209"/>
      <c r="BA42" s="209"/>
      <c r="BB42" s="209"/>
      <c r="BC42" s="209"/>
      <c r="BD42" s="647"/>
      <c r="BE42" s="209"/>
      <c r="BF42" s="209"/>
      <c r="BG42" s="209"/>
      <c r="BH42" s="209"/>
      <c r="BI42" s="647"/>
      <c r="BJ42" s="209"/>
      <c r="BK42" s="209"/>
      <c r="BL42" s="209"/>
      <c r="BM42" s="209"/>
      <c r="BN42" s="647"/>
      <c r="BO42" s="209"/>
      <c r="BP42" s="209"/>
      <c r="BQ42" s="209"/>
      <c r="BR42" s="209"/>
      <c r="BS42" s="647"/>
      <c r="BT42" s="209"/>
      <c r="BU42" s="209"/>
      <c r="BV42" s="209"/>
      <c r="BW42" s="209"/>
      <c r="BX42" s="647"/>
      <c r="BY42" s="209"/>
      <c r="BZ42" s="209"/>
      <c r="CA42" s="209"/>
      <c r="CB42" s="209"/>
      <c r="CC42" s="647"/>
      <c r="CD42" s="209"/>
      <c r="CE42" s="209"/>
      <c r="CF42" s="209"/>
      <c r="CG42" s="209"/>
      <c r="CH42" s="647"/>
      <c r="CI42" s="209"/>
      <c r="CJ42" s="209"/>
      <c r="CK42" s="209"/>
      <c r="CL42" s="209"/>
      <c r="CM42" s="647"/>
      <c r="CN42" s="209"/>
      <c r="CO42" s="209"/>
      <c r="CP42" s="209"/>
      <c r="CQ42" s="209"/>
      <c r="CR42" s="647"/>
      <c r="CS42" s="209"/>
      <c r="CT42" s="209"/>
      <c r="CU42" s="209"/>
      <c r="CV42" s="209"/>
      <c r="CW42" s="647"/>
      <c r="CZ42" s="201"/>
      <c r="DA42" s="200"/>
      <c r="DB42" s="200"/>
    </row>
    <row r="43" spans="1:106" hidden="1" outlineLevel="1">
      <c r="A43" s="206" t="s">
        <v>114</v>
      </c>
      <c r="B43" s="192"/>
      <c r="C43" s="192"/>
      <c r="D43" s="192"/>
      <c r="E43" s="192"/>
      <c r="F43" s="647"/>
      <c r="G43" s="822"/>
      <c r="H43" s="822"/>
      <c r="I43" s="822"/>
      <c r="J43" s="822"/>
      <c r="K43" s="311"/>
      <c r="L43" s="826">
        <f t="shared" si="51"/>
        <v>6.7201036554815463E-2</v>
      </c>
      <c r="M43" s="826">
        <f t="shared" si="51"/>
        <v>-0.12138354762374037</v>
      </c>
      <c r="N43" s="826">
        <f t="shared" si="51"/>
        <v>-7.9834145123268252E-2</v>
      </c>
      <c r="O43" s="826">
        <f t="shared" si="51"/>
        <v>0.21697312780413602</v>
      </c>
      <c r="P43" s="825">
        <f t="shared" si="51"/>
        <v>1.1551742960334233E-2</v>
      </c>
      <c r="Q43" s="826">
        <f t="shared" si="51"/>
        <v>0.59019557548835566</v>
      </c>
      <c r="R43" s="826">
        <f t="shared" si="51"/>
        <v>0.32837309644141532</v>
      </c>
      <c r="S43" s="826">
        <f t="shared" si="51"/>
        <v>0.48508707178364152</v>
      </c>
      <c r="T43" s="826">
        <f t="shared" si="51"/>
        <v>0.10904228563590612</v>
      </c>
      <c r="U43" s="825">
        <f t="shared" si="51"/>
        <v>0.35975880070115673</v>
      </c>
      <c r="V43" s="826">
        <f t="shared" si="51"/>
        <v>-7.5435418339932059E-2</v>
      </c>
      <c r="W43" s="826">
        <f t="shared" si="51"/>
        <v>0.12317777324909995</v>
      </c>
      <c r="X43" s="826">
        <f t="shared" si="51"/>
        <v>0.20639910035099196</v>
      </c>
      <c r="Y43" s="826">
        <f t="shared" si="51"/>
        <v>9.5412826948419349E-2</v>
      </c>
      <c r="Z43" s="825">
        <f t="shared" si="51"/>
        <v>8.2887270562852944E-2</v>
      </c>
      <c r="AA43" s="209"/>
      <c r="AB43" s="209"/>
      <c r="AC43" s="209"/>
      <c r="AD43" s="209"/>
      <c r="AE43" s="647"/>
      <c r="AF43" s="209"/>
      <c r="AG43" s="209"/>
      <c r="AH43" s="209"/>
      <c r="AI43" s="209"/>
      <c r="AJ43" s="786"/>
      <c r="AK43" s="209"/>
      <c r="AL43" s="209"/>
      <c r="AM43" s="209"/>
      <c r="AN43" s="209"/>
      <c r="AO43" s="647"/>
      <c r="AP43" s="209"/>
      <c r="AQ43" s="209"/>
      <c r="AR43" s="209"/>
      <c r="AS43" s="209"/>
      <c r="AT43" s="647"/>
      <c r="AU43" s="209"/>
      <c r="AV43" s="209"/>
      <c r="AW43" s="209"/>
      <c r="AX43" s="209"/>
      <c r="AY43" s="647"/>
      <c r="AZ43" s="209"/>
      <c r="BA43" s="209"/>
      <c r="BB43" s="209"/>
      <c r="BC43" s="209"/>
      <c r="BD43" s="647"/>
      <c r="BE43" s="209"/>
      <c r="BF43" s="209"/>
      <c r="BG43" s="209"/>
      <c r="BH43" s="209"/>
      <c r="BI43" s="647"/>
      <c r="BJ43" s="209"/>
      <c r="BK43" s="209"/>
      <c r="BL43" s="209"/>
      <c r="BM43" s="209"/>
      <c r="BN43" s="647"/>
      <c r="BO43" s="209"/>
      <c r="BP43" s="209"/>
      <c r="BQ43" s="209"/>
      <c r="BR43" s="209"/>
      <c r="BS43" s="647"/>
      <c r="BT43" s="209"/>
      <c r="BU43" s="209"/>
      <c r="BV43" s="209"/>
      <c r="BW43" s="209"/>
      <c r="BX43" s="647"/>
      <c r="BY43" s="209"/>
      <c r="BZ43" s="209"/>
      <c r="CA43" s="209"/>
      <c r="CB43" s="209"/>
      <c r="CC43" s="647"/>
      <c r="CD43" s="209"/>
      <c r="CE43" s="209"/>
      <c r="CF43" s="209"/>
      <c r="CG43" s="209"/>
      <c r="CH43" s="647"/>
      <c r="CI43" s="209"/>
      <c r="CJ43" s="209"/>
      <c r="CK43" s="209"/>
      <c r="CL43" s="209"/>
      <c r="CM43" s="647"/>
      <c r="CN43" s="209"/>
      <c r="CO43" s="209"/>
      <c r="CP43" s="209"/>
      <c r="CQ43" s="209"/>
      <c r="CR43" s="647"/>
      <c r="CS43" s="209"/>
      <c r="CT43" s="209"/>
      <c r="CU43" s="209"/>
      <c r="CV43" s="209"/>
      <c r="CW43" s="647"/>
      <c r="CZ43" s="201"/>
      <c r="DA43" s="200"/>
      <c r="DB43" s="200"/>
    </row>
    <row r="44" spans="1:106" hidden="1" outlineLevel="1">
      <c r="A44" s="206" t="s">
        <v>466</v>
      </c>
      <c r="B44" s="192"/>
      <c r="C44" s="192"/>
      <c r="D44" s="192"/>
      <c r="E44" s="192"/>
      <c r="F44" s="191"/>
      <c r="G44" s="817"/>
      <c r="H44" s="817"/>
      <c r="I44" s="817"/>
      <c r="J44" s="817"/>
      <c r="K44" s="647"/>
      <c r="L44" s="189">
        <f t="shared" si="51"/>
        <v>0.10824723026846228</v>
      </c>
      <c r="M44" s="189">
        <f t="shared" si="51"/>
        <v>8.7818527282979009E-3</v>
      </c>
      <c r="N44" s="189">
        <f t="shared" si="51"/>
        <v>0.12020191028471716</v>
      </c>
      <c r="O44" s="189">
        <f t="shared" si="51"/>
        <v>0.21697312780413602</v>
      </c>
      <c r="P44" s="311">
        <f t="shared" si="51"/>
        <v>0.11157481018004978</v>
      </c>
      <c r="Q44" s="189">
        <f t="shared" si="51"/>
        <v>0.42569258492059503</v>
      </c>
      <c r="R44" s="189">
        <f t="shared" si="51"/>
        <v>0.28093120013993622</v>
      </c>
      <c r="S44" s="189">
        <f t="shared" si="51"/>
        <v>0.26507417226013885</v>
      </c>
      <c r="T44" s="189">
        <f t="shared" si="51"/>
        <v>0.19776566848677879</v>
      </c>
      <c r="U44" s="311">
        <f t="shared" si="51"/>
        <v>0.28718462033954095</v>
      </c>
      <c r="V44" s="189">
        <f t="shared" si="51"/>
        <v>0.11718220283924863</v>
      </c>
      <c r="W44" s="189">
        <f t="shared" si="51"/>
        <v>0.20957606349903068</v>
      </c>
      <c r="X44" s="189">
        <f t="shared" si="51"/>
        <v>0.20639910035099196</v>
      </c>
      <c r="Y44" s="189">
        <f t="shared" si="51"/>
        <v>0.18828550274503986</v>
      </c>
      <c r="Z44" s="311">
        <f t="shared" si="51"/>
        <v>0.17985324445676487</v>
      </c>
      <c r="AA44" s="817"/>
      <c r="AB44" s="817"/>
      <c r="AC44" s="817"/>
      <c r="AD44" s="817"/>
      <c r="AE44" s="647"/>
      <c r="AF44" s="817"/>
      <c r="AG44" s="817"/>
      <c r="AH44" s="817"/>
      <c r="AI44" s="817"/>
      <c r="AJ44" s="786"/>
      <c r="AK44" s="817"/>
      <c r="AL44" s="817"/>
      <c r="AM44" s="817"/>
      <c r="AN44" s="817"/>
      <c r="AO44" s="647"/>
      <c r="AP44" s="817"/>
      <c r="AQ44" s="817"/>
      <c r="AR44" s="817"/>
      <c r="AS44" s="817"/>
      <c r="AT44" s="647"/>
      <c r="AU44" s="817"/>
      <c r="AV44" s="817"/>
      <c r="AW44" s="817"/>
      <c r="AX44" s="817"/>
      <c r="AY44" s="647"/>
      <c r="AZ44" s="817"/>
      <c r="BA44" s="817"/>
      <c r="BB44" s="817"/>
      <c r="BC44" s="817"/>
      <c r="BD44" s="647"/>
      <c r="BE44" s="817"/>
      <c r="BF44" s="817"/>
      <c r="BG44" s="817"/>
      <c r="BH44" s="817"/>
      <c r="BI44" s="647"/>
      <c r="BJ44" s="817"/>
      <c r="BK44" s="817"/>
      <c r="BL44" s="817"/>
      <c r="BM44" s="817"/>
      <c r="BN44" s="647"/>
      <c r="BO44" s="817"/>
      <c r="BP44" s="817"/>
      <c r="BQ44" s="817"/>
      <c r="BR44" s="817"/>
      <c r="BS44" s="647"/>
      <c r="BT44" s="817"/>
      <c r="BU44" s="817"/>
      <c r="BV44" s="817"/>
      <c r="BW44" s="817"/>
      <c r="BX44" s="647"/>
      <c r="BY44" s="817"/>
      <c r="BZ44" s="817"/>
      <c r="CA44" s="817"/>
      <c r="CB44" s="817"/>
      <c r="CC44" s="647"/>
      <c r="CD44" s="817"/>
      <c r="CE44" s="817"/>
      <c r="CF44" s="817"/>
      <c r="CG44" s="817"/>
      <c r="CH44" s="647"/>
      <c r="CI44" s="817"/>
      <c r="CJ44" s="817"/>
      <c r="CK44" s="817"/>
      <c r="CL44" s="817"/>
      <c r="CM44" s="647"/>
      <c r="CN44" s="817"/>
      <c r="CO44" s="817"/>
      <c r="CP44" s="817"/>
      <c r="CQ44" s="817"/>
      <c r="CR44" s="647"/>
      <c r="CS44" s="817"/>
      <c r="CT44" s="817"/>
      <c r="CU44" s="817"/>
      <c r="CV44" s="817"/>
      <c r="CW44" s="647"/>
      <c r="CZ44" s="201"/>
      <c r="DA44" s="200"/>
      <c r="DB44" s="200"/>
    </row>
    <row r="45" spans="1:106" ht="5.25" hidden="1" customHeight="1" outlineLevel="1">
      <c r="A45" s="114"/>
      <c r="B45" s="117"/>
      <c r="C45" s="117"/>
      <c r="D45" s="117"/>
      <c r="E45" s="117"/>
      <c r="F45" s="119"/>
      <c r="G45" s="117"/>
      <c r="H45" s="117"/>
      <c r="I45" s="117"/>
      <c r="J45" s="117"/>
      <c r="K45" s="119"/>
      <c r="L45" s="117"/>
      <c r="M45" s="117"/>
      <c r="N45" s="117"/>
      <c r="O45" s="117"/>
      <c r="P45" s="119"/>
      <c r="Q45" s="117"/>
      <c r="R45" s="117"/>
      <c r="S45" s="117"/>
      <c r="T45" s="117"/>
      <c r="U45" s="119"/>
      <c r="V45" s="117"/>
      <c r="W45" s="117"/>
      <c r="X45" s="117"/>
      <c r="Y45" s="117"/>
      <c r="Z45" s="119"/>
      <c r="AA45" s="117"/>
      <c r="AB45" s="117"/>
      <c r="AC45" s="117"/>
      <c r="AD45" s="117"/>
      <c r="AE45" s="119"/>
      <c r="AF45" s="117"/>
      <c r="AG45" s="117"/>
      <c r="AH45" s="117"/>
      <c r="AI45" s="117"/>
      <c r="AJ45" s="119"/>
      <c r="AK45" s="117"/>
      <c r="AL45" s="117"/>
      <c r="AM45" s="117"/>
      <c r="AN45" s="117"/>
      <c r="AO45" s="119"/>
      <c r="AP45" s="117"/>
      <c r="AQ45" s="117"/>
      <c r="AR45" s="117"/>
      <c r="AS45" s="117"/>
      <c r="AT45" s="119"/>
      <c r="AU45" s="117"/>
      <c r="AV45" s="117"/>
      <c r="AW45" s="117"/>
      <c r="AX45" s="117"/>
      <c r="AY45" s="119"/>
      <c r="AZ45" s="117"/>
      <c r="BA45" s="117"/>
      <c r="BB45" s="117"/>
      <c r="BC45" s="117"/>
      <c r="BD45" s="119"/>
      <c r="BE45" s="117"/>
      <c r="BF45" s="117"/>
      <c r="BG45" s="117"/>
      <c r="BH45" s="117"/>
      <c r="BI45" s="119"/>
      <c r="BJ45" s="117"/>
      <c r="BK45" s="117"/>
      <c r="BL45" s="117"/>
      <c r="BM45" s="117"/>
      <c r="BN45" s="119"/>
      <c r="BO45" s="117"/>
      <c r="BP45" s="117"/>
      <c r="BQ45" s="117"/>
      <c r="BR45" s="117"/>
      <c r="BS45" s="119"/>
      <c r="BT45" s="117"/>
      <c r="BU45" s="117"/>
      <c r="BV45" s="117"/>
      <c r="BW45" s="117"/>
      <c r="BX45" s="119"/>
      <c r="BY45" s="117"/>
      <c r="BZ45" s="117"/>
      <c r="CA45" s="117"/>
      <c r="CB45" s="117"/>
      <c r="CC45" s="119"/>
      <c r="CD45" s="117"/>
      <c r="CE45" s="117"/>
      <c r="CF45" s="117"/>
      <c r="CG45" s="117"/>
      <c r="CH45" s="119"/>
      <c r="CI45" s="117"/>
      <c r="CJ45" s="117"/>
      <c r="CK45" s="117"/>
      <c r="CL45" s="117"/>
      <c r="CM45" s="119"/>
      <c r="CN45" s="117"/>
      <c r="CO45" s="117"/>
      <c r="CP45" s="117"/>
      <c r="CQ45" s="117"/>
      <c r="CR45" s="119"/>
      <c r="CS45" s="117"/>
      <c r="CT45" s="117"/>
      <c r="CU45" s="117"/>
      <c r="CV45" s="117"/>
      <c r="CW45" s="119"/>
      <c r="CZ45" s="126"/>
      <c r="DA45" s="117"/>
      <c r="DB45" s="117"/>
    </row>
    <row r="46" spans="1:106" ht="5.25" hidden="1" customHeight="1" outlineLevel="1">
      <c r="A46" s="114"/>
      <c r="B46" s="117"/>
      <c r="C46" s="117"/>
      <c r="D46" s="117"/>
      <c r="E46" s="117"/>
      <c r="F46" s="119"/>
      <c r="G46" s="117"/>
      <c r="H46" s="117"/>
      <c r="I46" s="117"/>
      <c r="J46" s="117"/>
      <c r="K46" s="119"/>
      <c r="L46" s="117"/>
      <c r="M46" s="117"/>
      <c r="N46" s="117"/>
      <c r="O46" s="117"/>
      <c r="P46" s="119"/>
      <c r="Q46" s="117"/>
      <c r="R46" s="117"/>
      <c r="S46" s="117"/>
      <c r="T46" s="117"/>
      <c r="U46" s="119"/>
      <c r="V46" s="117"/>
      <c r="W46" s="117"/>
      <c r="X46" s="117"/>
      <c r="Y46" s="117"/>
      <c r="Z46" s="119"/>
      <c r="AA46" s="117"/>
      <c r="AB46" s="117"/>
      <c r="AC46" s="117"/>
      <c r="AD46" s="117"/>
      <c r="AE46" s="119"/>
      <c r="AF46" s="117"/>
      <c r="AG46" s="117"/>
      <c r="AH46" s="117"/>
      <c r="AI46" s="117"/>
      <c r="AJ46" s="119"/>
      <c r="AK46" s="117"/>
      <c r="AL46" s="117"/>
      <c r="AM46" s="117"/>
      <c r="AN46" s="117"/>
      <c r="AO46" s="119"/>
      <c r="AP46" s="117"/>
      <c r="AQ46" s="117"/>
      <c r="AR46" s="117"/>
      <c r="AS46" s="117"/>
      <c r="AT46" s="119"/>
      <c r="AU46" s="117"/>
      <c r="AV46" s="117"/>
      <c r="AW46" s="117"/>
      <c r="AX46" s="117"/>
      <c r="AY46" s="119"/>
      <c r="AZ46" s="117"/>
      <c r="BA46" s="117"/>
      <c r="BB46" s="117"/>
      <c r="BC46" s="117"/>
      <c r="BD46" s="119"/>
      <c r="BE46" s="117"/>
      <c r="BF46" s="117"/>
      <c r="BG46" s="117"/>
      <c r="BH46" s="117"/>
      <c r="BI46" s="119"/>
      <c r="BJ46" s="117"/>
      <c r="BK46" s="117"/>
      <c r="BL46" s="117"/>
      <c r="BM46" s="117"/>
      <c r="BN46" s="119"/>
      <c r="BO46" s="117"/>
      <c r="BP46" s="117"/>
      <c r="BQ46" s="117"/>
      <c r="BR46" s="117"/>
      <c r="BS46" s="119"/>
      <c r="BT46" s="117"/>
      <c r="BU46" s="117"/>
      <c r="BV46" s="117"/>
      <c r="BW46" s="117"/>
      <c r="BX46" s="119"/>
      <c r="BY46" s="117"/>
      <c r="BZ46" s="117"/>
      <c r="CA46" s="117"/>
      <c r="CB46" s="117"/>
      <c r="CC46" s="119"/>
      <c r="CD46" s="117"/>
      <c r="CE46" s="117"/>
      <c r="CF46" s="117"/>
      <c r="CG46" s="117"/>
      <c r="CH46" s="119"/>
      <c r="CI46" s="117"/>
      <c r="CJ46" s="117"/>
      <c r="CK46" s="117"/>
      <c r="CL46" s="117"/>
      <c r="CM46" s="119"/>
      <c r="CN46" s="117"/>
      <c r="CO46" s="117"/>
      <c r="CP46" s="117"/>
      <c r="CQ46" s="117"/>
      <c r="CR46" s="119"/>
      <c r="CS46" s="117"/>
      <c r="CT46" s="117"/>
      <c r="CU46" s="117"/>
      <c r="CV46" s="117"/>
      <c r="CW46" s="119"/>
      <c r="CZ46" s="126"/>
      <c r="DA46" s="117"/>
      <c r="DB46" s="117"/>
    </row>
    <row r="47" spans="1:106" hidden="1" outlineLevel="1">
      <c r="A47" s="793" t="s">
        <v>188</v>
      </c>
      <c r="B47" s="90"/>
      <c r="C47" s="90"/>
      <c r="D47" s="90"/>
      <c r="E47" s="90"/>
      <c r="F47" s="208"/>
      <c r="G47" s="90"/>
      <c r="H47" s="90"/>
      <c r="I47" s="90"/>
      <c r="J47" s="90"/>
      <c r="K47" s="208"/>
      <c r="L47" s="90"/>
      <c r="M47" s="90"/>
      <c r="N47" s="90"/>
      <c r="O47" s="90"/>
      <c r="P47" s="208"/>
      <c r="Q47" s="90"/>
      <c r="R47" s="90"/>
      <c r="S47" s="90"/>
      <c r="T47" s="90"/>
      <c r="U47" s="208"/>
      <c r="V47" s="90"/>
      <c r="W47" s="90"/>
      <c r="X47" s="90"/>
      <c r="Y47" s="90"/>
      <c r="Z47" s="208"/>
      <c r="AA47" s="90"/>
      <c r="AB47" s="90"/>
      <c r="AC47" s="90"/>
      <c r="AD47" s="90"/>
      <c r="AE47" s="208"/>
      <c r="AF47" s="90"/>
      <c r="AG47" s="90"/>
      <c r="AH47" s="90"/>
      <c r="AI47" s="90"/>
      <c r="AJ47" s="522"/>
      <c r="AK47" s="90"/>
      <c r="AL47" s="90"/>
      <c r="AM47" s="90"/>
      <c r="AN47" s="90"/>
      <c r="AO47" s="208"/>
      <c r="AP47" s="90"/>
      <c r="AQ47" s="90"/>
      <c r="AR47" s="90"/>
      <c r="AS47" s="90"/>
      <c r="AT47" s="208"/>
      <c r="AU47" s="90"/>
      <c r="AV47" s="90"/>
      <c r="AW47" s="90"/>
      <c r="AX47" s="90"/>
      <c r="AY47" s="208"/>
      <c r="AZ47" s="90"/>
      <c r="BA47" s="90"/>
      <c r="BB47" s="90"/>
      <c r="BC47" s="90"/>
      <c r="BD47" s="208"/>
      <c r="BE47" s="90"/>
      <c r="BF47" s="90"/>
      <c r="BG47" s="90"/>
      <c r="BH47" s="90"/>
      <c r="BI47" s="208"/>
      <c r="BJ47" s="90"/>
      <c r="BK47" s="90"/>
      <c r="BL47" s="90"/>
      <c r="BM47" s="90"/>
      <c r="BN47" s="208"/>
      <c r="BO47" s="90"/>
      <c r="BP47" s="90"/>
      <c r="BQ47" s="90"/>
      <c r="BR47" s="90"/>
      <c r="BS47" s="208"/>
      <c r="BT47" s="90"/>
      <c r="BU47" s="90"/>
      <c r="BV47" s="90"/>
      <c r="BW47" s="90"/>
      <c r="BX47" s="208"/>
      <c r="BY47" s="90"/>
      <c r="BZ47" s="90"/>
      <c r="CA47" s="90"/>
      <c r="CB47" s="90"/>
      <c r="CC47" s="208"/>
      <c r="CD47" s="90"/>
      <c r="CE47" s="90"/>
      <c r="CF47" s="90"/>
      <c r="CG47" s="90"/>
      <c r="CH47" s="208"/>
      <c r="CI47" s="90"/>
      <c r="CJ47" s="90"/>
      <c r="CK47" s="90"/>
      <c r="CL47" s="90"/>
      <c r="CM47" s="208"/>
      <c r="CN47" s="90"/>
      <c r="CO47" s="90"/>
      <c r="CP47" s="90"/>
      <c r="CQ47" s="90"/>
      <c r="CR47" s="208"/>
      <c r="CS47" s="90"/>
      <c r="CT47" s="90"/>
      <c r="CU47" s="90"/>
      <c r="CV47" s="90"/>
      <c r="CW47" s="208"/>
      <c r="CZ47" s="201"/>
      <c r="DA47" s="200"/>
      <c r="DB47" s="200"/>
    </row>
    <row r="48" spans="1:106" hidden="1" outlineLevel="1">
      <c r="A48" s="828" t="s">
        <v>128</v>
      </c>
      <c r="B48" s="829" t="s">
        <v>131</v>
      </c>
      <c r="C48" s="829" t="s">
        <v>131</v>
      </c>
      <c r="D48" s="829" t="s">
        <v>131</v>
      </c>
      <c r="E48" s="830">
        <v>0</v>
      </c>
      <c r="F48" s="831">
        <f>E48</f>
        <v>0</v>
      </c>
      <c r="G48" s="829" t="s">
        <v>131</v>
      </c>
      <c r="H48" s="829" t="s">
        <v>131</v>
      </c>
      <c r="I48" s="829" t="s">
        <v>131</v>
      </c>
      <c r="J48" s="830">
        <v>0</v>
      </c>
      <c r="K48" s="831">
        <f>J48</f>
        <v>0</v>
      </c>
      <c r="L48" s="829" t="s">
        <v>131</v>
      </c>
      <c r="M48" s="829" t="s">
        <v>131</v>
      </c>
      <c r="N48" s="829" t="s">
        <v>131</v>
      </c>
      <c r="O48" s="830">
        <v>0</v>
      </c>
      <c r="P48" s="831">
        <f>O48</f>
        <v>0</v>
      </c>
      <c r="Q48" s="829" t="s">
        <v>131</v>
      </c>
      <c r="R48" s="829" t="s">
        <v>131</v>
      </c>
      <c r="S48" s="829" t="s">
        <v>131</v>
      </c>
      <c r="T48" s="830">
        <v>0</v>
      </c>
      <c r="U48" s="831">
        <f>T48</f>
        <v>0</v>
      </c>
      <c r="V48" s="829" t="s">
        <v>131</v>
      </c>
      <c r="W48" s="829" t="s">
        <v>131</v>
      </c>
      <c r="X48" s="829" t="s">
        <v>131</v>
      </c>
      <c r="Y48" s="830">
        <v>0</v>
      </c>
      <c r="Z48" s="831">
        <f>Y48</f>
        <v>0</v>
      </c>
      <c r="AA48" s="829" t="s">
        <v>131</v>
      </c>
      <c r="AB48" s="829" t="s">
        <v>131</v>
      </c>
      <c r="AC48" s="829" t="s">
        <v>131</v>
      </c>
      <c r="AD48" s="829" t="s">
        <v>131</v>
      </c>
      <c r="AE48" s="831" t="s">
        <v>131</v>
      </c>
      <c r="AF48" s="829" t="s">
        <v>131</v>
      </c>
      <c r="AG48" s="829" t="s">
        <v>131</v>
      </c>
      <c r="AH48" s="829" t="s">
        <v>131</v>
      </c>
      <c r="AI48" s="829" t="s">
        <v>131</v>
      </c>
      <c r="AJ48" s="832" t="s">
        <v>131</v>
      </c>
      <c r="AK48" s="829" t="s">
        <v>131</v>
      </c>
      <c r="AL48" s="829" t="s">
        <v>131</v>
      </c>
      <c r="AM48" s="829" t="s">
        <v>131</v>
      </c>
      <c r="AN48" s="829" t="s">
        <v>131</v>
      </c>
      <c r="AO48" s="831" t="s">
        <v>131</v>
      </c>
      <c r="AP48" s="829" t="s">
        <v>131</v>
      </c>
      <c r="AQ48" s="829" t="s">
        <v>131</v>
      </c>
      <c r="AR48" s="829" t="s">
        <v>131</v>
      </c>
      <c r="AS48" s="829" t="s">
        <v>131</v>
      </c>
      <c r="AT48" s="831" t="s">
        <v>131</v>
      </c>
      <c r="AU48" s="829" t="s">
        <v>131</v>
      </c>
      <c r="AV48" s="829" t="s">
        <v>131</v>
      </c>
      <c r="AW48" s="829" t="s">
        <v>131</v>
      </c>
      <c r="AX48" s="829" t="s">
        <v>131</v>
      </c>
      <c r="AY48" s="831" t="s">
        <v>131</v>
      </c>
      <c r="AZ48" s="829" t="s">
        <v>131</v>
      </c>
      <c r="BA48" s="829" t="s">
        <v>131</v>
      </c>
      <c r="BB48" s="829" t="s">
        <v>131</v>
      </c>
      <c r="BC48" s="829" t="s">
        <v>131</v>
      </c>
      <c r="BD48" s="831" t="s">
        <v>131</v>
      </c>
      <c r="BE48" s="829" t="s">
        <v>131</v>
      </c>
      <c r="BF48" s="829" t="s">
        <v>131</v>
      </c>
      <c r="BG48" s="829" t="s">
        <v>131</v>
      </c>
      <c r="BH48" s="829" t="s">
        <v>131</v>
      </c>
      <c r="BI48" s="831" t="s">
        <v>131</v>
      </c>
      <c r="BJ48" s="829" t="s">
        <v>131</v>
      </c>
      <c r="BK48" s="829" t="s">
        <v>131</v>
      </c>
      <c r="BL48" s="829" t="s">
        <v>131</v>
      </c>
      <c r="BM48" s="829" t="s">
        <v>131</v>
      </c>
      <c r="BN48" s="831" t="s">
        <v>131</v>
      </c>
      <c r="BO48" s="829" t="s">
        <v>131</v>
      </c>
      <c r="BP48" s="829" t="s">
        <v>131</v>
      </c>
      <c r="BQ48" s="829" t="s">
        <v>131</v>
      </c>
      <c r="BR48" s="829" t="s">
        <v>131</v>
      </c>
      <c r="BS48" s="831" t="s">
        <v>131</v>
      </c>
      <c r="BT48" s="829" t="s">
        <v>131</v>
      </c>
      <c r="BU48" s="829" t="s">
        <v>131</v>
      </c>
      <c r="BV48" s="829" t="s">
        <v>131</v>
      </c>
      <c r="BW48" s="829" t="s">
        <v>131</v>
      </c>
      <c r="BX48" s="831" t="s">
        <v>131</v>
      </c>
      <c r="BY48" s="829" t="s">
        <v>131</v>
      </c>
      <c r="BZ48" s="829" t="s">
        <v>131</v>
      </c>
      <c r="CA48" s="829" t="s">
        <v>131</v>
      </c>
      <c r="CB48" s="829" t="s">
        <v>131</v>
      </c>
      <c r="CC48" s="831" t="s">
        <v>131</v>
      </c>
      <c r="CD48" s="829" t="s">
        <v>131</v>
      </c>
      <c r="CE48" s="829" t="s">
        <v>131</v>
      </c>
      <c r="CF48" s="829" t="s">
        <v>131</v>
      </c>
      <c r="CG48" s="829" t="s">
        <v>131</v>
      </c>
      <c r="CH48" s="831" t="s">
        <v>131</v>
      </c>
      <c r="CI48" s="829" t="s">
        <v>131</v>
      </c>
      <c r="CJ48" s="829" t="s">
        <v>131</v>
      </c>
      <c r="CK48" s="829" t="s">
        <v>131</v>
      </c>
      <c r="CL48" s="829" t="s">
        <v>131</v>
      </c>
      <c r="CM48" s="831" t="s">
        <v>131</v>
      </c>
      <c r="CN48" s="829" t="s">
        <v>131</v>
      </c>
      <c r="CO48" s="829" t="s">
        <v>131</v>
      </c>
      <c r="CP48" s="829" t="s">
        <v>131</v>
      </c>
      <c r="CQ48" s="829" t="s">
        <v>131</v>
      </c>
      <c r="CR48" s="831" t="s">
        <v>131</v>
      </c>
      <c r="CS48" s="829" t="s">
        <v>131</v>
      </c>
      <c r="CT48" s="829" t="s">
        <v>131</v>
      </c>
      <c r="CU48" s="829" t="s">
        <v>131</v>
      </c>
      <c r="CV48" s="829" t="s">
        <v>131</v>
      </c>
      <c r="CW48" s="831" t="s">
        <v>131</v>
      </c>
      <c r="CZ48" s="201"/>
      <c r="DA48" s="200"/>
      <c r="DB48" s="200"/>
    </row>
    <row r="49" spans="1:106" hidden="1" outlineLevel="1">
      <c r="A49" s="206" t="s">
        <v>192</v>
      </c>
      <c r="B49" s="817" t="s">
        <v>131</v>
      </c>
      <c r="C49" s="817" t="s">
        <v>131</v>
      </c>
      <c r="D49" s="817" t="s">
        <v>131</v>
      </c>
      <c r="E49" s="833">
        <v>0</v>
      </c>
      <c r="F49" s="647">
        <f>E49</f>
        <v>0</v>
      </c>
      <c r="G49" s="817" t="s">
        <v>131</v>
      </c>
      <c r="H49" s="817" t="s">
        <v>131</v>
      </c>
      <c r="I49" s="817" t="s">
        <v>131</v>
      </c>
      <c r="J49" s="833">
        <v>0</v>
      </c>
      <c r="K49" s="647">
        <f>J49</f>
        <v>0</v>
      </c>
      <c r="L49" s="817" t="s">
        <v>131</v>
      </c>
      <c r="M49" s="817" t="s">
        <v>131</v>
      </c>
      <c r="N49" s="817" t="s">
        <v>131</v>
      </c>
      <c r="O49" s="833">
        <v>0</v>
      </c>
      <c r="P49" s="647">
        <f>O49</f>
        <v>0</v>
      </c>
      <c r="Q49" s="817" t="s">
        <v>131</v>
      </c>
      <c r="R49" s="817" t="s">
        <v>131</v>
      </c>
      <c r="S49" s="817" t="s">
        <v>131</v>
      </c>
      <c r="T49" s="833">
        <v>0</v>
      </c>
      <c r="U49" s="647">
        <f>T49</f>
        <v>0</v>
      </c>
      <c r="V49" s="817" t="s">
        <v>131</v>
      </c>
      <c r="W49" s="817" t="s">
        <v>131</v>
      </c>
      <c r="X49" s="817" t="s">
        <v>131</v>
      </c>
      <c r="Y49" s="833">
        <v>0</v>
      </c>
      <c r="Z49" s="647">
        <f>Y49</f>
        <v>0</v>
      </c>
      <c r="AA49" s="817" t="s">
        <v>131</v>
      </c>
      <c r="AB49" s="817" t="s">
        <v>131</v>
      </c>
      <c r="AC49" s="817" t="s">
        <v>131</v>
      </c>
      <c r="AD49" s="817" t="s">
        <v>131</v>
      </c>
      <c r="AE49" s="834"/>
      <c r="AF49" s="817" t="s">
        <v>131</v>
      </c>
      <c r="AG49" s="817" t="s">
        <v>131</v>
      </c>
      <c r="AH49" s="817" t="s">
        <v>131</v>
      </c>
      <c r="AI49" s="817" t="s">
        <v>131</v>
      </c>
      <c r="AJ49" s="835"/>
      <c r="AK49" s="817" t="s">
        <v>131</v>
      </c>
      <c r="AL49" s="817" t="s">
        <v>131</v>
      </c>
      <c r="AM49" s="817" t="s">
        <v>131</v>
      </c>
      <c r="AN49" s="817" t="s">
        <v>131</v>
      </c>
      <c r="AO49" s="834"/>
      <c r="AP49" s="817" t="s">
        <v>131</v>
      </c>
      <c r="AQ49" s="817" t="s">
        <v>131</v>
      </c>
      <c r="AR49" s="817" t="s">
        <v>131</v>
      </c>
      <c r="AS49" s="817" t="s">
        <v>131</v>
      </c>
      <c r="AT49" s="834"/>
      <c r="AU49" s="817" t="s">
        <v>131</v>
      </c>
      <c r="AV49" s="817" t="s">
        <v>131</v>
      </c>
      <c r="AW49" s="817" t="s">
        <v>131</v>
      </c>
      <c r="AX49" s="817" t="s">
        <v>131</v>
      </c>
      <c r="AY49" s="834"/>
      <c r="AZ49" s="817" t="s">
        <v>131</v>
      </c>
      <c r="BA49" s="817" t="s">
        <v>131</v>
      </c>
      <c r="BB49" s="817" t="s">
        <v>131</v>
      </c>
      <c r="BC49" s="817" t="s">
        <v>131</v>
      </c>
      <c r="BD49" s="834"/>
      <c r="BE49" s="817" t="s">
        <v>131</v>
      </c>
      <c r="BF49" s="817" t="s">
        <v>131</v>
      </c>
      <c r="BG49" s="817" t="s">
        <v>131</v>
      </c>
      <c r="BH49" s="817" t="s">
        <v>131</v>
      </c>
      <c r="BI49" s="834"/>
      <c r="BJ49" s="817" t="s">
        <v>131</v>
      </c>
      <c r="BK49" s="817" t="s">
        <v>131</v>
      </c>
      <c r="BL49" s="817" t="s">
        <v>131</v>
      </c>
      <c r="BM49" s="817" t="s">
        <v>131</v>
      </c>
      <c r="BN49" s="834"/>
      <c r="BO49" s="817" t="s">
        <v>131</v>
      </c>
      <c r="BP49" s="817" t="s">
        <v>131</v>
      </c>
      <c r="BQ49" s="817" t="s">
        <v>131</v>
      </c>
      <c r="BR49" s="817" t="s">
        <v>131</v>
      </c>
      <c r="BS49" s="834"/>
      <c r="BT49" s="817" t="s">
        <v>131</v>
      </c>
      <c r="BU49" s="817" t="s">
        <v>131</v>
      </c>
      <c r="BV49" s="817" t="s">
        <v>131</v>
      </c>
      <c r="BW49" s="817" t="s">
        <v>131</v>
      </c>
      <c r="BX49" s="834"/>
      <c r="BY49" s="817" t="s">
        <v>131</v>
      </c>
      <c r="BZ49" s="817" t="s">
        <v>131</v>
      </c>
      <c r="CA49" s="817" t="s">
        <v>131</v>
      </c>
      <c r="CB49" s="817" t="s">
        <v>131</v>
      </c>
      <c r="CC49" s="834"/>
      <c r="CD49" s="817" t="s">
        <v>131</v>
      </c>
      <c r="CE49" s="817" t="s">
        <v>131</v>
      </c>
      <c r="CF49" s="817" t="s">
        <v>131</v>
      </c>
      <c r="CG49" s="817" t="s">
        <v>131</v>
      </c>
      <c r="CH49" s="834"/>
      <c r="CI49" s="817" t="s">
        <v>131</v>
      </c>
      <c r="CJ49" s="817" t="s">
        <v>131</v>
      </c>
      <c r="CK49" s="817" t="s">
        <v>131</v>
      </c>
      <c r="CL49" s="817" t="s">
        <v>131</v>
      </c>
      <c r="CM49" s="834"/>
      <c r="CN49" s="817" t="s">
        <v>131</v>
      </c>
      <c r="CO49" s="817" t="s">
        <v>131</v>
      </c>
      <c r="CP49" s="817" t="s">
        <v>131</v>
      </c>
      <c r="CQ49" s="817" t="s">
        <v>131</v>
      </c>
      <c r="CR49" s="834"/>
      <c r="CS49" s="817" t="s">
        <v>131</v>
      </c>
      <c r="CT49" s="817" t="s">
        <v>131</v>
      </c>
      <c r="CU49" s="817" t="s">
        <v>131</v>
      </c>
      <c r="CV49" s="817" t="s">
        <v>131</v>
      </c>
      <c r="CW49" s="834"/>
      <c r="CZ49" s="201"/>
      <c r="DA49" s="200"/>
      <c r="DB49" s="200"/>
    </row>
    <row r="50" spans="1:106" hidden="1" outlineLevel="1">
      <c r="A50" s="206" t="s">
        <v>193</v>
      </c>
      <c r="B50" s="817" t="s">
        <v>131</v>
      </c>
      <c r="C50" s="817" t="s">
        <v>131</v>
      </c>
      <c r="D50" s="817" t="s">
        <v>131</v>
      </c>
      <c r="E50" s="833">
        <v>0</v>
      </c>
      <c r="F50" s="647">
        <f>E50</f>
        <v>0</v>
      </c>
      <c r="G50" s="817" t="s">
        <v>131</v>
      </c>
      <c r="H50" s="817" t="s">
        <v>131</v>
      </c>
      <c r="I50" s="817" t="s">
        <v>131</v>
      </c>
      <c r="J50" s="833">
        <v>0</v>
      </c>
      <c r="K50" s="647">
        <f>J50</f>
        <v>0</v>
      </c>
      <c r="L50" s="817" t="s">
        <v>131</v>
      </c>
      <c r="M50" s="817" t="s">
        <v>131</v>
      </c>
      <c r="N50" s="817" t="s">
        <v>131</v>
      </c>
      <c r="O50" s="833">
        <v>0</v>
      </c>
      <c r="P50" s="647">
        <f>O50</f>
        <v>0</v>
      </c>
      <c r="Q50" s="817" t="s">
        <v>131</v>
      </c>
      <c r="R50" s="817" t="s">
        <v>131</v>
      </c>
      <c r="S50" s="817" t="s">
        <v>131</v>
      </c>
      <c r="T50" s="833">
        <v>0</v>
      </c>
      <c r="U50" s="647">
        <f>T50</f>
        <v>0</v>
      </c>
      <c r="V50" s="817" t="s">
        <v>131</v>
      </c>
      <c r="W50" s="817" t="s">
        <v>131</v>
      </c>
      <c r="X50" s="817" t="s">
        <v>131</v>
      </c>
      <c r="Y50" s="833">
        <v>0</v>
      </c>
      <c r="Z50" s="647">
        <f>Y50</f>
        <v>0</v>
      </c>
      <c r="AA50" s="817" t="s">
        <v>131</v>
      </c>
      <c r="AB50" s="817" t="s">
        <v>131</v>
      </c>
      <c r="AC50" s="817" t="s">
        <v>131</v>
      </c>
      <c r="AD50" s="817" t="s">
        <v>131</v>
      </c>
      <c r="AE50" s="834"/>
      <c r="AF50" s="817" t="s">
        <v>131</v>
      </c>
      <c r="AG50" s="817" t="s">
        <v>131</v>
      </c>
      <c r="AH50" s="817" t="s">
        <v>131</v>
      </c>
      <c r="AI50" s="817" t="s">
        <v>131</v>
      </c>
      <c r="AJ50" s="835"/>
      <c r="AK50" s="817" t="s">
        <v>131</v>
      </c>
      <c r="AL50" s="817" t="s">
        <v>131</v>
      </c>
      <c r="AM50" s="817" t="s">
        <v>131</v>
      </c>
      <c r="AN50" s="817" t="s">
        <v>131</v>
      </c>
      <c r="AO50" s="834"/>
      <c r="AP50" s="817" t="s">
        <v>131</v>
      </c>
      <c r="AQ50" s="817" t="s">
        <v>131</v>
      </c>
      <c r="AR50" s="817" t="s">
        <v>131</v>
      </c>
      <c r="AS50" s="817" t="s">
        <v>131</v>
      </c>
      <c r="AT50" s="834"/>
      <c r="AU50" s="817" t="s">
        <v>131</v>
      </c>
      <c r="AV50" s="817" t="s">
        <v>131</v>
      </c>
      <c r="AW50" s="817" t="s">
        <v>131</v>
      </c>
      <c r="AX50" s="817" t="s">
        <v>131</v>
      </c>
      <c r="AY50" s="834"/>
      <c r="AZ50" s="817" t="s">
        <v>131</v>
      </c>
      <c r="BA50" s="817" t="s">
        <v>131</v>
      </c>
      <c r="BB50" s="817" t="s">
        <v>131</v>
      </c>
      <c r="BC50" s="817" t="s">
        <v>131</v>
      </c>
      <c r="BD50" s="834"/>
      <c r="BE50" s="817" t="s">
        <v>131</v>
      </c>
      <c r="BF50" s="817" t="s">
        <v>131</v>
      </c>
      <c r="BG50" s="817" t="s">
        <v>131</v>
      </c>
      <c r="BH50" s="817" t="s">
        <v>131</v>
      </c>
      <c r="BI50" s="834"/>
      <c r="BJ50" s="817" t="s">
        <v>131</v>
      </c>
      <c r="BK50" s="817" t="s">
        <v>131</v>
      </c>
      <c r="BL50" s="817" t="s">
        <v>131</v>
      </c>
      <c r="BM50" s="817" t="s">
        <v>131</v>
      </c>
      <c r="BN50" s="834"/>
      <c r="BO50" s="817" t="s">
        <v>131</v>
      </c>
      <c r="BP50" s="817" t="s">
        <v>131</v>
      </c>
      <c r="BQ50" s="817" t="s">
        <v>131</v>
      </c>
      <c r="BR50" s="817" t="s">
        <v>131</v>
      </c>
      <c r="BS50" s="834"/>
      <c r="BT50" s="817" t="s">
        <v>131</v>
      </c>
      <c r="BU50" s="817" t="s">
        <v>131</v>
      </c>
      <c r="BV50" s="817" t="s">
        <v>131</v>
      </c>
      <c r="BW50" s="817" t="s">
        <v>131</v>
      </c>
      <c r="BX50" s="834"/>
      <c r="BY50" s="817" t="s">
        <v>131</v>
      </c>
      <c r="BZ50" s="817" t="s">
        <v>131</v>
      </c>
      <c r="CA50" s="817" t="s">
        <v>131</v>
      </c>
      <c r="CB50" s="817" t="s">
        <v>131</v>
      </c>
      <c r="CC50" s="834"/>
      <c r="CD50" s="817" t="s">
        <v>131</v>
      </c>
      <c r="CE50" s="817" t="s">
        <v>131</v>
      </c>
      <c r="CF50" s="817" t="s">
        <v>131</v>
      </c>
      <c r="CG50" s="817" t="s">
        <v>131</v>
      </c>
      <c r="CH50" s="834"/>
      <c r="CI50" s="817" t="s">
        <v>131</v>
      </c>
      <c r="CJ50" s="817" t="s">
        <v>131</v>
      </c>
      <c r="CK50" s="817" t="s">
        <v>131</v>
      </c>
      <c r="CL50" s="817" t="s">
        <v>131</v>
      </c>
      <c r="CM50" s="834"/>
      <c r="CN50" s="817" t="s">
        <v>131</v>
      </c>
      <c r="CO50" s="817" t="s">
        <v>131</v>
      </c>
      <c r="CP50" s="817" t="s">
        <v>131</v>
      </c>
      <c r="CQ50" s="817" t="s">
        <v>131</v>
      </c>
      <c r="CR50" s="834"/>
      <c r="CS50" s="817" t="s">
        <v>131</v>
      </c>
      <c r="CT50" s="817" t="s">
        <v>131</v>
      </c>
      <c r="CU50" s="817" t="s">
        <v>131</v>
      </c>
      <c r="CV50" s="817" t="s">
        <v>131</v>
      </c>
      <c r="CW50" s="834"/>
      <c r="CZ50" s="201"/>
      <c r="DA50" s="200"/>
      <c r="DB50" s="200"/>
    </row>
    <row r="51" spans="1:106" ht="13.5" hidden="1" outlineLevel="1" thickBot="1">
      <c r="A51" s="836" t="s">
        <v>194</v>
      </c>
      <c r="B51" s="837" t="s">
        <v>131</v>
      </c>
      <c r="C51" s="837" t="s">
        <v>131</v>
      </c>
      <c r="D51" s="837" t="s">
        <v>131</v>
      </c>
      <c r="E51" s="838">
        <v>0</v>
      </c>
      <c r="F51" s="839">
        <f>E51</f>
        <v>0</v>
      </c>
      <c r="G51" s="837" t="s">
        <v>131</v>
      </c>
      <c r="H51" s="837" t="s">
        <v>131</v>
      </c>
      <c r="I51" s="837" t="s">
        <v>131</v>
      </c>
      <c r="J51" s="838">
        <v>0</v>
      </c>
      <c r="K51" s="839">
        <f>J51</f>
        <v>0</v>
      </c>
      <c r="L51" s="837" t="s">
        <v>131</v>
      </c>
      <c r="M51" s="837" t="s">
        <v>131</v>
      </c>
      <c r="N51" s="837" t="s">
        <v>131</v>
      </c>
      <c r="O51" s="838">
        <v>0</v>
      </c>
      <c r="P51" s="839">
        <f>O51</f>
        <v>0</v>
      </c>
      <c r="Q51" s="837" t="s">
        <v>131</v>
      </c>
      <c r="R51" s="837" t="s">
        <v>131</v>
      </c>
      <c r="S51" s="837" t="s">
        <v>131</v>
      </c>
      <c r="T51" s="838">
        <v>0</v>
      </c>
      <c r="U51" s="839">
        <f>T51</f>
        <v>0</v>
      </c>
      <c r="V51" s="837" t="s">
        <v>131</v>
      </c>
      <c r="W51" s="837" t="s">
        <v>131</v>
      </c>
      <c r="X51" s="837" t="s">
        <v>131</v>
      </c>
      <c r="Y51" s="838">
        <v>0</v>
      </c>
      <c r="Z51" s="839">
        <f>Y51</f>
        <v>0</v>
      </c>
      <c r="AA51" s="837" t="s">
        <v>131</v>
      </c>
      <c r="AB51" s="837" t="s">
        <v>131</v>
      </c>
      <c r="AC51" s="837" t="s">
        <v>131</v>
      </c>
      <c r="AD51" s="837" t="s">
        <v>131</v>
      </c>
      <c r="AE51" s="839" t="s">
        <v>131</v>
      </c>
      <c r="AF51" s="837" t="s">
        <v>131</v>
      </c>
      <c r="AG51" s="837" t="s">
        <v>131</v>
      </c>
      <c r="AH51" s="837" t="s">
        <v>131</v>
      </c>
      <c r="AI51" s="837" t="s">
        <v>131</v>
      </c>
      <c r="AJ51" s="840" t="s">
        <v>131</v>
      </c>
      <c r="AK51" s="837" t="s">
        <v>131</v>
      </c>
      <c r="AL51" s="837" t="s">
        <v>131</v>
      </c>
      <c r="AM51" s="837" t="s">
        <v>131</v>
      </c>
      <c r="AN51" s="837" t="s">
        <v>131</v>
      </c>
      <c r="AO51" s="839" t="s">
        <v>131</v>
      </c>
      <c r="AP51" s="837" t="s">
        <v>131</v>
      </c>
      <c r="AQ51" s="837" t="s">
        <v>131</v>
      </c>
      <c r="AR51" s="837" t="s">
        <v>131</v>
      </c>
      <c r="AS51" s="837" t="s">
        <v>131</v>
      </c>
      <c r="AT51" s="839" t="s">
        <v>131</v>
      </c>
      <c r="AU51" s="837" t="s">
        <v>131</v>
      </c>
      <c r="AV51" s="837" t="s">
        <v>131</v>
      </c>
      <c r="AW51" s="837" t="s">
        <v>131</v>
      </c>
      <c r="AX51" s="837" t="s">
        <v>131</v>
      </c>
      <c r="AY51" s="839" t="s">
        <v>131</v>
      </c>
      <c r="AZ51" s="837" t="s">
        <v>131</v>
      </c>
      <c r="BA51" s="837" t="s">
        <v>131</v>
      </c>
      <c r="BB51" s="837" t="s">
        <v>131</v>
      </c>
      <c r="BC51" s="837" t="s">
        <v>131</v>
      </c>
      <c r="BD51" s="839" t="s">
        <v>131</v>
      </c>
      <c r="BE51" s="837" t="s">
        <v>131</v>
      </c>
      <c r="BF51" s="837" t="s">
        <v>131</v>
      </c>
      <c r="BG51" s="837" t="s">
        <v>131</v>
      </c>
      <c r="BH51" s="837" t="s">
        <v>131</v>
      </c>
      <c r="BI51" s="839" t="s">
        <v>131</v>
      </c>
      <c r="BJ51" s="837" t="s">
        <v>131</v>
      </c>
      <c r="BK51" s="837" t="s">
        <v>131</v>
      </c>
      <c r="BL51" s="837" t="s">
        <v>131</v>
      </c>
      <c r="BM51" s="837" t="s">
        <v>131</v>
      </c>
      <c r="BN51" s="839" t="s">
        <v>131</v>
      </c>
      <c r="BO51" s="837" t="s">
        <v>131</v>
      </c>
      <c r="BP51" s="837" t="s">
        <v>131</v>
      </c>
      <c r="BQ51" s="837" t="s">
        <v>131</v>
      </c>
      <c r="BR51" s="837" t="s">
        <v>131</v>
      </c>
      <c r="BS51" s="839" t="s">
        <v>131</v>
      </c>
      <c r="BT51" s="837" t="s">
        <v>131</v>
      </c>
      <c r="BU51" s="837" t="s">
        <v>131</v>
      </c>
      <c r="BV51" s="837" t="s">
        <v>131</v>
      </c>
      <c r="BW51" s="837" t="s">
        <v>131</v>
      </c>
      <c r="BX51" s="839" t="s">
        <v>131</v>
      </c>
      <c r="BY51" s="837" t="s">
        <v>131</v>
      </c>
      <c r="BZ51" s="837" t="s">
        <v>131</v>
      </c>
      <c r="CA51" s="837" t="s">
        <v>131</v>
      </c>
      <c r="CB51" s="837" t="s">
        <v>131</v>
      </c>
      <c r="CC51" s="839" t="s">
        <v>131</v>
      </c>
      <c r="CD51" s="837" t="s">
        <v>131</v>
      </c>
      <c r="CE51" s="837" t="s">
        <v>131</v>
      </c>
      <c r="CF51" s="837" t="s">
        <v>131</v>
      </c>
      <c r="CG51" s="837" t="s">
        <v>131</v>
      </c>
      <c r="CH51" s="839" t="s">
        <v>131</v>
      </c>
      <c r="CI51" s="837" t="s">
        <v>131</v>
      </c>
      <c r="CJ51" s="837" t="s">
        <v>131</v>
      </c>
      <c r="CK51" s="837" t="s">
        <v>131</v>
      </c>
      <c r="CL51" s="837" t="s">
        <v>131</v>
      </c>
      <c r="CM51" s="839" t="s">
        <v>131</v>
      </c>
      <c r="CN51" s="837" t="s">
        <v>131</v>
      </c>
      <c r="CO51" s="837" t="s">
        <v>131</v>
      </c>
      <c r="CP51" s="837" t="s">
        <v>131</v>
      </c>
      <c r="CQ51" s="837" t="s">
        <v>131</v>
      </c>
      <c r="CR51" s="839" t="s">
        <v>131</v>
      </c>
      <c r="CS51" s="837" t="s">
        <v>131</v>
      </c>
      <c r="CT51" s="837" t="s">
        <v>131</v>
      </c>
      <c r="CU51" s="837" t="s">
        <v>131</v>
      </c>
      <c r="CV51" s="837" t="s">
        <v>131</v>
      </c>
      <c r="CW51" s="839" t="s">
        <v>131</v>
      </c>
      <c r="CZ51" s="201"/>
      <c r="DA51" s="200"/>
      <c r="DB51" s="200"/>
    </row>
    <row r="52" spans="1:106" collapsed="1">
      <c r="A52" s="113" t="s">
        <v>178</v>
      </c>
      <c r="B52" s="812">
        <v>3066</v>
      </c>
      <c r="C52" s="812">
        <v>3161</v>
      </c>
      <c r="D52" s="812">
        <v>3233</v>
      </c>
      <c r="E52" s="812">
        <v>3043</v>
      </c>
      <c r="F52" s="814">
        <f>E52</f>
        <v>3043</v>
      </c>
      <c r="G52" s="812">
        <v>3054</v>
      </c>
      <c r="H52" s="812">
        <v>3510</v>
      </c>
      <c r="I52" s="812">
        <v>3557</v>
      </c>
      <c r="J52" s="812">
        <v>3319</v>
      </c>
      <c r="K52" s="814">
        <f>J52</f>
        <v>3319</v>
      </c>
      <c r="L52" s="812">
        <v>3377</v>
      </c>
      <c r="M52" s="812">
        <v>3440</v>
      </c>
      <c r="N52" s="812">
        <v>3486</v>
      </c>
      <c r="O52" s="812">
        <v>3515</v>
      </c>
      <c r="P52" s="814">
        <f>O52</f>
        <v>3515</v>
      </c>
      <c r="Q52" s="812">
        <v>3518</v>
      </c>
      <c r="R52" s="812">
        <v>3646</v>
      </c>
      <c r="S52" s="812">
        <v>3749</v>
      </c>
      <c r="T52" s="812">
        <v>3848</v>
      </c>
      <c r="U52" s="814">
        <f>T52</f>
        <v>3848</v>
      </c>
      <c r="V52" s="812">
        <v>4016</v>
      </c>
      <c r="W52" s="812">
        <v>4207</v>
      </c>
      <c r="X52" s="812">
        <v>4286</v>
      </c>
      <c r="Y52" s="812">
        <v>4285</v>
      </c>
      <c r="Z52" s="814">
        <f>Y52</f>
        <v>4285</v>
      </c>
      <c r="AA52" s="812">
        <v>5480</v>
      </c>
      <c r="AB52" s="812">
        <v>5678</v>
      </c>
      <c r="AC52" s="812">
        <v>5879</v>
      </c>
      <c r="AD52" s="812">
        <v>6068</v>
      </c>
      <c r="AE52" s="814">
        <f>AD52</f>
        <v>6068</v>
      </c>
      <c r="AF52" s="113">
        <v>6151</v>
      </c>
      <c r="AG52" s="113">
        <v>6427</v>
      </c>
      <c r="AH52" s="113">
        <v>6677</v>
      </c>
      <c r="AI52" s="113">
        <v>6794</v>
      </c>
      <c r="AJ52" s="816">
        <f>AI52</f>
        <v>6794</v>
      </c>
      <c r="AK52" s="113">
        <v>7037</v>
      </c>
      <c r="AL52" s="113"/>
      <c r="AM52" s="113"/>
      <c r="AN52" s="113"/>
      <c r="AO52" s="814">
        <f>AN52</f>
        <v>0</v>
      </c>
      <c r="AP52" s="113">
        <v>7173</v>
      </c>
      <c r="AQ52" s="113">
        <v>7437</v>
      </c>
      <c r="AR52" s="113">
        <v>7564</v>
      </c>
      <c r="AS52" s="113">
        <v>8660</v>
      </c>
      <c r="AT52" s="814">
        <f>AS52</f>
        <v>8660</v>
      </c>
      <c r="AU52" s="113">
        <v>8355</v>
      </c>
      <c r="AV52" s="113">
        <v>8541</v>
      </c>
      <c r="AW52" s="113">
        <v>8715</v>
      </c>
      <c r="AX52" s="113">
        <v>9117</v>
      </c>
      <c r="AY52" s="814">
        <f>AX52</f>
        <v>9117</v>
      </c>
      <c r="AZ52" s="113">
        <v>9503</v>
      </c>
      <c r="BA52" s="113">
        <v>9770</v>
      </c>
      <c r="BB52" s="113">
        <v>10041</v>
      </c>
      <c r="BC52" s="113">
        <v>9925</v>
      </c>
      <c r="BD52" s="814">
        <f>BC52</f>
        <v>9925</v>
      </c>
      <c r="BE52" s="1400">
        <v>9963</v>
      </c>
      <c r="BF52" s="1400">
        <v>10474</v>
      </c>
      <c r="BG52" s="1400">
        <v>10811</v>
      </c>
      <c r="BH52" s="1400">
        <v>11144</v>
      </c>
      <c r="BI52" s="1401">
        <f>BH52</f>
        <v>11144</v>
      </c>
      <c r="BJ52" s="1400">
        <v>11196</v>
      </c>
      <c r="BK52" s="1400">
        <v>11413</v>
      </c>
      <c r="BL52" s="1400">
        <v>12035</v>
      </c>
      <c r="BM52" s="364">
        <v>11847</v>
      </c>
      <c r="BN52" s="1401">
        <f>BM52</f>
        <v>11847</v>
      </c>
      <c r="BO52" s="113">
        <v>11802</v>
      </c>
      <c r="BP52" s="113">
        <v>12026</v>
      </c>
      <c r="BQ52" s="113">
        <v>12368</v>
      </c>
      <c r="BR52" s="113">
        <v>12499</v>
      </c>
      <c r="BS52" s="814">
        <f>BR52</f>
        <v>12499</v>
      </c>
      <c r="BT52" s="113">
        <v>12698</v>
      </c>
      <c r="BU52" s="113">
        <v>13266</v>
      </c>
      <c r="BV52" s="113">
        <v>13665</v>
      </c>
      <c r="BW52" s="113">
        <v>13893</v>
      </c>
      <c r="BX52" s="814">
        <f>BW52</f>
        <v>13893</v>
      </c>
      <c r="BY52" s="113">
        <v>14154</v>
      </c>
      <c r="BZ52" s="113">
        <v>14844</v>
      </c>
      <c r="CA52" s="113">
        <v>15381</v>
      </c>
      <c r="CB52" s="113">
        <v>15706</v>
      </c>
      <c r="CC52" s="814">
        <f>CB52</f>
        <v>15706</v>
      </c>
      <c r="CD52" s="113">
        <v>16637</v>
      </c>
      <c r="CE52" s="113">
        <v>17332</v>
      </c>
      <c r="CF52" s="113">
        <v>17788</v>
      </c>
      <c r="CG52" s="113">
        <v>17973</v>
      </c>
      <c r="CH52" s="814">
        <f>CG52</f>
        <v>17973</v>
      </c>
      <c r="CI52" s="113">
        <v>18133</v>
      </c>
      <c r="CJ52" s="113"/>
      <c r="CK52" s="113"/>
      <c r="CL52" s="113"/>
      <c r="CM52" s="814">
        <f>CL52</f>
        <v>0</v>
      </c>
      <c r="CN52" s="113"/>
      <c r="CO52" s="113"/>
      <c r="CP52" s="113"/>
      <c r="CQ52" s="113"/>
      <c r="CR52" s="814"/>
      <c r="CS52" s="113"/>
      <c r="CT52" s="113"/>
      <c r="CU52" s="113"/>
      <c r="CV52" s="113"/>
      <c r="CW52" s="814"/>
      <c r="CZ52" s="201"/>
      <c r="DA52" s="200"/>
      <c r="DB52" s="200"/>
    </row>
    <row r="53" spans="1:106">
      <c r="A53" s="206" t="s">
        <v>78</v>
      </c>
      <c r="B53" s="206"/>
      <c r="C53" s="206"/>
      <c r="D53" s="206"/>
      <c r="E53" s="206"/>
      <c r="F53" s="208"/>
      <c r="G53" s="206"/>
      <c r="H53" s="206"/>
      <c r="I53" s="206"/>
      <c r="J53" s="206"/>
      <c r="K53" s="208"/>
      <c r="L53" s="206"/>
      <c r="M53" s="206"/>
      <c r="N53" s="206"/>
      <c r="O53" s="206"/>
      <c r="P53" s="647"/>
      <c r="Q53" s="209"/>
      <c r="R53" s="209"/>
      <c r="S53" s="209"/>
      <c r="T53" s="209"/>
      <c r="U53" s="647"/>
      <c r="V53" s="209"/>
      <c r="W53" s="209"/>
      <c r="X53" s="209"/>
      <c r="Y53" s="209"/>
      <c r="Z53" s="647"/>
      <c r="AA53" s="209"/>
      <c r="AB53" s="209"/>
      <c r="AC53" s="209"/>
      <c r="AD53" s="209"/>
      <c r="AE53" s="647"/>
      <c r="AF53" s="209"/>
      <c r="AG53" s="209"/>
      <c r="AH53" s="209"/>
      <c r="AI53" s="209"/>
      <c r="AJ53" s="786"/>
      <c r="AK53" s="209"/>
      <c r="AL53" s="209"/>
      <c r="AM53" s="209"/>
      <c r="AN53" s="209"/>
      <c r="AO53" s="647"/>
      <c r="AP53" s="209"/>
      <c r="AQ53" s="209"/>
      <c r="AR53" s="209"/>
      <c r="AS53" s="209"/>
      <c r="AT53" s="647"/>
      <c r="AU53" s="209"/>
      <c r="AV53" s="209"/>
      <c r="AW53" s="209"/>
      <c r="AX53" s="209"/>
      <c r="AY53" s="647"/>
      <c r="AZ53" s="209"/>
      <c r="BA53" s="209"/>
      <c r="BB53" s="209"/>
      <c r="BC53" s="209"/>
      <c r="BD53" s="647"/>
      <c r="BE53" s="209"/>
      <c r="BF53" s="209"/>
      <c r="BG53" s="209"/>
      <c r="BH53" s="209"/>
      <c r="BI53" s="647"/>
      <c r="BJ53" s="209"/>
      <c r="BK53" s="209"/>
      <c r="BL53" s="209"/>
      <c r="BM53" s="209"/>
      <c r="BN53" s="647"/>
      <c r="BO53" s="209"/>
      <c r="BP53" s="209"/>
      <c r="BQ53" s="209"/>
      <c r="BR53" s="209"/>
      <c r="BS53" s="647"/>
      <c r="BT53" s="822">
        <f>BT52/BR52-1</f>
        <v>1.592127370189611E-2</v>
      </c>
      <c r="BU53" s="822">
        <f>BU52/BT52-1</f>
        <v>4.4731453772247631E-2</v>
      </c>
      <c r="BV53" s="822">
        <f>BV52/BU52-1</f>
        <v>3.0076888285843539E-2</v>
      </c>
      <c r="BW53" s="822">
        <f>BW52/BV52-1</f>
        <v>1.6684961580680557E-2</v>
      </c>
      <c r="BX53" s="1651">
        <f>BX52/BS52-1</f>
        <v>0.11152892231378519</v>
      </c>
      <c r="BY53" s="1645">
        <f>BY52/BW52-1</f>
        <v>1.8786439213992701E-2</v>
      </c>
      <c r="BZ53" s="822">
        <f>BZ52/BY52-1</f>
        <v>4.8749470114455296E-2</v>
      </c>
      <c r="CA53" s="822">
        <f>CA52/BZ52-1</f>
        <v>3.6176232821341969E-2</v>
      </c>
      <c r="CB53" s="822">
        <f>CB52/CA52-1</f>
        <v>2.1129965541902385E-2</v>
      </c>
      <c r="CC53" s="1651">
        <f>CC52/BX52-1</f>
        <v>0.13049737277765772</v>
      </c>
      <c r="CD53" s="1645">
        <f>CD52/CB52-1</f>
        <v>5.9276709537756211E-2</v>
      </c>
      <c r="CE53" s="822">
        <f>CE52/CD52-1</f>
        <v>4.1774358357877128E-2</v>
      </c>
      <c r="CF53" s="822">
        <f>CF52/CE52-1</f>
        <v>2.6309716132010053E-2</v>
      </c>
      <c r="CG53" s="822">
        <f>CG52/CF52-1</f>
        <v>1.0400269844839327E-2</v>
      </c>
      <c r="CH53" s="1651">
        <f>CH52/CC52-1</f>
        <v>0.14433974277346229</v>
      </c>
      <c r="CI53" s="1645">
        <f>CI52/CG52-1</f>
        <v>8.9022422522673228E-3</v>
      </c>
      <c r="CJ53" s="209"/>
      <c r="CK53" s="209"/>
      <c r="CL53" s="209"/>
      <c r="CM53" s="647"/>
      <c r="CN53" s="209"/>
      <c r="CO53" s="209"/>
      <c r="CP53" s="209"/>
      <c r="CQ53" s="209"/>
      <c r="CR53" s="647"/>
      <c r="CS53" s="209"/>
      <c r="CT53" s="209"/>
      <c r="CU53" s="209"/>
      <c r="CV53" s="209"/>
      <c r="CW53" s="647"/>
      <c r="CZ53" s="201"/>
      <c r="DA53" s="200"/>
      <c r="DB53" s="200"/>
    </row>
    <row r="54" spans="1:106" ht="11.25" hidden="1" customHeight="1" outlineLevel="1">
      <c r="A54" s="114"/>
      <c r="B54" s="117"/>
      <c r="C54" s="117"/>
      <c r="D54" s="117"/>
      <c r="E54" s="117"/>
      <c r="F54" s="119"/>
      <c r="G54" s="117"/>
      <c r="H54" s="117"/>
      <c r="I54" s="117"/>
      <c r="J54" s="117"/>
      <c r="K54" s="119"/>
      <c r="L54" s="117"/>
      <c r="M54" s="117"/>
      <c r="N54" s="117"/>
      <c r="O54" s="117"/>
      <c r="P54" s="119"/>
      <c r="Q54" s="117"/>
      <c r="R54" s="117"/>
      <c r="S54" s="117"/>
      <c r="T54" s="117"/>
      <c r="U54" s="119"/>
      <c r="V54" s="117"/>
      <c r="W54" s="117"/>
      <c r="X54" s="117"/>
      <c r="Y54" s="117"/>
      <c r="Z54" s="119"/>
      <c r="AA54" s="202"/>
      <c r="AB54" s="202">
        <f>AB52-AA52</f>
        <v>198</v>
      </c>
      <c r="AC54" s="202">
        <f>AC52-AB52</f>
        <v>201</v>
      </c>
      <c r="AD54" s="202">
        <f>AD52-AC52</f>
        <v>189</v>
      </c>
      <c r="AE54" s="119"/>
      <c r="AF54" s="202">
        <f>AF52-AD52</f>
        <v>83</v>
      </c>
      <c r="AG54" s="202">
        <f>AG52-AF52</f>
        <v>276</v>
      </c>
      <c r="AH54" s="202">
        <f>AH52-AG52</f>
        <v>250</v>
      </c>
      <c r="AI54" s="202">
        <f>AI52-AH52</f>
        <v>117</v>
      </c>
      <c r="AJ54" s="119"/>
      <c r="AK54" s="202">
        <f>AK52-AI52</f>
        <v>243</v>
      </c>
      <c r="AL54" s="202"/>
      <c r="AM54" s="117"/>
      <c r="AN54" s="117"/>
      <c r="AO54" s="119"/>
      <c r="AP54" s="117"/>
      <c r="AQ54" s="117"/>
      <c r="AR54" s="117"/>
      <c r="AS54" s="117"/>
      <c r="AT54" s="119"/>
      <c r="AU54" s="117"/>
      <c r="AV54" s="117"/>
      <c r="AW54" s="117"/>
      <c r="AX54" s="117"/>
      <c r="AY54" s="119"/>
      <c r="AZ54" s="117"/>
      <c r="BA54" s="117"/>
      <c r="BB54" s="117"/>
      <c r="BC54" s="117"/>
      <c r="BD54" s="119"/>
      <c r="BE54" s="117"/>
      <c r="BF54" s="117"/>
      <c r="BG54" s="117"/>
      <c r="BH54" s="117"/>
      <c r="BI54" s="119"/>
      <c r="BJ54" s="117"/>
      <c r="BK54" s="117"/>
      <c r="BL54" s="117"/>
      <c r="BM54" s="117"/>
      <c r="BN54" s="119"/>
      <c r="BO54" s="117"/>
      <c r="BP54" s="117"/>
      <c r="BQ54" s="117"/>
      <c r="BR54" s="117"/>
      <c r="BS54" s="119"/>
      <c r="BT54" s="117"/>
      <c r="BU54" s="117"/>
      <c r="BV54" s="117"/>
      <c r="BW54" s="117"/>
      <c r="BX54" s="119"/>
      <c r="BY54" s="117"/>
      <c r="BZ54" s="117"/>
      <c r="CA54" s="117"/>
      <c r="CB54" s="117"/>
      <c r="CC54" s="119"/>
      <c r="CD54" s="117"/>
      <c r="CE54" s="117"/>
      <c r="CF54" s="117"/>
      <c r="CG54" s="117"/>
      <c r="CH54" s="119"/>
      <c r="CI54" s="117"/>
      <c r="CJ54" s="117"/>
      <c r="CK54" s="117"/>
      <c r="CL54" s="117"/>
      <c r="CM54" s="119"/>
      <c r="CN54" s="117"/>
      <c r="CO54" s="117"/>
      <c r="CP54" s="117"/>
      <c r="CQ54" s="117"/>
      <c r="CR54" s="119"/>
      <c r="CS54" s="117"/>
      <c r="CT54" s="117"/>
      <c r="CU54" s="117"/>
      <c r="CV54" s="117"/>
      <c r="CW54" s="119"/>
      <c r="CZ54" s="126"/>
      <c r="DA54" s="117"/>
      <c r="DB54" s="117"/>
    </row>
    <row r="55" spans="1:106" hidden="1" outlineLevel="1">
      <c r="A55" s="828" t="s">
        <v>10</v>
      </c>
      <c r="B55" s="799"/>
      <c r="C55" s="799"/>
      <c r="D55" s="799"/>
      <c r="E55" s="799">
        <f>(Model!F24*1000)/Metrics!E52</f>
        <v>86.93394676306275</v>
      </c>
      <c r="F55" s="800">
        <f>(Model!G24*1000)/Metrics!F52</f>
        <v>404.11436082813015</v>
      </c>
      <c r="G55" s="799">
        <f>(Model!H24*1000)/Metrics!G52</f>
        <v>87.719711853307132</v>
      </c>
      <c r="H55" s="799">
        <f>(Model!I24*1000)/Metrics!H52</f>
        <v>90.415669515669535</v>
      </c>
      <c r="I55" s="799">
        <f>(Model!J24*1000)/Metrics!I52</f>
        <v>80.089682316558893</v>
      </c>
      <c r="J55" s="799">
        <f>(Model!K24*1000)/Metrics!J52</f>
        <v>88.777945164206088</v>
      </c>
      <c r="K55" s="800">
        <f>(Model!L24*1000)/Metrics!K52</f>
        <v>350.94546550165711</v>
      </c>
      <c r="L55" s="799">
        <f>(Model!M24*1000)/Metrics!L52</f>
        <v>87.916790050340538</v>
      </c>
      <c r="M55" s="799">
        <f>(Model!N24*1000)/Metrics!M52</f>
        <v>93.065697674418587</v>
      </c>
      <c r="N55" s="799">
        <f>(Model!O24*1000)/Metrics!N52</f>
        <v>91.543889845094654</v>
      </c>
      <c r="O55" s="799">
        <f>(Model!P24*1000)/Metrics!O52</f>
        <v>102.01593172119485</v>
      </c>
      <c r="P55" s="800">
        <f>(Model!Q24*1000)/Metrics!P52</f>
        <v>368.34964438122324</v>
      </c>
      <c r="Q55" s="799">
        <f>(Model!R24*1000)/Metrics!Q52</f>
        <v>120.31864695849914</v>
      </c>
      <c r="R55" s="799">
        <f>(Model!S24*1000)/Metrics!R52</f>
        <v>112.47531541415249</v>
      </c>
      <c r="S55" s="799">
        <f>(Model!T24*1000)/Metrics!S52</f>
        <v>107.68551613763668</v>
      </c>
      <c r="T55" s="799">
        <f>(Model!U24*1000)/Metrics!T52</f>
        <v>111.61694386694386</v>
      </c>
      <c r="U55" s="800">
        <f>(Model!V24*1000)/Metrics!U52</f>
        <v>433.10317047817051</v>
      </c>
      <c r="V55" s="799">
        <f>(Model!W24*1000)/Metrics!V52</f>
        <v>117.74950199203187</v>
      </c>
      <c r="W55" s="799">
        <f>(Model!X24*1000)/Metrics!W52</f>
        <v>117.90563346802948</v>
      </c>
      <c r="X55" s="799">
        <f>(Model!Y24*1000)/Metrics!X52</f>
        <v>113.63485767615492</v>
      </c>
      <c r="Y55" s="799">
        <f>(Model!Z24*1000)/Metrics!Y52</f>
        <v>119.10641773628942</v>
      </c>
      <c r="Z55" s="800">
        <f>(Model!AA24*1000)/Metrics!Z52</f>
        <v>458.88471411901986</v>
      </c>
      <c r="AA55" s="799">
        <f>(Model!AB24*1000)/Metrics!AA52</f>
        <v>119.61277372262776</v>
      </c>
      <c r="AB55" s="799">
        <f>(Model!AC24*1000)/Metrics!AB52</f>
        <v>111.91546319126454</v>
      </c>
      <c r="AC55" s="799">
        <f>(Model!AD24*1000)/Metrics!AC52</f>
        <v>102.43085558768496</v>
      </c>
      <c r="AD55" s="799">
        <f>(Model!AE24*1000)/Metrics!AD52</f>
        <v>112.4217205009888</v>
      </c>
      <c r="AE55" s="800">
        <f>(Model!AF24*1000)/Metrics!AE52</f>
        <v>424.40672379696764</v>
      </c>
      <c r="AF55" s="799">
        <f>(Model!AG24*1000)/Metrics!AF52</f>
        <v>105.57746707852382</v>
      </c>
      <c r="AG55" s="799">
        <f>(Model!AH24*1000)/Metrics!AG52</f>
        <v>116.00700171152948</v>
      </c>
      <c r="AH55" s="799">
        <f>(Model!AI24*1000)/Metrics!AH52</f>
        <v>127.55518945634265</v>
      </c>
      <c r="AI55" s="799">
        <f>(Model!AJ24*1000)/Metrics!AI52</f>
        <v>134.11995878716513</v>
      </c>
      <c r="AJ55" s="841">
        <f>(Model!AK24*1000)/Metrics!AJ52</f>
        <v>464.80438622313807</v>
      </c>
      <c r="AK55" s="799">
        <f>(Model!AL24*1000)/Metrics!AK52</f>
        <v>126.53758703993178</v>
      </c>
      <c r="AL55" s="829" t="s">
        <v>131</v>
      </c>
      <c r="AM55" s="829" t="s">
        <v>131</v>
      </c>
      <c r="AN55" s="829" t="s">
        <v>131</v>
      </c>
      <c r="AO55" s="831" t="s">
        <v>131</v>
      </c>
      <c r="AP55" s="829" t="s">
        <v>131</v>
      </c>
      <c r="AQ55" s="829" t="s">
        <v>131</v>
      </c>
      <c r="AR55" s="829" t="s">
        <v>131</v>
      </c>
      <c r="AS55" s="829" t="s">
        <v>131</v>
      </c>
      <c r="AT55" s="831" t="s">
        <v>131</v>
      </c>
      <c r="AU55" s="829" t="s">
        <v>131</v>
      </c>
      <c r="AV55" s="829" t="s">
        <v>131</v>
      </c>
      <c r="AW55" s="829" t="s">
        <v>131</v>
      </c>
      <c r="AX55" s="829" t="s">
        <v>131</v>
      </c>
      <c r="AY55" s="831" t="s">
        <v>131</v>
      </c>
      <c r="AZ55" s="829" t="s">
        <v>131</v>
      </c>
      <c r="BA55" s="829" t="s">
        <v>131</v>
      </c>
      <c r="BB55" s="829" t="s">
        <v>131</v>
      </c>
      <c r="BC55" s="829" t="s">
        <v>131</v>
      </c>
      <c r="BD55" s="831" t="s">
        <v>131</v>
      </c>
      <c r="BE55" s="829" t="s">
        <v>131</v>
      </c>
      <c r="BF55" s="829" t="s">
        <v>131</v>
      </c>
      <c r="BG55" s="829" t="s">
        <v>131</v>
      </c>
      <c r="BH55" s="829" t="s">
        <v>131</v>
      </c>
      <c r="BI55" s="831" t="s">
        <v>131</v>
      </c>
      <c r="BJ55" s="829" t="s">
        <v>131</v>
      </c>
      <c r="BK55" s="829" t="s">
        <v>131</v>
      </c>
      <c r="BL55" s="829" t="s">
        <v>131</v>
      </c>
      <c r="BM55" s="829" t="s">
        <v>131</v>
      </c>
      <c r="BN55" s="831" t="s">
        <v>131</v>
      </c>
      <c r="BO55" s="829" t="s">
        <v>131</v>
      </c>
      <c r="BP55" s="829" t="s">
        <v>131</v>
      </c>
      <c r="BQ55" s="829" t="s">
        <v>131</v>
      </c>
      <c r="BR55" s="829" t="s">
        <v>131</v>
      </c>
      <c r="BS55" s="831" t="s">
        <v>131</v>
      </c>
      <c r="BT55" s="829" t="s">
        <v>131</v>
      </c>
      <c r="BU55" s="829" t="s">
        <v>131</v>
      </c>
      <c r="BV55" s="829" t="s">
        <v>131</v>
      </c>
      <c r="BW55" s="829" t="s">
        <v>131</v>
      </c>
      <c r="BX55" s="831" t="s">
        <v>131</v>
      </c>
      <c r="BY55" s="829" t="s">
        <v>131</v>
      </c>
      <c r="BZ55" s="829" t="s">
        <v>131</v>
      </c>
      <c r="CA55" s="829" t="s">
        <v>131</v>
      </c>
      <c r="CB55" s="829" t="s">
        <v>131</v>
      </c>
      <c r="CC55" s="831" t="s">
        <v>131</v>
      </c>
      <c r="CD55" s="829" t="s">
        <v>131</v>
      </c>
      <c r="CE55" s="829" t="s">
        <v>131</v>
      </c>
      <c r="CF55" s="829" t="s">
        <v>131</v>
      </c>
      <c r="CG55" s="829" t="s">
        <v>131</v>
      </c>
      <c r="CH55" s="831" t="s">
        <v>131</v>
      </c>
      <c r="CI55" s="829" t="s">
        <v>131</v>
      </c>
      <c r="CJ55" s="829" t="s">
        <v>131</v>
      </c>
      <c r="CK55" s="829" t="s">
        <v>131</v>
      </c>
      <c r="CL55" s="829" t="s">
        <v>131</v>
      </c>
      <c r="CM55" s="831" t="s">
        <v>131</v>
      </c>
      <c r="CN55" s="829" t="s">
        <v>131</v>
      </c>
      <c r="CO55" s="829" t="s">
        <v>131</v>
      </c>
      <c r="CP55" s="829" t="s">
        <v>131</v>
      </c>
      <c r="CQ55" s="829" t="s">
        <v>131</v>
      </c>
      <c r="CR55" s="831" t="s">
        <v>131</v>
      </c>
      <c r="CS55" s="829" t="s">
        <v>131</v>
      </c>
      <c r="CT55" s="829" t="s">
        <v>131</v>
      </c>
      <c r="CU55" s="829" t="s">
        <v>131</v>
      </c>
      <c r="CV55" s="829" t="s">
        <v>131</v>
      </c>
      <c r="CW55" s="831" t="s">
        <v>131</v>
      </c>
      <c r="CZ55" s="201"/>
      <c r="DA55" s="200"/>
      <c r="DB55" s="200"/>
    </row>
    <row r="56" spans="1:106" hidden="1" outlineLevel="1">
      <c r="A56" s="206" t="s">
        <v>12</v>
      </c>
      <c r="B56" s="192"/>
      <c r="C56" s="192"/>
      <c r="D56" s="192"/>
      <c r="E56" s="192"/>
      <c r="F56" s="139"/>
      <c r="G56" s="192" t="s">
        <v>131</v>
      </c>
      <c r="H56" s="192" t="s">
        <v>131</v>
      </c>
      <c r="I56" s="192" t="s">
        <v>131</v>
      </c>
      <c r="J56" s="192" t="s">
        <v>131</v>
      </c>
      <c r="K56" s="191" t="s">
        <v>131</v>
      </c>
      <c r="L56" s="192" t="s">
        <v>131</v>
      </c>
      <c r="M56" s="192" t="s">
        <v>131</v>
      </c>
      <c r="N56" s="192" t="s">
        <v>131</v>
      </c>
      <c r="O56" s="192" t="s">
        <v>131</v>
      </c>
      <c r="P56" s="191" t="s">
        <v>131</v>
      </c>
      <c r="Q56" s="192" t="s">
        <v>131</v>
      </c>
      <c r="R56" s="192" t="s">
        <v>131</v>
      </c>
      <c r="S56" s="192" t="s">
        <v>131</v>
      </c>
      <c r="T56" s="192" t="s">
        <v>131</v>
      </c>
      <c r="U56" s="191" t="s">
        <v>131</v>
      </c>
      <c r="V56" s="192" t="s">
        <v>131</v>
      </c>
      <c r="W56" s="192" t="s">
        <v>131</v>
      </c>
      <c r="X56" s="192" t="s">
        <v>131</v>
      </c>
      <c r="Y56" s="192" t="s">
        <v>131</v>
      </c>
      <c r="Z56" s="191" t="s">
        <v>131</v>
      </c>
      <c r="AA56" s="192" t="s">
        <v>131</v>
      </c>
      <c r="AB56" s="192" t="s">
        <v>131</v>
      </c>
      <c r="AC56" s="192" t="s">
        <v>131</v>
      </c>
      <c r="AD56" s="192" t="s">
        <v>131</v>
      </c>
      <c r="AE56" s="191" t="s">
        <v>131</v>
      </c>
      <c r="AF56" s="192" t="s">
        <v>131</v>
      </c>
      <c r="AG56" s="192" t="s">
        <v>131</v>
      </c>
      <c r="AH56" s="192" t="s">
        <v>131</v>
      </c>
      <c r="AI56" s="192" t="s">
        <v>131</v>
      </c>
      <c r="AJ56" s="794" t="s">
        <v>131</v>
      </c>
      <c r="AK56" s="192" t="s">
        <v>131</v>
      </c>
      <c r="AL56" s="192" t="s">
        <v>131</v>
      </c>
      <c r="AM56" s="192" t="s">
        <v>131</v>
      </c>
      <c r="AN56" s="192" t="s">
        <v>131</v>
      </c>
      <c r="AO56" s="191" t="s">
        <v>131</v>
      </c>
      <c r="AP56" s="192" t="s">
        <v>131</v>
      </c>
      <c r="AQ56" s="192" t="s">
        <v>131</v>
      </c>
      <c r="AR56" s="192" t="s">
        <v>131</v>
      </c>
      <c r="AS56" s="192" t="s">
        <v>131</v>
      </c>
      <c r="AT56" s="191" t="s">
        <v>131</v>
      </c>
      <c r="AU56" s="192" t="s">
        <v>131</v>
      </c>
      <c r="AV56" s="192" t="s">
        <v>131</v>
      </c>
      <c r="AW56" s="192" t="s">
        <v>131</v>
      </c>
      <c r="AX56" s="192" t="s">
        <v>131</v>
      </c>
      <c r="AY56" s="191" t="s">
        <v>131</v>
      </c>
      <c r="AZ56" s="192" t="s">
        <v>131</v>
      </c>
      <c r="BA56" s="192" t="s">
        <v>131</v>
      </c>
      <c r="BB56" s="192" t="s">
        <v>131</v>
      </c>
      <c r="BC56" s="192" t="s">
        <v>131</v>
      </c>
      <c r="BD56" s="191" t="s">
        <v>131</v>
      </c>
      <c r="BE56" s="192" t="s">
        <v>131</v>
      </c>
      <c r="BF56" s="192" t="s">
        <v>131</v>
      </c>
      <c r="BG56" s="192" t="s">
        <v>131</v>
      </c>
      <c r="BH56" s="192" t="s">
        <v>131</v>
      </c>
      <c r="BI56" s="191" t="s">
        <v>131</v>
      </c>
      <c r="BJ56" s="192" t="s">
        <v>131</v>
      </c>
      <c r="BK56" s="192" t="s">
        <v>131</v>
      </c>
      <c r="BL56" s="192" t="s">
        <v>131</v>
      </c>
      <c r="BM56" s="192" t="s">
        <v>131</v>
      </c>
      <c r="BN56" s="191" t="s">
        <v>131</v>
      </c>
      <c r="BO56" s="192" t="s">
        <v>131</v>
      </c>
      <c r="BP56" s="192" t="s">
        <v>131</v>
      </c>
      <c r="BQ56" s="192" t="s">
        <v>131</v>
      </c>
      <c r="BR56" s="192" t="s">
        <v>131</v>
      </c>
      <c r="BS56" s="191" t="s">
        <v>131</v>
      </c>
      <c r="BT56" s="192" t="s">
        <v>131</v>
      </c>
      <c r="BU56" s="192" t="s">
        <v>131</v>
      </c>
      <c r="BV56" s="192" t="s">
        <v>131</v>
      </c>
      <c r="BW56" s="192" t="s">
        <v>131</v>
      </c>
      <c r="BX56" s="191" t="s">
        <v>131</v>
      </c>
      <c r="BY56" s="192" t="s">
        <v>131</v>
      </c>
      <c r="BZ56" s="192" t="s">
        <v>131</v>
      </c>
      <c r="CA56" s="192" t="s">
        <v>131</v>
      </c>
      <c r="CB56" s="192" t="s">
        <v>131</v>
      </c>
      <c r="CC56" s="191" t="s">
        <v>131</v>
      </c>
      <c r="CD56" s="192" t="s">
        <v>131</v>
      </c>
      <c r="CE56" s="192" t="s">
        <v>131</v>
      </c>
      <c r="CF56" s="192" t="s">
        <v>131</v>
      </c>
      <c r="CG56" s="192" t="s">
        <v>131</v>
      </c>
      <c r="CH56" s="191" t="s">
        <v>131</v>
      </c>
      <c r="CI56" s="192" t="s">
        <v>131</v>
      </c>
      <c r="CJ56" s="192" t="s">
        <v>131</v>
      </c>
      <c r="CK56" s="192" t="s">
        <v>131</v>
      </c>
      <c r="CL56" s="192" t="s">
        <v>131</v>
      </c>
      <c r="CM56" s="191" t="s">
        <v>131</v>
      </c>
      <c r="CN56" s="192" t="s">
        <v>131</v>
      </c>
      <c r="CO56" s="192" t="s">
        <v>131</v>
      </c>
      <c r="CP56" s="192" t="s">
        <v>131</v>
      </c>
      <c r="CQ56" s="192" t="s">
        <v>131</v>
      </c>
      <c r="CR56" s="191" t="s">
        <v>131</v>
      </c>
      <c r="CS56" s="192" t="s">
        <v>131</v>
      </c>
      <c r="CT56" s="192" t="s">
        <v>131</v>
      </c>
      <c r="CU56" s="192" t="s">
        <v>131</v>
      </c>
      <c r="CV56" s="192" t="s">
        <v>131</v>
      </c>
      <c r="CW56" s="191" t="s">
        <v>131</v>
      </c>
      <c r="CZ56" s="201"/>
      <c r="DA56" s="200"/>
      <c r="DB56" s="200"/>
    </row>
    <row r="57" spans="1:106" hidden="1" outlineLevel="1">
      <c r="A57" s="113" t="s">
        <v>11</v>
      </c>
      <c r="B57" s="810"/>
      <c r="C57" s="810"/>
      <c r="D57" s="810"/>
      <c r="E57" s="810"/>
      <c r="F57" s="820"/>
      <c r="G57" s="810" t="s">
        <v>131</v>
      </c>
      <c r="H57" s="810" t="s">
        <v>131</v>
      </c>
      <c r="I57" s="810" t="s">
        <v>131</v>
      </c>
      <c r="J57" s="810" t="s">
        <v>131</v>
      </c>
      <c r="K57" s="811" t="s">
        <v>131</v>
      </c>
      <c r="L57" s="810" t="s">
        <v>131</v>
      </c>
      <c r="M57" s="810" t="s">
        <v>131</v>
      </c>
      <c r="N57" s="810" t="s">
        <v>131</v>
      </c>
      <c r="O57" s="810" t="s">
        <v>131</v>
      </c>
      <c r="P57" s="811" t="s">
        <v>131</v>
      </c>
      <c r="Q57" s="810" t="s">
        <v>131</v>
      </c>
      <c r="R57" s="810" t="s">
        <v>131</v>
      </c>
      <c r="S57" s="810" t="s">
        <v>131</v>
      </c>
      <c r="T57" s="810" t="s">
        <v>131</v>
      </c>
      <c r="U57" s="811" t="s">
        <v>131</v>
      </c>
      <c r="V57" s="810" t="s">
        <v>131</v>
      </c>
      <c r="W57" s="810" t="s">
        <v>131</v>
      </c>
      <c r="X57" s="810" t="s">
        <v>131</v>
      </c>
      <c r="Y57" s="810" t="s">
        <v>131</v>
      </c>
      <c r="Z57" s="811" t="s">
        <v>131</v>
      </c>
      <c r="AA57" s="810" t="s">
        <v>131</v>
      </c>
      <c r="AB57" s="810" t="s">
        <v>131</v>
      </c>
      <c r="AC57" s="810" t="s">
        <v>131</v>
      </c>
      <c r="AD57" s="810" t="s">
        <v>131</v>
      </c>
      <c r="AE57" s="811" t="s">
        <v>131</v>
      </c>
      <c r="AF57" s="810" t="s">
        <v>131</v>
      </c>
      <c r="AG57" s="810" t="s">
        <v>131</v>
      </c>
      <c r="AH57" s="810" t="s">
        <v>131</v>
      </c>
      <c r="AI57" s="810" t="s">
        <v>131</v>
      </c>
      <c r="AJ57" s="842" t="s">
        <v>131</v>
      </c>
      <c r="AK57" s="810" t="s">
        <v>131</v>
      </c>
      <c r="AL57" s="810" t="s">
        <v>131</v>
      </c>
      <c r="AM57" s="810" t="s">
        <v>131</v>
      </c>
      <c r="AN57" s="810" t="s">
        <v>131</v>
      </c>
      <c r="AO57" s="811" t="s">
        <v>131</v>
      </c>
      <c r="AP57" s="810" t="s">
        <v>131</v>
      </c>
      <c r="AQ57" s="810" t="s">
        <v>131</v>
      </c>
      <c r="AR57" s="810" t="s">
        <v>131</v>
      </c>
      <c r="AS57" s="810" t="s">
        <v>131</v>
      </c>
      <c r="AT57" s="811" t="s">
        <v>131</v>
      </c>
      <c r="AU57" s="810" t="s">
        <v>131</v>
      </c>
      <c r="AV57" s="810" t="s">
        <v>131</v>
      </c>
      <c r="AW57" s="810" t="s">
        <v>131</v>
      </c>
      <c r="AX57" s="810" t="s">
        <v>131</v>
      </c>
      <c r="AY57" s="811" t="s">
        <v>131</v>
      </c>
      <c r="AZ57" s="810" t="s">
        <v>131</v>
      </c>
      <c r="BA57" s="810" t="s">
        <v>131</v>
      </c>
      <c r="BB57" s="810" t="s">
        <v>131</v>
      </c>
      <c r="BC57" s="810" t="s">
        <v>131</v>
      </c>
      <c r="BD57" s="811" t="s">
        <v>131</v>
      </c>
      <c r="BE57" s="810" t="s">
        <v>131</v>
      </c>
      <c r="BF57" s="810" t="s">
        <v>131</v>
      </c>
      <c r="BG57" s="810" t="s">
        <v>131</v>
      </c>
      <c r="BH57" s="810" t="s">
        <v>131</v>
      </c>
      <c r="BI57" s="811" t="s">
        <v>131</v>
      </c>
      <c r="BJ57" s="810" t="s">
        <v>131</v>
      </c>
      <c r="BK57" s="810" t="s">
        <v>131</v>
      </c>
      <c r="BL57" s="810" t="s">
        <v>131</v>
      </c>
      <c r="BM57" s="810" t="s">
        <v>131</v>
      </c>
      <c r="BN57" s="811" t="s">
        <v>131</v>
      </c>
      <c r="BO57" s="810" t="s">
        <v>131</v>
      </c>
      <c r="BP57" s="810" t="s">
        <v>131</v>
      </c>
      <c r="BQ57" s="810" t="s">
        <v>131</v>
      </c>
      <c r="BR57" s="810" t="s">
        <v>131</v>
      </c>
      <c r="BS57" s="811" t="s">
        <v>131</v>
      </c>
      <c r="BT57" s="810" t="s">
        <v>131</v>
      </c>
      <c r="BU57" s="810" t="s">
        <v>131</v>
      </c>
      <c r="BV57" s="810" t="s">
        <v>131</v>
      </c>
      <c r="BW57" s="810" t="s">
        <v>131</v>
      </c>
      <c r="BX57" s="811" t="s">
        <v>131</v>
      </c>
      <c r="BY57" s="810" t="s">
        <v>131</v>
      </c>
      <c r="BZ57" s="810" t="s">
        <v>131</v>
      </c>
      <c r="CA57" s="810" t="s">
        <v>131</v>
      </c>
      <c r="CB57" s="810" t="s">
        <v>131</v>
      </c>
      <c r="CC57" s="811" t="s">
        <v>131</v>
      </c>
      <c r="CD57" s="810" t="s">
        <v>131</v>
      </c>
      <c r="CE57" s="810" t="s">
        <v>131</v>
      </c>
      <c r="CF57" s="810" t="s">
        <v>131</v>
      </c>
      <c r="CG57" s="810" t="s">
        <v>131</v>
      </c>
      <c r="CH57" s="811" t="s">
        <v>131</v>
      </c>
      <c r="CI57" s="810" t="s">
        <v>131</v>
      </c>
      <c r="CJ57" s="810" t="s">
        <v>131</v>
      </c>
      <c r="CK57" s="810" t="s">
        <v>131</v>
      </c>
      <c r="CL57" s="810" t="s">
        <v>131</v>
      </c>
      <c r="CM57" s="811" t="s">
        <v>131</v>
      </c>
      <c r="CN57" s="810" t="s">
        <v>131</v>
      </c>
      <c r="CO57" s="810" t="s">
        <v>131</v>
      </c>
      <c r="CP57" s="810" t="s">
        <v>131</v>
      </c>
      <c r="CQ57" s="810" t="s">
        <v>131</v>
      </c>
      <c r="CR57" s="811" t="s">
        <v>131</v>
      </c>
      <c r="CS57" s="810" t="s">
        <v>131</v>
      </c>
      <c r="CT57" s="810" t="s">
        <v>131</v>
      </c>
      <c r="CU57" s="810" t="s">
        <v>131</v>
      </c>
      <c r="CV57" s="810" t="s">
        <v>131</v>
      </c>
      <c r="CW57" s="811" t="s">
        <v>131</v>
      </c>
      <c r="CZ57" s="201"/>
      <c r="DA57" s="200"/>
      <c r="DB57" s="200"/>
    </row>
    <row r="58" spans="1:106" hidden="1" outlineLevel="1">
      <c r="A58" s="206"/>
      <c r="B58" s="192"/>
      <c r="C58" s="192"/>
      <c r="D58" s="192"/>
      <c r="E58" s="192"/>
      <c r="F58" s="137"/>
      <c r="G58" s="192"/>
      <c r="H58" s="192"/>
      <c r="I58" s="192"/>
      <c r="J58" s="192"/>
      <c r="K58" s="192"/>
      <c r="L58" s="192"/>
      <c r="M58" s="192"/>
      <c r="N58" s="192"/>
      <c r="O58" s="192"/>
      <c r="P58" s="192"/>
      <c r="Q58" s="192"/>
      <c r="R58" s="192"/>
      <c r="S58" s="192"/>
      <c r="T58" s="192"/>
      <c r="U58" s="192"/>
      <c r="V58" s="192"/>
      <c r="W58" s="192"/>
      <c r="X58" s="192"/>
      <c r="Y58" s="192"/>
      <c r="Z58" s="192"/>
      <c r="AA58" s="192"/>
      <c r="AB58" s="192"/>
      <c r="AC58" s="192"/>
      <c r="AD58" s="192"/>
      <c r="AE58" s="192"/>
      <c r="AF58" s="192"/>
      <c r="AG58" s="192"/>
      <c r="AH58" s="192"/>
      <c r="AI58" s="192"/>
      <c r="AJ58" s="192"/>
      <c r="AK58" s="192"/>
      <c r="AL58" s="192"/>
      <c r="AM58" s="192"/>
      <c r="AN58" s="192"/>
      <c r="AO58" s="192"/>
      <c r="AP58" s="192"/>
      <c r="AQ58" s="192"/>
      <c r="AR58" s="192"/>
      <c r="AS58" s="192"/>
      <c r="AT58" s="192"/>
      <c r="AU58" s="192"/>
      <c r="AV58" s="192"/>
      <c r="AW58" s="192"/>
      <c r="AX58" s="192"/>
      <c r="AY58" s="192"/>
      <c r="AZ58" s="192"/>
      <c r="BA58" s="192"/>
      <c r="BB58" s="192"/>
      <c r="BC58" s="192"/>
      <c r="BD58" s="191"/>
      <c r="BE58" s="192"/>
      <c r="BF58" s="192"/>
      <c r="BG58" s="192"/>
      <c r="BH58" s="192"/>
      <c r="BI58" s="191"/>
      <c r="BJ58" s="192"/>
      <c r="BK58" s="192"/>
      <c r="BL58" s="192"/>
      <c r="BM58" s="192"/>
      <c r="BN58" s="191"/>
      <c r="BO58" s="192"/>
      <c r="BP58" s="192"/>
      <c r="BQ58" s="192"/>
      <c r="BR58" s="192"/>
      <c r="BS58" s="191"/>
      <c r="BT58" s="192"/>
      <c r="BU58" s="192"/>
      <c r="BV58" s="192"/>
      <c r="BW58" s="192"/>
      <c r="BX58" s="191"/>
      <c r="BY58" s="192"/>
      <c r="BZ58" s="192"/>
      <c r="CA58" s="192"/>
      <c r="CB58" s="192"/>
      <c r="CC58" s="191"/>
      <c r="CD58" s="192"/>
      <c r="CE58" s="192"/>
      <c r="CF58" s="192"/>
      <c r="CG58" s="192"/>
      <c r="CH58" s="191"/>
      <c r="CI58" s="192"/>
      <c r="CJ58" s="192"/>
      <c r="CK58" s="192"/>
      <c r="CL58" s="192"/>
      <c r="CM58" s="191"/>
      <c r="CN58" s="192"/>
      <c r="CO58" s="192"/>
      <c r="CP58" s="192"/>
      <c r="CQ58" s="192"/>
      <c r="CR58" s="191"/>
      <c r="CS58" s="192"/>
      <c r="CT58" s="192"/>
      <c r="CU58" s="192"/>
      <c r="CV58" s="192"/>
      <c r="CW58" s="191"/>
      <c r="CZ58" s="201"/>
      <c r="DA58" s="200"/>
      <c r="DB58" s="200"/>
    </row>
    <row r="59" spans="1:106" hidden="1" outlineLevel="1">
      <c r="A59" s="1147" t="s">
        <v>778</v>
      </c>
      <c r="B59" s="192"/>
      <c r="C59" s="192"/>
      <c r="D59" s="192"/>
      <c r="E59" s="192"/>
      <c r="F59" s="137"/>
      <c r="G59" s="192"/>
      <c r="H59" s="192"/>
      <c r="I59" s="192"/>
      <c r="J59" s="192"/>
      <c r="K59" s="192"/>
      <c r="L59" s="192"/>
      <c r="M59" s="192"/>
      <c r="N59" s="192"/>
      <c r="O59" s="192"/>
      <c r="P59" s="192"/>
      <c r="Q59" s="192"/>
      <c r="R59" s="192"/>
      <c r="S59" s="192"/>
      <c r="T59" s="192"/>
      <c r="U59" s="192"/>
      <c r="V59" s="192"/>
      <c r="W59" s="192"/>
      <c r="X59" s="192"/>
      <c r="Y59" s="192"/>
      <c r="Z59" s="192"/>
      <c r="AA59" s="1150" t="str">
        <f>AA5</f>
        <v>2/06</v>
      </c>
      <c r="AB59" s="1150" t="str">
        <f>AB5</f>
        <v xml:space="preserve"> 5/06</v>
      </c>
      <c r="AC59" s="1150" t="str">
        <f>AC5</f>
        <v>8/06</v>
      </c>
      <c r="AD59" s="1150" t="str">
        <f>AD5</f>
        <v>11/06</v>
      </c>
      <c r="AE59" s="192"/>
      <c r="AF59" s="1150" t="str">
        <f>AF5</f>
        <v xml:space="preserve"> 2/07</v>
      </c>
      <c r="AG59" s="1150" t="str">
        <f>AG5</f>
        <v>5/07</v>
      </c>
      <c r="AH59" s="1150" t="str">
        <f>AH5</f>
        <v>8/07</v>
      </c>
      <c r="AI59" s="1150" t="str">
        <f>AI5</f>
        <v>11/07</v>
      </c>
      <c r="AJ59" s="192"/>
      <c r="AK59" s="1150" t="str">
        <f>AK5</f>
        <v xml:space="preserve"> 2/08</v>
      </c>
      <c r="AL59" s="1150" t="str">
        <f>AL5</f>
        <v>5/08</v>
      </c>
      <c r="AM59" s="1150" t="str">
        <f>AM5</f>
        <v>8/08</v>
      </c>
      <c r="AN59" s="1150" t="str">
        <f>AN5</f>
        <v>11/08</v>
      </c>
      <c r="AO59" s="192"/>
      <c r="AP59" s="1150" t="str">
        <f>AP5</f>
        <v xml:space="preserve"> 2/09</v>
      </c>
      <c r="AQ59" s="1150" t="str">
        <f>AQ5</f>
        <v>5/09</v>
      </c>
      <c r="AR59" s="1150" t="str">
        <f>AR5</f>
        <v>8/09</v>
      </c>
      <c r="AS59" s="1150" t="str">
        <f>AS5</f>
        <v>11/09</v>
      </c>
      <c r="AT59" s="192"/>
      <c r="AU59" s="1150" t="str">
        <f>AU5</f>
        <v xml:space="preserve"> 2/10</v>
      </c>
      <c r="AV59" s="1150" t="str">
        <f>AV5</f>
        <v>5/10</v>
      </c>
      <c r="AW59" s="1150" t="str">
        <f>AW5</f>
        <v>8/10</v>
      </c>
      <c r="AX59" s="1150" t="str">
        <f>AX5</f>
        <v>11/10</v>
      </c>
      <c r="AY59" s="192"/>
      <c r="AZ59" s="1150" t="str">
        <f>AZ5</f>
        <v xml:space="preserve"> 2/11</v>
      </c>
      <c r="BA59" s="1150" t="str">
        <f>BA5</f>
        <v>5/11</v>
      </c>
      <c r="BB59" s="1150" t="str">
        <f>BB5</f>
        <v>8/11</v>
      </c>
      <c r="BC59" s="192"/>
      <c r="BD59" s="191"/>
      <c r="BE59" s="192"/>
      <c r="BF59" s="192"/>
      <c r="BG59" s="192"/>
      <c r="BH59" s="192"/>
      <c r="BI59" s="191"/>
      <c r="BJ59" s="192"/>
      <c r="BK59" s="192"/>
      <c r="BL59" s="192"/>
      <c r="BM59" s="192"/>
      <c r="BN59" s="191"/>
      <c r="BO59" s="192"/>
      <c r="BP59" s="192"/>
      <c r="BQ59" s="192"/>
      <c r="BR59" s="192"/>
      <c r="BS59" s="191">
        <v>2.19</v>
      </c>
      <c r="BT59" s="192"/>
      <c r="BU59" s="192"/>
      <c r="BV59" s="192"/>
      <c r="BW59" s="192"/>
      <c r="BX59" s="191">
        <v>2.89</v>
      </c>
      <c r="BY59" s="192"/>
      <c r="BZ59" s="192"/>
      <c r="CA59" s="192"/>
      <c r="CB59" s="192"/>
      <c r="CC59" s="191"/>
      <c r="CD59" s="192"/>
      <c r="CE59" s="192"/>
      <c r="CF59" s="192"/>
      <c r="CG59" s="192"/>
      <c r="CH59" s="191"/>
      <c r="CI59" s="192"/>
      <c r="CJ59" s="192"/>
      <c r="CK59" s="192"/>
      <c r="CL59" s="192"/>
      <c r="CM59" s="191"/>
      <c r="CN59" s="192"/>
      <c r="CO59" s="192"/>
      <c r="CP59" s="192"/>
      <c r="CQ59" s="192"/>
      <c r="CR59" s="191"/>
      <c r="CS59" s="192"/>
      <c r="CT59" s="192"/>
      <c r="CU59" s="192"/>
      <c r="CV59" s="192"/>
      <c r="CW59" s="191"/>
      <c r="CZ59" s="201"/>
      <c r="DA59" s="200"/>
      <c r="DB59" s="200"/>
    </row>
    <row r="60" spans="1:106" hidden="1" outlineLevel="1">
      <c r="A60" s="206" t="s">
        <v>277</v>
      </c>
      <c r="B60" s="192"/>
      <c r="C60" s="192"/>
      <c r="D60" s="192"/>
      <c r="E60" s="192"/>
      <c r="F60" s="137"/>
      <c r="G60" s="192"/>
      <c r="H60" s="192"/>
      <c r="I60" s="192"/>
      <c r="J60" s="192"/>
      <c r="K60" s="192"/>
      <c r="L60" s="192"/>
      <c r="M60" s="192"/>
      <c r="N60" s="192"/>
      <c r="O60" s="192"/>
      <c r="P60" s="192"/>
      <c r="Q60" s="192"/>
      <c r="R60" s="192"/>
      <c r="S60" s="192"/>
      <c r="T60" s="192"/>
      <c r="U60" s="192"/>
      <c r="V60" s="192"/>
      <c r="W60" s="192"/>
      <c r="X60" s="192"/>
      <c r="Y60" s="192"/>
      <c r="Z60" s="192"/>
      <c r="AA60" s="1148">
        <v>0.01</v>
      </c>
      <c r="AB60" s="1148">
        <v>0</v>
      </c>
      <c r="AC60" s="1148">
        <v>0</v>
      </c>
      <c r="AD60" s="1148">
        <v>0.02</v>
      </c>
      <c r="AE60" s="192"/>
      <c r="AF60" s="1148">
        <v>5.0000000000000001E-3</v>
      </c>
      <c r="AG60" s="1148">
        <v>0.01</v>
      </c>
      <c r="AH60" s="1148">
        <v>0.06</v>
      </c>
      <c r="AI60" s="1148">
        <v>7.0000000000000007E-2</v>
      </c>
      <c r="AJ60" s="192"/>
      <c r="AK60" s="1148">
        <v>0.05</v>
      </c>
      <c r="AL60" s="1148">
        <v>0.04</v>
      </c>
      <c r="AM60" s="1148">
        <v>0</v>
      </c>
      <c r="AN60" s="1148">
        <v>0</v>
      </c>
      <c r="AO60" s="192"/>
      <c r="AP60" s="1148">
        <v>0</v>
      </c>
      <c r="AQ60" s="1148">
        <v>0.04</v>
      </c>
      <c r="AR60" s="1148">
        <v>0.02</v>
      </c>
      <c r="AS60" s="1148">
        <v>0.09</v>
      </c>
      <c r="AT60" s="192"/>
      <c r="AU60" s="1148">
        <v>0.06</v>
      </c>
      <c r="AV60" s="1148">
        <v>7.0000000000000007E-2</v>
      </c>
      <c r="AW60" s="1148">
        <v>0</v>
      </c>
      <c r="AX60" s="1148">
        <v>0.05</v>
      </c>
      <c r="AY60" s="192"/>
      <c r="AZ60" s="1148">
        <v>0</v>
      </c>
      <c r="BA60" s="1148">
        <v>0</v>
      </c>
      <c r="BB60" s="310">
        <v>0</v>
      </c>
      <c r="BC60" s="192"/>
      <c r="BD60" s="191"/>
      <c r="BE60" s="192"/>
      <c r="BF60" s="192"/>
      <c r="BG60" s="192"/>
      <c r="BH60" s="192"/>
      <c r="BI60" s="191"/>
      <c r="BJ60" s="192"/>
      <c r="BK60" s="192"/>
      <c r="BL60" s="192"/>
      <c r="BM60" s="192"/>
      <c r="BN60" s="191"/>
      <c r="BO60" s="192"/>
      <c r="BP60" s="192"/>
      <c r="BQ60" s="192"/>
      <c r="BR60" s="192"/>
      <c r="BS60" s="191"/>
      <c r="BT60" s="192"/>
      <c r="BU60" s="192"/>
      <c r="BV60" s="192"/>
      <c r="BW60" s="192"/>
      <c r="BX60" s="191"/>
      <c r="BY60" s="192"/>
      <c r="BZ60" s="192"/>
      <c r="CA60" s="192"/>
      <c r="CB60" s="192"/>
      <c r="CC60" s="191"/>
      <c r="CD60" s="192"/>
      <c r="CE60" s="192"/>
      <c r="CF60" s="192"/>
      <c r="CG60" s="192"/>
      <c r="CH60" s="191"/>
      <c r="CI60" s="192"/>
      <c r="CJ60" s="192"/>
      <c r="CK60" s="192"/>
      <c r="CL60" s="192"/>
      <c r="CM60" s="191"/>
      <c r="CN60" s="192"/>
      <c r="CO60" s="192"/>
      <c r="CP60" s="192"/>
      <c r="CQ60" s="192"/>
      <c r="CR60" s="191"/>
      <c r="CS60" s="192"/>
      <c r="CT60" s="192"/>
      <c r="CU60" s="192"/>
      <c r="CV60" s="192"/>
      <c r="CW60" s="191"/>
      <c r="CZ60" s="201"/>
      <c r="DA60" s="200"/>
      <c r="DB60" s="200"/>
    </row>
    <row r="61" spans="1:106" hidden="1" outlineLevel="1">
      <c r="A61" s="206" t="s">
        <v>777</v>
      </c>
      <c r="B61" s="192"/>
      <c r="C61" s="192"/>
      <c r="D61" s="192"/>
      <c r="E61" s="192"/>
      <c r="F61" s="137"/>
      <c r="G61" s="192"/>
      <c r="H61" s="192"/>
      <c r="I61" s="192"/>
      <c r="J61" s="192"/>
      <c r="K61" s="192"/>
      <c r="L61" s="192"/>
      <c r="M61" s="192"/>
      <c r="N61" s="192"/>
      <c r="O61" s="192"/>
      <c r="P61" s="192"/>
      <c r="Q61" s="192"/>
      <c r="R61" s="192"/>
      <c r="S61" s="192"/>
      <c r="T61" s="192"/>
      <c r="U61" s="192"/>
      <c r="V61" s="192"/>
      <c r="W61" s="192"/>
      <c r="X61" s="192"/>
      <c r="Y61" s="192"/>
      <c r="Z61" s="192"/>
      <c r="AA61" s="817">
        <f>AA62*AA60</f>
        <v>6.4940700000000007</v>
      </c>
      <c r="AB61" s="817">
        <f>AB62*AB60</f>
        <v>0</v>
      </c>
      <c r="AC61" s="817">
        <f>AC62*AC60</f>
        <v>0</v>
      </c>
      <c r="AD61" s="817">
        <f>AD62*AD60</f>
        <v>18.224219999999999</v>
      </c>
      <c r="AE61" s="192"/>
      <c r="AF61" s="817">
        <f>AF62*AF60</f>
        <v>4.4522249999999994</v>
      </c>
      <c r="AG61" s="817">
        <f>AG62*AG60</f>
        <v>8.8688600000000015</v>
      </c>
      <c r="AH61" s="817">
        <f>AH62*AH60</f>
        <v>53.235419999999998</v>
      </c>
      <c r="AI61" s="817">
        <f>AI62*AI60</f>
        <v>64.071070000000006</v>
      </c>
      <c r="AJ61" s="192"/>
      <c r="AK61" s="817">
        <f>AK62*AK60</f>
        <v>39.319500000000005</v>
      </c>
      <c r="AL61" s="817">
        <f>AL62*AL60</f>
        <v>28.186920000000001</v>
      </c>
      <c r="AM61" s="817">
        <f>AM62*AM60</f>
        <v>0</v>
      </c>
      <c r="AN61" s="817">
        <f>AN62*AN60</f>
        <v>0</v>
      </c>
      <c r="AO61" s="192"/>
      <c r="AP61" s="817">
        <f>AP62*AP60</f>
        <v>0</v>
      </c>
      <c r="AQ61" s="817">
        <f>AQ62*AQ60</f>
        <v>37.721400000000003</v>
      </c>
      <c r="AR61" s="817">
        <f>AR62*AR60</f>
        <v>19.806380000000001</v>
      </c>
      <c r="AS61" s="817">
        <f>AS62*AS60</f>
        <v>90.715139999999991</v>
      </c>
      <c r="AT61" s="192"/>
      <c r="AU61" s="817">
        <f>AU62*AU60</f>
        <v>61.662360000000007</v>
      </c>
      <c r="AV61" s="817">
        <f>AV62*AV60</f>
        <v>71.622530000000012</v>
      </c>
      <c r="AW61" s="817">
        <f>AW62*AW60</f>
        <v>0</v>
      </c>
      <c r="AX61" s="817">
        <f>AX62*AX60</f>
        <v>57.608049999999992</v>
      </c>
      <c r="AY61" s="192"/>
      <c r="AZ61" s="817">
        <f>AZ62*AZ60</f>
        <v>0</v>
      </c>
      <c r="BA61" s="817">
        <f>BA62*BA60</f>
        <v>0</v>
      </c>
      <c r="BB61" s="192">
        <v>0</v>
      </c>
      <c r="BC61" s="192"/>
      <c r="BD61" s="191"/>
      <c r="BE61" s="192"/>
      <c r="BF61" s="192"/>
      <c r="BG61" s="192"/>
      <c r="BH61" s="192"/>
      <c r="BI61" s="191"/>
      <c r="BJ61" s="192"/>
      <c r="BK61" s="192"/>
      <c r="BL61" s="192"/>
      <c r="BM61" s="192"/>
      <c r="BN61" s="191"/>
      <c r="BO61" s="192"/>
      <c r="BP61" s="192"/>
      <c r="BQ61" s="192"/>
      <c r="BR61" s="192"/>
      <c r="BS61" s="191"/>
      <c r="BT61" s="192"/>
      <c r="BU61" s="192"/>
      <c r="BV61" s="192"/>
      <c r="BW61" s="192"/>
      <c r="BX61" s="191"/>
      <c r="BY61" s="192"/>
      <c r="BZ61" s="192"/>
      <c r="CA61" s="192"/>
      <c r="CB61" s="192"/>
      <c r="CC61" s="191"/>
      <c r="CD61" s="192"/>
      <c r="CE61" s="192"/>
      <c r="CF61" s="192"/>
      <c r="CG61" s="192"/>
      <c r="CH61" s="191"/>
      <c r="CI61" s="192"/>
      <c r="CJ61" s="192"/>
      <c r="CK61" s="192"/>
      <c r="CL61" s="192"/>
      <c r="CM61" s="191"/>
      <c r="CN61" s="192"/>
      <c r="CO61" s="192"/>
      <c r="CP61" s="192"/>
      <c r="CQ61" s="192"/>
      <c r="CR61" s="191"/>
      <c r="CS61" s="192"/>
      <c r="CT61" s="192"/>
      <c r="CU61" s="192"/>
      <c r="CV61" s="192"/>
      <c r="CW61" s="191"/>
      <c r="CZ61" s="201"/>
      <c r="DA61" s="200"/>
      <c r="DB61" s="200"/>
    </row>
    <row r="62" spans="1:106" hidden="1" outlineLevel="1">
      <c r="A62" s="206" t="s">
        <v>445</v>
      </c>
      <c r="B62" s="192"/>
      <c r="C62" s="192"/>
      <c r="D62" s="192"/>
      <c r="E62" s="192"/>
      <c r="F62" s="137"/>
      <c r="G62" s="192"/>
      <c r="H62" s="192"/>
      <c r="I62" s="192"/>
      <c r="J62" s="192"/>
      <c r="K62" s="192"/>
      <c r="L62" s="192"/>
      <c r="M62" s="192"/>
      <c r="N62" s="192"/>
      <c r="O62" s="192"/>
      <c r="P62" s="192"/>
      <c r="Q62" s="192"/>
      <c r="R62" s="192"/>
      <c r="S62" s="843"/>
      <c r="T62" s="192"/>
      <c r="U62" s="843"/>
      <c r="V62" s="192"/>
      <c r="W62" s="192"/>
      <c r="X62" s="192"/>
      <c r="Y62" s="192"/>
      <c r="Z62" s="192"/>
      <c r="AA62" s="1149">
        <f>Model!AG24</f>
        <v>649.40700000000004</v>
      </c>
      <c r="AB62" s="1149">
        <f>Model!AH24</f>
        <v>745.577</v>
      </c>
      <c r="AC62" s="1149">
        <f>Model!AI24</f>
        <v>851.68599999999992</v>
      </c>
      <c r="AD62" s="1149">
        <f>Model!AJ24</f>
        <v>911.21100000000001</v>
      </c>
      <c r="AE62" s="192"/>
      <c r="AF62" s="1149">
        <f>Model!AL24</f>
        <v>890.44499999999994</v>
      </c>
      <c r="AG62" s="1149">
        <f>Model!AM24</f>
        <v>886.88600000000008</v>
      </c>
      <c r="AH62" s="1149">
        <f>Model!AN24</f>
        <v>887.25699999999995</v>
      </c>
      <c r="AI62" s="1149">
        <f>Model!AO24</f>
        <v>915.30100000000004</v>
      </c>
      <c r="AJ62" s="192"/>
      <c r="AK62" s="1149">
        <f>Model!AQ24</f>
        <v>786.39</v>
      </c>
      <c r="AL62" s="1149">
        <f>Model!AR24</f>
        <v>704.673</v>
      </c>
      <c r="AM62" s="1149">
        <f>Model!AS24</f>
        <v>697.50700000000006</v>
      </c>
      <c r="AN62" s="1149">
        <f>Model!AT24</f>
        <v>757.28300000000002</v>
      </c>
      <c r="AO62" s="192"/>
      <c r="AP62" s="1149">
        <f>Model!AV24</f>
        <v>858.7</v>
      </c>
      <c r="AQ62" s="1149">
        <f>Model!AW24</f>
        <v>943.03499999999997</v>
      </c>
      <c r="AR62" s="1149">
        <f>Model!AX24</f>
        <v>990.31900000000007</v>
      </c>
      <c r="AS62" s="1149">
        <f>Model!AY24</f>
        <v>1007.9459999999999</v>
      </c>
      <c r="AT62" s="192"/>
      <c r="AU62" s="1149">
        <f>Model!BA24</f>
        <v>1027.7060000000001</v>
      </c>
      <c r="AV62" s="1149">
        <f>Model!BB24</f>
        <v>1023.179</v>
      </c>
      <c r="AW62" s="1149">
        <f>Model!BC24</f>
        <v>1013.212</v>
      </c>
      <c r="AX62" s="1149">
        <f>Model!BD24</f>
        <v>1152.1609999999998</v>
      </c>
      <c r="AY62" s="192"/>
      <c r="AZ62" s="192"/>
      <c r="BA62" s="192"/>
      <c r="BB62" s="192"/>
      <c r="BC62" s="192"/>
      <c r="BD62" s="191"/>
      <c r="BE62" s="192"/>
      <c r="BF62" s="192"/>
      <c r="BG62" s="192"/>
      <c r="BH62" s="192"/>
      <c r="BI62" s="191"/>
      <c r="BJ62" s="192"/>
      <c r="BK62" s="192"/>
      <c r="BL62" s="192"/>
      <c r="BM62" s="192"/>
      <c r="BN62" s="191"/>
      <c r="BO62" s="192"/>
      <c r="BP62" s="192"/>
      <c r="BQ62" s="192"/>
      <c r="BR62" s="192"/>
      <c r="BS62" s="191"/>
      <c r="BT62" s="192"/>
      <c r="BU62" s="192"/>
      <c r="BV62" s="192"/>
      <c r="BW62" s="192"/>
      <c r="BX62" s="191"/>
      <c r="BY62" s="192"/>
      <c r="BZ62" s="192"/>
      <c r="CA62" s="192"/>
      <c r="CB62" s="192"/>
      <c r="CC62" s="191"/>
      <c r="CD62" s="192"/>
      <c r="CE62" s="192"/>
      <c r="CF62" s="192"/>
      <c r="CG62" s="192"/>
      <c r="CH62" s="191"/>
      <c r="CI62" s="192"/>
      <c r="CJ62" s="192"/>
      <c r="CK62" s="192"/>
      <c r="CL62" s="192"/>
      <c r="CM62" s="191"/>
      <c r="CN62" s="192"/>
      <c r="CO62" s="192"/>
      <c r="CP62" s="192"/>
      <c r="CQ62" s="192"/>
      <c r="CR62" s="191"/>
      <c r="CS62" s="192"/>
      <c r="CT62" s="192"/>
      <c r="CU62" s="192"/>
      <c r="CV62" s="192"/>
      <c r="CW62" s="191"/>
      <c r="CZ62" s="201"/>
      <c r="DA62" s="200"/>
      <c r="DB62" s="200"/>
    </row>
    <row r="63" spans="1:106" hidden="1" outlineLevel="1">
      <c r="A63" s="206" t="s">
        <v>779</v>
      </c>
      <c r="B63" s="192"/>
      <c r="C63" s="192"/>
      <c r="D63" s="192"/>
      <c r="E63" s="192"/>
      <c r="F63" s="137"/>
      <c r="G63" s="192"/>
      <c r="H63" s="192"/>
      <c r="I63" s="192"/>
      <c r="J63" s="192"/>
      <c r="K63" s="192"/>
      <c r="L63" s="192"/>
      <c r="M63" s="192"/>
      <c r="N63" s="192"/>
      <c r="O63" s="192"/>
      <c r="P63" s="192"/>
      <c r="Q63" s="192"/>
      <c r="R63" s="192"/>
      <c r="S63" s="843"/>
      <c r="T63" s="192"/>
      <c r="U63" s="843"/>
      <c r="V63" s="192"/>
      <c r="W63" s="192"/>
      <c r="X63" s="192"/>
      <c r="Y63" s="192"/>
      <c r="Z63" s="192"/>
      <c r="AA63" s="192"/>
      <c r="AB63" s="192"/>
      <c r="AC63" s="192"/>
      <c r="AD63" s="192"/>
      <c r="AE63" s="192"/>
      <c r="AF63" s="1149">
        <f>AF62+AF61-AD61</f>
        <v>876.67300499999999</v>
      </c>
      <c r="AG63" s="1149">
        <f>AG62+AG61-AF61</f>
        <v>891.30263500000012</v>
      </c>
      <c r="AH63" s="1149">
        <f>AH62+AH61-AG61</f>
        <v>931.62355999999988</v>
      </c>
      <c r="AI63" s="1149">
        <f>AI62+AI61-AH61</f>
        <v>926.13665000000003</v>
      </c>
      <c r="AJ63" s="192"/>
      <c r="AK63" s="1149">
        <f>AK62+AK61-AI61</f>
        <v>761.63842999999997</v>
      </c>
      <c r="AL63" s="1149">
        <f>AL62+AL61-AK61</f>
        <v>693.54042000000004</v>
      </c>
      <c r="AM63" s="1149">
        <f>AM62+AM61-AL61</f>
        <v>669.32008000000008</v>
      </c>
      <c r="AN63" s="1149">
        <f>AN62+AN61-AM61</f>
        <v>757.28300000000002</v>
      </c>
      <c r="AO63" s="192"/>
      <c r="AP63" s="1149">
        <f>AP62+AP61-AN61</f>
        <v>858.7</v>
      </c>
      <c r="AQ63" s="1149">
        <f>AQ62+AQ61-AP61</f>
        <v>980.75639999999999</v>
      </c>
      <c r="AR63" s="1149">
        <f>AR62+AR61-AQ61</f>
        <v>972.40398000000005</v>
      </c>
      <c r="AS63" s="1149">
        <f>AS62+AS61-AR61</f>
        <v>1078.8547599999999</v>
      </c>
      <c r="AT63" s="192"/>
      <c r="AU63" s="1149">
        <f>AU62+AU61-AS61</f>
        <v>998.65322000000015</v>
      </c>
      <c r="AV63" s="1149">
        <f>AV62+AV61-AU61</f>
        <v>1033.1391699999999</v>
      </c>
      <c r="AW63" s="1149">
        <f>AW62+AW61-AV61</f>
        <v>941.58947000000001</v>
      </c>
      <c r="AX63" s="1149">
        <f>AX62+AX61-AW61</f>
        <v>1209.7690499999999</v>
      </c>
      <c r="AY63" s="192"/>
      <c r="AZ63" s="192"/>
      <c r="BA63" s="192"/>
      <c r="BB63" s="192"/>
      <c r="BC63" s="192"/>
      <c r="BD63" s="191"/>
      <c r="BE63" s="192"/>
      <c r="BF63" s="192"/>
      <c r="BG63" s="192"/>
      <c r="BH63" s="192"/>
      <c r="BI63" s="191"/>
      <c r="BJ63" s="192"/>
      <c r="BK63" s="192"/>
      <c r="BL63" s="192"/>
      <c r="BM63" s="192"/>
      <c r="BN63" s="191"/>
      <c r="BO63" s="192"/>
      <c r="BP63" s="192"/>
      <c r="BQ63" s="192"/>
      <c r="BR63" s="192"/>
      <c r="BS63" s="191"/>
      <c r="BT63" s="192"/>
      <c r="BU63" s="192"/>
      <c r="BV63" s="192"/>
      <c r="BW63" s="192"/>
      <c r="BX63" s="191"/>
      <c r="BY63" s="192"/>
      <c r="BZ63" s="192"/>
      <c r="CA63" s="192"/>
      <c r="CB63" s="192"/>
      <c r="CC63" s="191"/>
      <c r="CD63" s="1353"/>
      <c r="CE63" s="192"/>
      <c r="CF63" s="192"/>
      <c r="CG63" s="192"/>
      <c r="CH63" s="191"/>
      <c r="CI63" s="192"/>
      <c r="CJ63" s="192"/>
      <c r="CK63" s="192"/>
      <c r="CL63" s="192"/>
      <c r="CM63" s="1366">
        <f>CM64-CM69</f>
        <v>-243000</v>
      </c>
      <c r="CN63" s="192"/>
      <c r="CO63" s="192"/>
      <c r="CP63" s="192"/>
      <c r="CQ63" s="192"/>
      <c r="CR63" s="191"/>
      <c r="CS63" s="192"/>
      <c r="CT63" s="192"/>
      <c r="CU63" s="192"/>
      <c r="CV63" s="192"/>
      <c r="CW63" s="191"/>
      <c r="CZ63" s="201"/>
      <c r="DA63" s="200"/>
      <c r="DB63" s="200"/>
    </row>
    <row r="64" spans="1:106" collapsed="1">
      <c r="A64" s="206"/>
      <c r="B64" s="192"/>
      <c r="C64" s="192"/>
      <c r="D64" s="192"/>
      <c r="E64" s="192"/>
      <c r="F64" s="137"/>
      <c r="G64" s="192"/>
      <c r="H64" s="192"/>
      <c r="I64" s="192"/>
      <c r="J64" s="192"/>
      <c r="K64" s="192"/>
      <c r="L64" s="192"/>
      <c r="M64" s="192"/>
      <c r="N64" s="192"/>
      <c r="O64" s="192"/>
      <c r="P64" s="192"/>
      <c r="Q64" s="192"/>
      <c r="R64" s="192"/>
      <c r="S64" s="843"/>
      <c r="T64" s="192"/>
      <c r="U64" s="843"/>
      <c r="V64" s="192"/>
      <c r="W64" s="192"/>
      <c r="X64" s="192"/>
      <c r="Y64" s="192"/>
      <c r="Z64" s="192"/>
      <c r="AA64" s="192"/>
      <c r="AB64" s="192"/>
      <c r="AC64" s="192"/>
      <c r="AD64" s="192"/>
      <c r="AE64" s="192"/>
      <c r="AF64" s="192"/>
      <c r="AG64" s="192"/>
      <c r="AH64" s="192"/>
      <c r="AI64" s="192"/>
      <c r="AJ64" s="192"/>
      <c r="AK64" s="192"/>
      <c r="AL64" s="192"/>
      <c r="AM64" s="192"/>
      <c r="AN64" s="192"/>
      <c r="AO64" s="192"/>
      <c r="AP64" s="192"/>
      <c r="AQ64" s="192"/>
      <c r="AR64" s="192"/>
      <c r="AS64" s="192">
        <f>AS61/AI61-1</f>
        <v>0.41585180331778426</v>
      </c>
      <c r="AT64" s="192"/>
      <c r="AU64" s="192">
        <f>AU61/AK61-1</f>
        <v>0.5682386602067675</v>
      </c>
      <c r="AV64" s="192"/>
      <c r="AW64" s="192"/>
      <c r="AX64" s="192"/>
      <c r="AY64" s="192"/>
      <c r="AZ64" s="192"/>
      <c r="BA64" s="192"/>
      <c r="BB64" s="192"/>
      <c r="BC64" s="192"/>
      <c r="BD64" s="191"/>
      <c r="BE64" s="192"/>
      <c r="BF64" s="192"/>
      <c r="BG64" s="192"/>
      <c r="BH64" s="192"/>
      <c r="BI64" s="191"/>
      <c r="BJ64" s="1399"/>
      <c r="BK64" s="1149"/>
      <c r="BL64" s="192"/>
      <c r="BM64" s="192"/>
      <c r="BN64" s="191"/>
      <c r="BO64" s="192"/>
      <c r="BP64" s="192"/>
      <c r="BQ64" s="192"/>
      <c r="BR64" s="192"/>
      <c r="BS64" s="191"/>
      <c r="BT64" s="192"/>
      <c r="BU64" s="192"/>
      <c r="BV64" s="192"/>
      <c r="BW64" s="192"/>
      <c r="BX64" s="191"/>
      <c r="BY64" s="192"/>
      <c r="BZ64" s="192"/>
      <c r="CA64" s="192"/>
      <c r="CB64" s="192"/>
      <c r="CC64" s="191"/>
      <c r="CD64" s="192"/>
      <c r="CE64" s="192"/>
      <c r="CF64" s="192"/>
      <c r="CG64" s="192"/>
      <c r="CH64" s="191"/>
      <c r="CI64" s="192"/>
      <c r="CJ64" s="192"/>
      <c r="CK64" s="192"/>
      <c r="CL64" s="192"/>
      <c r="CM64" s="191">
        <v>2732000</v>
      </c>
      <c r="CN64" s="192"/>
      <c r="CO64" s="192"/>
      <c r="CP64" s="192"/>
      <c r="CQ64" s="192"/>
      <c r="CR64" s="191"/>
      <c r="CS64" s="192"/>
      <c r="CT64" s="192"/>
      <c r="CU64" s="192"/>
      <c r="CV64" s="192"/>
      <c r="CW64" s="191"/>
      <c r="CZ64" s="201"/>
      <c r="DA64" s="200"/>
      <c r="DB64" s="200"/>
    </row>
    <row r="65" spans="1:106">
      <c r="A65" s="1147" t="s">
        <v>749</v>
      </c>
      <c r="B65" s="192"/>
      <c r="C65" s="192"/>
      <c r="D65" s="192"/>
      <c r="E65" s="192"/>
      <c r="F65" s="137"/>
      <c r="G65" s="192"/>
      <c r="H65" s="192"/>
      <c r="I65" s="192"/>
      <c r="J65" s="192"/>
      <c r="K65" s="192"/>
      <c r="L65" s="192"/>
      <c r="M65" s="192"/>
      <c r="N65" s="192"/>
      <c r="O65" s="192"/>
      <c r="P65" s="192"/>
      <c r="Q65" s="192"/>
      <c r="R65" s="192"/>
      <c r="S65" s="843"/>
      <c r="T65" s="192"/>
      <c r="U65" s="843"/>
      <c r="V65" s="192"/>
      <c r="W65" s="192"/>
      <c r="X65" s="192"/>
      <c r="Y65" s="192"/>
      <c r="Z65" s="192"/>
      <c r="AA65" s="192"/>
      <c r="AB65" s="192"/>
      <c r="AC65" s="192"/>
      <c r="AD65" s="192"/>
      <c r="AE65" s="192"/>
      <c r="AF65" s="192"/>
      <c r="AG65" s="192"/>
      <c r="AH65" s="192"/>
      <c r="AI65" s="192"/>
      <c r="AJ65" s="192"/>
      <c r="AK65" s="192"/>
      <c r="AL65" s="192"/>
      <c r="AM65" s="192"/>
      <c r="AN65" s="192"/>
      <c r="AO65" s="192"/>
      <c r="AP65" s="192"/>
      <c r="AQ65" s="192"/>
      <c r="AR65" s="192"/>
      <c r="AS65" s="192"/>
      <c r="AT65" s="192"/>
      <c r="AU65" s="192"/>
      <c r="AV65" s="192"/>
      <c r="AW65" s="192"/>
      <c r="AX65" s="192"/>
      <c r="AY65" s="192"/>
      <c r="AZ65" s="192"/>
      <c r="BA65" s="192"/>
      <c r="BB65" s="192"/>
      <c r="BC65" s="192"/>
      <c r="BD65" s="191"/>
      <c r="BE65" s="192"/>
      <c r="BF65" s="192"/>
      <c r="BG65" s="192"/>
      <c r="BH65" s="192"/>
      <c r="BI65" s="191"/>
      <c r="BJ65" s="192"/>
      <c r="BK65" s="1149"/>
      <c r="BL65" s="192"/>
      <c r="BM65" s="1149"/>
      <c r="BN65" s="191"/>
      <c r="BO65" s="192"/>
      <c r="BP65" s="192"/>
      <c r="BQ65" s="192"/>
      <c r="BR65" s="192"/>
      <c r="BS65" s="191"/>
      <c r="BT65" s="192"/>
      <c r="BU65" s="192"/>
      <c r="BV65" s="192"/>
      <c r="BW65" s="1149"/>
      <c r="BX65" s="191"/>
      <c r="BY65" s="192"/>
      <c r="BZ65" s="192"/>
      <c r="CA65" s="192"/>
      <c r="CB65" s="1149"/>
      <c r="CC65" s="191"/>
      <c r="CD65" s="192"/>
      <c r="CE65" s="192"/>
      <c r="CF65" s="310"/>
      <c r="CG65" s="1149"/>
      <c r="CH65" s="191"/>
      <c r="CI65" s="192"/>
      <c r="CJ65" s="192"/>
      <c r="CK65" s="192"/>
      <c r="CL65" s="1149"/>
      <c r="CM65" s="191"/>
      <c r="CN65" s="192"/>
      <c r="CO65" s="192"/>
      <c r="CP65" s="192"/>
      <c r="CQ65" s="1149"/>
      <c r="CR65" s="191"/>
      <c r="CS65" s="192"/>
      <c r="CT65" s="192"/>
      <c r="CU65" s="192"/>
      <c r="CV65" s="1149"/>
      <c r="CW65" s="191"/>
      <c r="CZ65" s="201"/>
      <c r="DA65" s="200"/>
      <c r="DB65" s="200"/>
    </row>
    <row r="66" spans="1:106">
      <c r="A66" s="206" t="s">
        <v>108</v>
      </c>
      <c r="B66" s="192"/>
      <c r="C66" s="192"/>
      <c r="D66" s="192"/>
      <c r="E66" s="192"/>
      <c r="F66" s="137"/>
      <c r="G66" s="192"/>
      <c r="H66" s="192"/>
      <c r="I66" s="192"/>
      <c r="J66" s="192"/>
      <c r="K66" s="192"/>
      <c r="L66" s="192"/>
      <c r="M66" s="192"/>
      <c r="N66" s="192"/>
      <c r="O66" s="192"/>
      <c r="P66" s="192"/>
      <c r="Q66" s="192"/>
      <c r="R66" s="192"/>
      <c r="S66" s="843"/>
      <c r="T66" s="192"/>
      <c r="U66" s="843"/>
      <c r="V66" s="192"/>
      <c r="W66" s="192"/>
      <c r="X66" s="192"/>
      <c r="Y66" s="192"/>
      <c r="Z66" s="192"/>
      <c r="AA66" s="192"/>
      <c r="AB66" s="192"/>
      <c r="AC66" s="192"/>
      <c r="AD66" s="192"/>
      <c r="AE66" s="192"/>
      <c r="AF66" s="192"/>
      <c r="AG66" s="192"/>
      <c r="AH66" s="192"/>
      <c r="AI66" s="192"/>
      <c r="AJ66" s="192"/>
      <c r="AK66" s="192"/>
      <c r="AL66" s="192"/>
      <c r="AM66" s="192"/>
      <c r="AN66" s="192"/>
      <c r="AO66" s="192"/>
      <c r="AP66" s="192"/>
      <c r="AQ66" s="192"/>
      <c r="AR66" s="192"/>
      <c r="AS66" s="192"/>
      <c r="AT66" s="192"/>
      <c r="AU66" s="192"/>
      <c r="AV66" s="192"/>
      <c r="AW66" s="192"/>
      <c r="AX66" s="192"/>
      <c r="AY66" s="192"/>
      <c r="AZ66" s="192"/>
      <c r="BA66" s="192"/>
      <c r="BB66" s="192"/>
      <c r="BC66" s="192"/>
      <c r="BD66" s="191"/>
      <c r="BE66" s="192"/>
      <c r="BF66" s="192" t="s">
        <v>109</v>
      </c>
      <c r="BG66" s="192" t="s">
        <v>110</v>
      </c>
      <c r="BH66" s="192" t="s">
        <v>753</v>
      </c>
      <c r="BI66" s="191"/>
      <c r="BJ66" s="1150">
        <f>BJ69/13/1000</f>
        <v>12</v>
      </c>
      <c r="BK66" s="1150">
        <f>BK69/13/1000</f>
        <v>17.46153846153846</v>
      </c>
      <c r="BL66" s="1150">
        <f>BL69/13/1000</f>
        <v>24.76923076923077</v>
      </c>
      <c r="BM66" s="1150">
        <f>BM69/13/1000</f>
        <v>30.923076923076923</v>
      </c>
      <c r="BN66" s="191"/>
      <c r="BO66" s="1150">
        <f>BO69/13/1000</f>
        <v>31.153846153846153</v>
      </c>
      <c r="BP66" s="1150">
        <f>BP69/13/1000</f>
        <v>35.692307692307693</v>
      </c>
      <c r="BQ66" s="1150">
        <f>BQ69/13/1000</f>
        <v>38.61538461538462</v>
      </c>
      <c r="BR66" s="1150">
        <f>BR69/13/1000</f>
        <v>49.846153846153847</v>
      </c>
      <c r="BS66" s="191"/>
      <c r="BT66" s="1150">
        <f>BT69/13/1000</f>
        <v>40.92307692307692</v>
      </c>
      <c r="BU66" s="1150">
        <f>BU69/13/1000</f>
        <v>50.769230769230766</v>
      </c>
      <c r="BV66" s="1150">
        <f>BV69/13/1000</f>
        <v>52.61538461538462</v>
      </c>
      <c r="BW66" s="1150">
        <f>BW69/13/1000</f>
        <v>64.07692307692308</v>
      </c>
      <c r="BX66" s="191"/>
      <c r="BY66" s="1150">
        <f>BY69/13/1000</f>
        <v>61.38461538461538</v>
      </c>
      <c r="BZ66" s="1150">
        <f>BZ69/13/1000</f>
        <v>61.38461538461538</v>
      </c>
      <c r="CA66" s="1150">
        <f>CA69/13/1000</f>
        <v>65.615384615384613</v>
      </c>
      <c r="CB66" s="1150">
        <f>CB69/13/1000</f>
        <v>71.384615384615387</v>
      </c>
      <c r="CC66" s="191"/>
      <c r="CD66" s="1150">
        <f>CD69/13/1000</f>
        <v>50</v>
      </c>
      <c r="CE66" s="1150">
        <f>CE69/13/1000</f>
        <v>63.46153846153846</v>
      </c>
      <c r="CF66" s="1150">
        <f>CF69/13/1000</f>
        <v>64.807692307692307</v>
      </c>
      <c r="CG66" s="1150">
        <f>CG69/13/1000</f>
        <v>65.57692307692308</v>
      </c>
      <c r="CH66" s="191"/>
      <c r="CI66" s="1150">
        <f>CI69/13/1000</f>
        <v>53.846153846153847</v>
      </c>
      <c r="CJ66" s="1150">
        <f>CJ69/13/1000</f>
        <v>61.53846153846154</v>
      </c>
      <c r="CK66" s="1150">
        <f>CK69/13/1000</f>
        <v>51.92307692307692</v>
      </c>
      <c r="CL66" s="1150">
        <f>CL69/13/1000</f>
        <v>61.53846153846154</v>
      </c>
      <c r="CM66" s="191"/>
      <c r="CN66" s="1150">
        <f>CN69/13/1000</f>
        <v>48.07692307692308</v>
      </c>
      <c r="CO66" s="1150">
        <f>CO69/13/1000</f>
        <v>55.769230769230766</v>
      </c>
      <c r="CP66" s="1150">
        <f>CP69/13/1000</f>
        <v>48.07692307692308</v>
      </c>
      <c r="CQ66" s="1150">
        <f>CQ69/13/1000</f>
        <v>55.769230769230766</v>
      </c>
      <c r="CR66" s="191"/>
      <c r="CS66" s="1150">
        <f>CS69/13/1000</f>
        <v>47.92307692307692</v>
      </c>
      <c r="CT66" s="1150">
        <f>CT69/13/1000</f>
        <v>48.307692307692307</v>
      </c>
      <c r="CU66" s="1150">
        <f>CU69/13/1000</f>
        <v>48.692307692307693</v>
      </c>
      <c r="CV66" s="1150">
        <f>CV69/13/1000</f>
        <v>49.07692307692308</v>
      </c>
      <c r="CW66" s="191"/>
      <c r="CZ66" s="201"/>
      <c r="DA66" s="200"/>
      <c r="DB66" s="200"/>
    </row>
    <row r="67" spans="1:106">
      <c r="A67" s="206" t="s">
        <v>546</v>
      </c>
      <c r="B67" s="192"/>
      <c r="C67" s="192"/>
      <c r="D67" s="192"/>
      <c r="E67" s="192"/>
      <c r="F67" s="137"/>
      <c r="G67" s="192"/>
      <c r="H67" s="192"/>
      <c r="I67" s="192"/>
      <c r="J67" s="192"/>
      <c r="K67" s="192"/>
      <c r="L67" s="192"/>
      <c r="M67" s="192"/>
      <c r="N67" s="192"/>
      <c r="O67" s="192"/>
      <c r="P67" s="192"/>
      <c r="Q67" s="192"/>
      <c r="R67" s="192"/>
      <c r="S67" s="843"/>
      <c r="T67" s="192"/>
      <c r="U67" s="843"/>
      <c r="V67" s="192"/>
      <c r="W67" s="192"/>
      <c r="X67" s="192"/>
      <c r="Y67" s="192"/>
      <c r="Z67" s="192"/>
      <c r="AA67" s="192"/>
      <c r="AB67" s="192"/>
      <c r="AC67" s="192"/>
      <c r="AD67" s="192"/>
      <c r="AE67" s="192"/>
      <c r="AF67" s="192"/>
      <c r="AG67" s="192"/>
      <c r="AH67" s="192"/>
      <c r="AI67" s="192"/>
      <c r="AJ67" s="192"/>
      <c r="AK67" s="192"/>
      <c r="AL67" s="192"/>
      <c r="AM67" s="192"/>
      <c r="AN67" s="192"/>
      <c r="AO67" s="192"/>
      <c r="AP67" s="192"/>
      <c r="AQ67" s="192"/>
      <c r="AR67" s="192"/>
      <c r="AS67" s="192"/>
      <c r="AT67" s="192"/>
      <c r="AU67" s="192"/>
      <c r="AV67" s="192"/>
      <c r="AW67" s="192"/>
      <c r="AX67" s="192"/>
      <c r="AY67" s="192"/>
      <c r="AZ67" s="192"/>
      <c r="BA67" s="192"/>
      <c r="BB67" s="192"/>
      <c r="BC67" s="192"/>
      <c r="BD67" s="191"/>
      <c r="BE67" s="192">
        <v>0</v>
      </c>
      <c r="BF67" s="1149">
        <v>92000</v>
      </c>
      <c r="BG67" s="1149">
        <v>198000</v>
      </c>
      <c r="BH67" s="1149">
        <v>332000</v>
      </c>
      <c r="BI67" s="1366">
        <f>BH67</f>
        <v>332000</v>
      </c>
      <c r="BJ67" s="1149">
        <v>488000</v>
      </c>
      <c r="BK67" s="1149">
        <v>715000</v>
      </c>
      <c r="BL67" s="1149">
        <v>1037000</v>
      </c>
      <c r="BM67" s="1431">
        <v>1439000</v>
      </c>
      <c r="BN67" s="1366">
        <f>BM67</f>
        <v>1439000</v>
      </c>
      <c r="BO67" s="1149">
        <v>1844000</v>
      </c>
      <c r="BP67" s="1149">
        <v>2308000</v>
      </c>
      <c r="BQ67" s="1149">
        <v>2810000</v>
      </c>
      <c r="BR67" s="1149">
        <v>3458000</v>
      </c>
      <c r="BS67" s="1366">
        <f>BR67</f>
        <v>3458000</v>
      </c>
      <c r="BT67" s="1149">
        <v>3990000</v>
      </c>
      <c r="BU67" s="1149">
        <v>4650000</v>
      </c>
      <c r="BV67" s="1149">
        <v>5334000</v>
      </c>
      <c r="BW67" s="1149">
        <v>6167000</v>
      </c>
      <c r="BX67" s="1366">
        <f>BW67</f>
        <v>6167000</v>
      </c>
      <c r="BY67" s="1149">
        <v>6965000</v>
      </c>
      <c r="BZ67" s="1431">
        <f>BY67+BZ69</f>
        <v>7763000</v>
      </c>
      <c r="CA67" s="1149">
        <f>BZ67+CA69</f>
        <v>8616000</v>
      </c>
      <c r="CB67" s="1149">
        <f>CA67+CB69</f>
        <v>9544000</v>
      </c>
      <c r="CC67" s="1366">
        <f>CB67</f>
        <v>9544000</v>
      </c>
      <c r="CD67" s="1149">
        <f>CB67+CD69</f>
        <v>10194000</v>
      </c>
      <c r="CE67" s="1149">
        <f>CD67+CE69</f>
        <v>11019000</v>
      </c>
      <c r="CF67" s="1149">
        <f>CE67+CF69</f>
        <v>11861500</v>
      </c>
      <c r="CG67" s="1149">
        <f>CF67+CG69</f>
        <v>12714000</v>
      </c>
      <c r="CH67" s="1366">
        <f>CG67</f>
        <v>12714000</v>
      </c>
      <c r="CI67" s="1149">
        <f>CG67+CI69</f>
        <v>13414000</v>
      </c>
      <c r="CJ67" s="1149">
        <f>CI67+CJ69</f>
        <v>14214000</v>
      </c>
      <c r="CK67" s="1149">
        <f>CJ67+CK69</f>
        <v>14889000</v>
      </c>
      <c r="CL67" s="1149">
        <f>CK67+CL69</f>
        <v>15689000</v>
      </c>
      <c r="CM67" s="1366">
        <f>CL67</f>
        <v>15689000</v>
      </c>
      <c r="CN67" s="1149">
        <f>CL67+CN69</f>
        <v>16314000</v>
      </c>
      <c r="CO67" s="1149">
        <f>CN67+CO69</f>
        <v>17039000</v>
      </c>
      <c r="CP67" s="1149">
        <f>CO67+CP69</f>
        <v>17664000</v>
      </c>
      <c r="CQ67" s="1149">
        <f>CP67+CQ69</f>
        <v>18389000</v>
      </c>
      <c r="CR67" s="1366">
        <f>CQ67</f>
        <v>18389000</v>
      </c>
      <c r="CS67" s="1149">
        <f>CQ67+CS69</f>
        <v>19012000</v>
      </c>
      <c r="CT67" s="1149">
        <f>CS67+CT69</f>
        <v>19640000</v>
      </c>
      <c r="CU67" s="1149">
        <f>CT67+CU69</f>
        <v>20273000</v>
      </c>
      <c r="CV67" s="1149">
        <f>CU67+CV69</f>
        <v>20911000</v>
      </c>
      <c r="CW67" s="1366">
        <f>CV67</f>
        <v>20911000</v>
      </c>
      <c r="CZ67" s="201"/>
      <c r="DA67" s="200"/>
      <c r="DB67" s="200"/>
    </row>
    <row r="68" spans="1:106">
      <c r="A68" s="206" t="s">
        <v>547</v>
      </c>
      <c r="B68" s="192"/>
      <c r="C68" s="192"/>
      <c r="D68" s="192"/>
      <c r="E68" s="192"/>
      <c r="F68" s="137"/>
      <c r="G68" s="192"/>
      <c r="H68" s="192"/>
      <c r="I68" s="192"/>
      <c r="J68" s="192"/>
      <c r="K68" s="192"/>
      <c r="L68" s="192"/>
      <c r="M68" s="192"/>
      <c r="N68" s="192"/>
      <c r="O68" s="192"/>
      <c r="P68" s="192"/>
      <c r="Q68" s="192"/>
      <c r="R68" s="192"/>
      <c r="S68" s="843"/>
      <c r="T68" s="192"/>
      <c r="U68" s="843"/>
      <c r="V68" s="192"/>
      <c r="W68" s="192"/>
      <c r="X68" s="192"/>
      <c r="Y68" s="192"/>
      <c r="Z68" s="192"/>
      <c r="AA68" s="192"/>
      <c r="AB68" s="192"/>
      <c r="AC68" s="192"/>
      <c r="AD68" s="192"/>
      <c r="AE68" s="192"/>
      <c r="AF68" s="192"/>
      <c r="AG68" s="192"/>
      <c r="AH68" s="192"/>
      <c r="AI68" s="192"/>
      <c r="AJ68" s="192"/>
      <c r="AK68" s="192"/>
      <c r="AL68" s="192"/>
      <c r="AM68" s="192"/>
      <c r="AN68" s="192"/>
      <c r="AO68" s="192"/>
      <c r="AP68" s="192"/>
      <c r="AQ68" s="192"/>
      <c r="AR68" s="192"/>
      <c r="AS68" s="192"/>
      <c r="AT68" s="192"/>
      <c r="AU68" s="192"/>
      <c r="AV68" s="192"/>
      <c r="AW68" s="192"/>
      <c r="AX68" s="192"/>
      <c r="AY68" s="192"/>
      <c r="AZ68" s="192"/>
      <c r="BA68" s="192"/>
      <c r="BB68" s="192"/>
      <c r="BC68" s="192"/>
      <c r="BD68" s="191"/>
      <c r="BE68" s="192"/>
      <c r="BF68" s="192"/>
      <c r="BG68" s="192"/>
      <c r="BH68" s="192"/>
      <c r="BI68" s="191"/>
      <c r="BJ68" s="192"/>
      <c r="BK68" s="192"/>
      <c r="BL68" s="192"/>
      <c r="BM68" s="192"/>
      <c r="BN68" s="191"/>
      <c r="BO68" s="192"/>
      <c r="BP68" s="192"/>
      <c r="BQ68" s="192"/>
      <c r="BR68" s="192"/>
      <c r="BS68" s="191"/>
      <c r="BT68" s="192"/>
      <c r="BU68" s="192"/>
      <c r="BV68" s="192"/>
      <c r="BW68" s="192"/>
      <c r="BX68" s="191"/>
      <c r="BY68" s="192"/>
      <c r="BZ68" s="1665"/>
      <c r="CA68" s="1149"/>
      <c r="CB68" s="1149"/>
      <c r="CC68" s="1366">
        <f>CC67-BX67</f>
        <v>3377000</v>
      </c>
      <c r="CD68" s="310"/>
      <c r="CE68" s="192"/>
      <c r="CF68" s="192"/>
      <c r="CG68" s="192"/>
      <c r="CH68" s="782">
        <f>CH67/CC67-1</f>
        <v>0.33214585079631176</v>
      </c>
      <c r="CI68" s="192"/>
      <c r="CJ68" s="192"/>
      <c r="CK68" s="192"/>
      <c r="CL68" s="192"/>
      <c r="CM68" s="782">
        <f>CM67/CH67-1</f>
        <v>0.23399402233758071</v>
      </c>
      <c r="CN68" s="192"/>
      <c r="CO68" s="192"/>
      <c r="CP68" s="192"/>
      <c r="CQ68" s="192"/>
      <c r="CR68" s="782">
        <f>CR67/CM67-1</f>
        <v>0.17209509847663962</v>
      </c>
      <c r="CS68" s="192"/>
      <c r="CT68" s="192"/>
      <c r="CU68" s="192"/>
      <c r="CV68" s="192"/>
      <c r="CW68" s="782">
        <f>CW67/CR67-1</f>
        <v>0.13714720756974286</v>
      </c>
      <c r="CZ68" s="201"/>
      <c r="DA68" s="200"/>
      <c r="DB68" s="200"/>
    </row>
    <row r="69" spans="1:106">
      <c r="A69" s="206" t="s">
        <v>754</v>
      </c>
      <c r="B69" s="192"/>
      <c r="C69" s="192"/>
      <c r="D69" s="192"/>
      <c r="E69" s="192"/>
      <c r="F69" s="137"/>
      <c r="G69" s="192"/>
      <c r="H69" s="192"/>
      <c r="I69" s="192"/>
      <c r="J69" s="192"/>
      <c r="K69" s="192"/>
      <c r="L69" s="192"/>
      <c r="M69" s="192"/>
      <c r="N69" s="192"/>
      <c r="O69" s="192"/>
      <c r="P69" s="192"/>
      <c r="Q69" s="192"/>
      <c r="R69" s="192"/>
      <c r="S69" s="843"/>
      <c r="T69" s="192"/>
      <c r="U69" s="843"/>
      <c r="V69" s="192"/>
      <c r="W69" s="192"/>
      <c r="X69" s="192"/>
      <c r="Y69" s="192"/>
      <c r="Z69" s="192"/>
      <c r="AA69" s="192"/>
      <c r="AB69" s="192"/>
      <c r="AC69" s="192"/>
      <c r="AD69" s="192"/>
      <c r="AE69" s="192"/>
      <c r="AF69" s="192"/>
      <c r="AG69" s="192"/>
      <c r="AH69" s="192"/>
      <c r="AI69" s="192"/>
      <c r="AJ69" s="192"/>
      <c r="AK69" s="192"/>
      <c r="AL69" s="192"/>
      <c r="AM69" s="192"/>
      <c r="AN69" s="192"/>
      <c r="AO69" s="192"/>
      <c r="AP69" s="192"/>
      <c r="AQ69" s="192"/>
      <c r="AR69" s="192"/>
      <c r="AS69" s="192"/>
      <c r="AT69" s="192"/>
      <c r="AU69" s="192"/>
      <c r="AV69" s="192"/>
      <c r="AW69" s="192"/>
      <c r="AX69" s="192"/>
      <c r="AY69" s="192"/>
      <c r="AZ69" s="192"/>
      <c r="BA69" s="192"/>
      <c r="BB69" s="192"/>
      <c r="BC69" s="192"/>
      <c r="BD69" s="191"/>
      <c r="BE69" s="192"/>
      <c r="BF69" s="1149">
        <f>293000-SUM(BG69:BH69)</f>
        <v>53000</v>
      </c>
      <c r="BG69" s="1149">
        <f>BG67-BF67</f>
        <v>106000</v>
      </c>
      <c r="BH69" s="1149">
        <f>BH67-BG67</f>
        <v>134000</v>
      </c>
      <c r="BI69" s="1366">
        <f>SUM(BE69:BH69)</f>
        <v>293000</v>
      </c>
      <c r="BJ69" s="1149">
        <f>BJ67-BH67</f>
        <v>156000</v>
      </c>
      <c r="BK69" s="1149">
        <f>BK67-BJ67</f>
        <v>227000</v>
      </c>
      <c r="BL69" s="1149">
        <f>BL67-BK67</f>
        <v>322000</v>
      </c>
      <c r="BM69" s="1149">
        <f>BM67-BL67</f>
        <v>402000</v>
      </c>
      <c r="BN69" s="1366">
        <f>SUM(BJ69:BM69)</f>
        <v>1107000</v>
      </c>
      <c r="BO69" s="1149">
        <f>BO67-BM67</f>
        <v>405000</v>
      </c>
      <c r="BP69" s="1149">
        <f>BP67-BO67</f>
        <v>464000</v>
      </c>
      <c r="BQ69" s="1149">
        <f>BQ67-BP67</f>
        <v>502000</v>
      </c>
      <c r="BR69" s="1149">
        <f>BR67-BQ67</f>
        <v>648000</v>
      </c>
      <c r="BS69" s="1366">
        <f>SUM(BO69:BR69)</f>
        <v>2019000</v>
      </c>
      <c r="BT69" s="1149">
        <f>BT67-BR67</f>
        <v>532000</v>
      </c>
      <c r="BU69" s="1149">
        <f>BU67-BT67</f>
        <v>660000</v>
      </c>
      <c r="BV69" s="1149">
        <f>BV67-BU67</f>
        <v>684000</v>
      </c>
      <c r="BW69" s="1149">
        <f>BW67-BV67</f>
        <v>833000</v>
      </c>
      <c r="BX69" s="1366">
        <f>SUM(BT69:BW69)</f>
        <v>2709000</v>
      </c>
      <c r="BY69" s="1149">
        <f>BY67-BW67</f>
        <v>798000</v>
      </c>
      <c r="BZ69" s="1431">
        <f>BY69</f>
        <v>798000</v>
      </c>
      <c r="CA69" s="1431">
        <v>853000</v>
      </c>
      <c r="CB69" s="1149">
        <v>928000</v>
      </c>
      <c r="CC69" s="1366">
        <f>SUM(BY69:CB69)</f>
        <v>3377000</v>
      </c>
      <c r="CD69" s="1149">
        <v>650000</v>
      </c>
      <c r="CE69" s="1149">
        <f>CD69+175000</f>
        <v>825000</v>
      </c>
      <c r="CF69" s="1149">
        <f>CE69+17500</f>
        <v>842500</v>
      </c>
      <c r="CG69" s="1149">
        <f>CF69+10000</f>
        <v>852500</v>
      </c>
      <c r="CH69" s="1366">
        <f>SUM(CD69:CG69)</f>
        <v>3170000</v>
      </c>
      <c r="CI69" s="1149">
        <v>700000</v>
      </c>
      <c r="CJ69" s="1355">
        <f>CI69+100000</f>
        <v>800000</v>
      </c>
      <c r="CK69" s="1355">
        <f>CJ69-125000</f>
        <v>675000</v>
      </c>
      <c r="CL69" s="1355">
        <f>CK69+125000</f>
        <v>800000</v>
      </c>
      <c r="CM69" s="1366">
        <f>SUM(CI69:CL69)</f>
        <v>2975000</v>
      </c>
      <c r="CN69" s="1355">
        <f>CI69-75000</f>
        <v>625000</v>
      </c>
      <c r="CO69" s="1355">
        <f>CN69+100000</f>
        <v>725000</v>
      </c>
      <c r="CP69" s="1355">
        <f>CO69-100000</f>
        <v>625000</v>
      </c>
      <c r="CQ69" s="1355">
        <f>CP69+100000</f>
        <v>725000</v>
      </c>
      <c r="CR69" s="1366">
        <f>SUM(CN69:CQ69)</f>
        <v>2700000</v>
      </c>
      <c r="CS69" s="1355">
        <f>CN69-2000</f>
        <v>623000</v>
      </c>
      <c r="CT69" s="1355">
        <f>CS69+5000</f>
        <v>628000</v>
      </c>
      <c r="CU69" s="1355">
        <f>CT69+5000</f>
        <v>633000</v>
      </c>
      <c r="CV69" s="1355">
        <f>CU69+5000</f>
        <v>638000</v>
      </c>
      <c r="CW69" s="1366">
        <f>SUM(CS69:CV69)</f>
        <v>2522000</v>
      </c>
      <c r="CZ69" s="201"/>
      <c r="DA69" s="200"/>
      <c r="DB69" s="200"/>
    </row>
    <row r="70" spans="1:106">
      <c r="A70" s="1419" t="s">
        <v>559</v>
      </c>
      <c r="B70" s="192"/>
      <c r="C70" s="192"/>
      <c r="D70" s="192"/>
      <c r="E70" s="192"/>
      <c r="F70" s="137"/>
      <c r="G70" s="192"/>
      <c r="H70" s="192"/>
      <c r="I70" s="192"/>
      <c r="J70" s="192"/>
      <c r="K70" s="192"/>
      <c r="L70" s="192"/>
      <c r="M70" s="192"/>
      <c r="N70" s="192"/>
      <c r="O70" s="192"/>
      <c r="P70" s="192"/>
      <c r="Q70" s="192"/>
      <c r="R70" s="192"/>
      <c r="S70" s="843"/>
      <c r="T70" s="192"/>
      <c r="U70" s="843"/>
      <c r="V70" s="192"/>
      <c r="W70" s="192"/>
      <c r="X70" s="192"/>
      <c r="Y70" s="192"/>
      <c r="Z70" s="192"/>
      <c r="AA70" s="192"/>
      <c r="AB70" s="192"/>
      <c r="AC70" s="192"/>
      <c r="AD70" s="192"/>
      <c r="AE70" s="192"/>
      <c r="AF70" s="192"/>
      <c r="AG70" s="192"/>
      <c r="AH70" s="192"/>
      <c r="AI70" s="192"/>
      <c r="AJ70" s="192"/>
      <c r="AK70" s="192"/>
      <c r="AL70" s="192"/>
      <c r="AM70" s="192"/>
      <c r="AN70" s="192"/>
      <c r="AO70" s="192"/>
      <c r="AP70" s="192"/>
      <c r="AQ70" s="192"/>
      <c r="AR70" s="192"/>
      <c r="AS70" s="192"/>
      <c r="AT70" s="192"/>
      <c r="AU70" s="192"/>
      <c r="AV70" s="192"/>
      <c r="AW70" s="192"/>
      <c r="AX70" s="192"/>
      <c r="AY70" s="192"/>
      <c r="AZ70" s="192"/>
      <c r="BA70" s="192"/>
      <c r="BB70" s="192"/>
      <c r="BC70" s="192"/>
      <c r="BD70" s="191"/>
      <c r="BE70" s="192"/>
      <c r="BF70" s="1149"/>
      <c r="BG70" s="1149"/>
      <c r="BH70" s="1149"/>
      <c r="BI70" s="1366"/>
      <c r="BJ70" s="1149"/>
      <c r="BK70" s="1149"/>
      <c r="BL70" s="1149"/>
      <c r="BM70" s="1149"/>
      <c r="BN70" s="1366">
        <f>BN69/BI69-1</f>
        <v>2.7781569965870307</v>
      </c>
      <c r="BO70" s="1149"/>
      <c r="BP70" s="1149"/>
      <c r="BQ70" s="1149"/>
      <c r="BR70" s="1149"/>
      <c r="BS70" s="782">
        <f>BS69/BN69-1</f>
        <v>0.82384823848238486</v>
      </c>
      <c r="BT70" s="1149"/>
      <c r="BU70" s="1149"/>
      <c r="BV70" s="1149"/>
      <c r="BW70" s="1149"/>
      <c r="BX70" s="782">
        <f>BX69/BS69-1</f>
        <v>0.34175334323922724</v>
      </c>
      <c r="BY70" s="1149"/>
      <c r="BZ70" s="1431"/>
      <c r="CA70" s="1431"/>
      <c r="CB70" s="1149"/>
      <c r="CC70" s="782">
        <f>CC69/BX69-1</f>
        <v>0.24658545588778158</v>
      </c>
      <c r="CD70" s="1149"/>
      <c r="CE70" s="1149"/>
      <c r="CF70" s="1149"/>
      <c r="CG70" s="1355"/>
      <c r="CH70" s="782">
        <f>CH69/CC69-1</f>
        <v>-6.1297009179745343E-2</v>
      </c>
      <c r="CI70" s="1149"/>
      <c r="CJ70" s="1355"/>
      <c r="CK70" s="1355"/>
      <c r="CL70" s="1355"/>
      <c r="CM70" s="782">
        <f>CM69/CH69-1</f>
        <v>-6.1514195583596165E-2</v>
      </c>
      <c r="CN70" s="1355"/>
      <c r="CO70" s="1355"/>
      <c r="CP70" s="1355"/>
      <c r="CQ70" s="1355"/>
      <c r="CR70" s="782">
        <f>CR69/CM69-1</f>
        <v>-9.2436974789915971E-2</v>
      </c>
      <c r="CS70" s="1355"/>
      <c r="CT70" s="1355"/>
      <c r="CU70" s="1355"/>
      <c r="CV70" s="1355"/>
      <c r="CW70" s="782">
        <f>CW69/CR69-1</f>
        <v>-6.5925925925925943E-2</v>
      </c>
      <c r="CZ70" s="201"/>
      <c r="DA70" s="200"/>
      <c r="DB70" s="200"/>
    </row>
    <row r="71" spans="1:106">
      <c r="A71" s="206" t="s">
        <v>748</v>
      </c>
      <c r="B71" s="192"/>
      <c r="C71" s="192"/>
      <c r="D71" s="192"/>
      <c r="E71" s="192"/>
      <c r="F71" s="137"/>
      <c r="G71" s="192"/>
      <c r="H71" s="192"/>
      <c r="I71" s="192"/>
      <c r="J71" s="192"/>
      <c r="K71" s="192"/>
      <c r="L71" s="192"/>
      <c r="M71" s="192"/>
      <c r="N71" s="192"/>
      <c r="O71" s="192"/>
      <c r="P71" s="192"/>
      <c r="Q71" s="192"/>
      <c r="R71" s="192"/>
      <c r="S71" s="843"/>
      <c r="T71" s="192"/>
      <c r="U71" s="843"/>
      <c r="V71" s="192"/>
      <c r="W71" s="192"/>
      <c r="X71" s="192"/>
      <c r="Y71" s="192"/>
      <c r="Z71" s="192"/>
      <c r="AA71" s="192"/>
      <c r="AB71" s="192"/>
      <c r="AC71" s="192"/>
      <c r="AD71" s="192"/>
      <c r="AE71" s="192"/>
      <c r="AF71" s="192"/>
      <c r="AG71" s="192"/>
      <c r="AH71" s="192"/>
      <c r="AI71" s="192"/>
      <c r="AJ71" s="192"/>
      <c r="AK71" s="192"/>
      <c r="AL71" s="192"/>
      <c r="AM71" s="192"/>
      <c r="AN71" s="192"/>
      <c r="AO71" s="192"/>
      <c r="AP71" s="192"/>
      <c r="AQ71" s="192"/>
      <c r="AR71" s="192"/>
      <c r="AS71" s="192"/>
      <c r="AT71" s="192"/>
      <c r="AU71" s="192"/>
      <c r="AV71" s="192"/>
      <c r="AW71" s="192"/>
      <c r="AX71" s="192"/>
      <c r="AY71" s="192"/>
      <c r="AZ71" s="192"/>
      <c r="BA71" s="192"/>
      <c r="BB71" s="192"/>
      <c r="BC71" s="192"/>
      <c r="BD71" s="191"/>
      <c r="BE71" s="192"/>
      <c r="BF71" s="1353">
        <v>36</v>
      </c>
      <c r="BG71" s="1353">
        <v>37.5</v>
      </c>
      <c r="BH71" s="1403">
        <f>((BH74-BH73)*1000000)/(12*BH67)</f>
        <v>37.148594377510037</v>
      </c>
      <c r="BI71" s="191"/>
      <c r="BJ71" s="1403">
        <f t="shared" ref="BJ71:CE71" si="52">((BJ74-BJ73)*1000000)/(12*BJ67)</f>
        <v>37.312158469945352</v>
      </c>
      <c r="BK71" s="1403">
        <f t="shared" si="52"/>
        <v>35.241871864526487</v>
      </c>
      <c r="BL71" s="1403">
        <f t="shared" si="52"/>
        <v>37.168376732207825</v>
      </c>
      <c r="BM71" s="1403">
        <f t="shared" si="52"/>
        <v>39.437109103544131</v>
      </c>
      <c r="BN71" s="191">
        <f t="shared" si="52"/>
        <v>39.437109103544131</v>
      </c>
      <c r="BO71" s="1403">
        <f t="shared" si="52"/>
        <v>38.531246981127104</v>
      </c>
      <c r="BP71" s="1403">
        <f t="shared" si="52"/>
        <v>37.074150347205176</v>
      </c>
      <c r="BQ71" s="1403">
        <f t="shared" si="52"/>
        <v>35.564136182229461</v>
      </c>
      <c r="BR71" s="1403">
        <f t="shared" si="52"/>
        <v>32.774243300559093</v>
      </c>
      <c r="BS71" s="1760">
        <f t="shared" si="52"/>
        <v>32.774243300559093</v>
      </c>
      <c r="BT71" s="1403">
        <f t="shared" si="52"/>
        <v>31.489881533193564</v>
      </c>
      <c r="BU71" s="1403">
        <f t="shared" si="52"/>
        <v>30.326489181346197</v>
      </c>
      <c r="BV71" s="1403">
        <f t="shared" si="52"/>
        <v>29.761479162437269</v>
      </c>
      <c r="BW71" s="1403">
        <f t="shared" si="52"/>
        <v>27.741743689530296</v>
      </c>
      <c r="BX71" s="1760">
        <f t="shared" si="52"/>
        <v>27.741743689530296</v>
      </c>
      <c r="BY71" s="1403">
        <f t="shared" si="52"/>
        <v>28.613751409825241</v>
      </c>
      <c r="BZ71" s="1403">
        <f t="shared" si="52"/>
        <v>28.073187367577848</v>
      </c>
      <c r="CA71" s="1403">
        <f t="shared" si="52"/>
        <v>27.382410107656263</v>
      </c>
      <c r="CB71" s="1403">
        <f t="shared" si="52"/>
        <v>26.581796591226599</v>
      </c>
      <c r="CC71" s="1760">
        <f t="shared" si="52"/>
        <v>26.581796591226599</v>
      </c>
      <c r="CD71" s="1403">
        <f t="shared" si="52"/>
        <v>27.458984386247987</v>
      </c>
      <c r="CE71" s="1403">
        <f t="shared" si="52"/>
        <v>27.313661798546857</v>
      </c>
      <c r="CF71" s="1403">
        <f>CE71-0.1</f>
        <v>27.213661798546855</v>
      </c>
      <c r="CG71" s="1403">
        <f>CF71-0.1</f>
        <v>27.113661798546854</v>
      </c>
      <c r="CH71" s="1760">
        <f>((CH74-CH73)*1000000)/(12*CH67)</f>
        <v>28.001426249279007</v>
      </c>
      <c r="CI71" s="1403">
        <f>CG71+1</f>
        <v>28.113661798546854</v>
      </c>
      <c r="CJ71" s="1487">
        <f>CI71+0.6</f>
        <v>28.713661798546855</v>
      </c>
      <c r="CK71" s="1487">
        <f>CJ71-0</f>
        <v>28.713661798546855</v>
      </c>
      <c r="CL71" s="1487">
        <f>CK71+0.125</f>
        <v>28.838661798546855</v>
      </c>
      <c r="CM71" s="1760">
        <f>((CM74-CM73)*1000000)/(12*CM67)</f>
        <v>28.838661798546855</v>
      </c>
      <c r="CN71" s="1487">
        <f>CM71+0.35</f>
        <v>29.188661798546857</v>
      </c>
      <c r="CO71" s="1487">
        <f>CN71+0.35</f>
        <v>29.538661798546858</v>
      </c>
      <c r="CP71" s="1487">
        <f>CO71+0.3</f>
        <v>29.838661798546859</v>
      </c>
      <c r="CQ71" s="1487">
        <f>CP71+0.3</f>
        <v>30.13866179854686</v>
      </c>
      <c r="CR71" s="1760">
        <f>((CR74-CR73)*1000000)/(12*CR67)</f>
        <v>30.138661798546856</v>
      </c>
      <c r="CS71" s="1487">
        <f>CR71+0.3</f>
        <v>30.438661798546857</v>
      </c>
      <c r="CT71" s="1487">
        <f>CS71+0.3</f>
        <v>30.738661798546858</v>
      </c>
      <c r="CU71" s="1487">
        <f>CT71+0.3</f>
        <v>31.038661798546858</v>
      </c>
      <c r="CV71" s="1487">
        <f>CU71+0.3</f>
        <v>31.338661798546859</v>
      </c>
      <c r="CW71" s="1760">
        <f>((CW74-CW73)*1000000)/(12*CW67)</f>
        <v>31.338661798546855</v>
      </c>
      <c r="CZ71" s="201"/>
      <c r="DA71" s="200"/>
      <c r="DB71" s="200"/>
    </row>
    <row r="72" spans="1:106">
      <c r="A72" s="1419" t="s">
        <v>559</v>
      </c>
      <c r="B72" s="192"/>
      <c r="C72" s="192"/>
      <c r="D72" s="192"/>
      <c r="E72" s="192"/>
      <c r="F72" s="137"/>
      <c r="G72" s="192"/>
      <c r="H72" s="192"/>
      <c r="I72" s="192"/>
      <c r="J72" s="192"/>
      <c r="K72" s="192"/>
      <c r="L72" s="192"/>
      <c r="M72" s="192"/>
      <c r="N72" s="192"/>
      <c r="O72" s="192"/>
      <c r="P72" s="192"/>
      <c r="Q72" s="192"/>
      <c r="R72" s="192"/>
      <c r="S72" s="843"/>
      <c r="T72" s="192"/>
      <c r="U72" s="843"/>
      <c r="V72" s="192"/>
      <c r="W72" s="192"/>
      <c r="X72" s="192"/>
      <c r="Y72" s="192"/>
      <c r="Z72" s="192"/>
      <c r="AA72" s="192"/>
      <c r="AB72" s="192"/>
      <c r="AC72" s="192"/>
      <c r="AD72" s="192"/>
      <c r="AE72" s="192"/>
      <c r="AF72" s="192"/>
      <c r="AG72" s="192"/>
      <c r="AH72" s="192"/>
      <c r="AI72" s="192"/>
      <c r="AJ72" s="192"/>
      <c r="AK72" s="192"/>
      <c r="AL72" s="192"/>
      <c r="AM72" s="192"/>
      <c r="AN72" s="192"/>
      <c r="AO72" s="192"/>
      <c r="AP72" s="192"/>
      <c r="AQ72" s="192"/>
      <c r="AR72" s="192"/>
      <c r="AS72" s="192"/>
      <c r="AT72" s="192"/>
      <c r="AU72" s="192"/>
      <c r="AV72" s="192"/>
      <c r="AW72" s="192"/>
      <c r="AX72" s="192"/>
      <c r="AY72" s="192"/>
      <c r="AZ72" s="192"/>
      <c r="BA72" s="192"/>
      <c r="BB72" s="192"/>
      <c r="BC72" s="192"/>
      <c r="BD72" s="191"/>
      <c r="BE72" s="192"/>
      <c r="BF72" s="1353"/>
      <c r="BG72" s="1353"/>
      <c r="BH72" s="1354"/>
      <c r="BI72" s="191"/>
      <c r="BJ72" s="1354"/>
      <c r="BK72" s="1354"/>
      <c r="BL72" s="1354"/>
      <c r="BM72" s="1354"/>
      <c r="BN72" s="191"/>
      <c r="BO72" s="1354"/>
      <c r="BP72" s="1354"/>
      <c r="BQ72" s="1490"/>
      <c r="BR72" s="1354"/>
      <c r="BS72" s="782">
        <f>BS71/BN71-1</f>
        <v>-0.16894914344485412</v>
      </c>
      <c r="BT72" s="1638"/>
      <c r="BU72" s="1354"/>
      <c r="BV72" s="1490"/>
      <c r="BW72" s="1354"/>
      <c r="BX72" s="782">
        <f>BX71/BS71-1</f>
        <v>-0.15355044401415507</v>
      </c>
      <c r="BY72" s="1487"/>
      <c r="BZ72" s="1354"/>
      <c r="CA72" s="1354"/>
      <c r="CB72" s="1700"/>
      <c r="CC72" s="782">
        <f>CC71/BX71-1</f>
        <v>-4.1812335637051556E-2</v>
      </c>
      <c r="CD72" s="1700"/>
      <c r="CE72" s="1748"/>
      <c r="CF72" s="1354"/>
      <c r="CG72" s="1354"/>
      <c r="CH72" s="782">
        <f>CH71/CC71-1</f>
        <v>5.3406083865714438E-2</v>
      </c>
      <c r="CI72" s="1354"/>
      <c r="CJ72" s="1354"/>
      <c r="CK72" s="1354"/>
      <c r="CL72" s="1354"/>
      <c r="CM72" s="782">
        <f>CM71/CH71-1</f>
        <v>2.9899746599136412E-2</v>
      </c>
      <c r="CN72" s="1354"/>
      <c r="CO72" s="1354"/>
      <c r="CP72" s="1354"/>
      <c r="CQ72" s="1354"/>
      <c r="CR72" s="782">
        <f>CR71/CM71-1</f>
        <v>4.5078374616727368E-2</v>
      </c>
      <c r="CS72" s="1354"/>
      <c r="CT72" s="1354"/>
      <c r="CU72" s="1354"/>
      <c r="CV72" s="1354"/>
      <c r="CW72" s="782">
        <f>CW71/CR71-1</f>
        <v>3.9815968207913555E-2</v>
      </c>
      <c r="CZ72" s="201"/>
      <c r="DA72" s="200"/>
      <c r="DB72" s="200"/>
    </row>
    <row r="73" spans="1:106">
      <c r="A73" s="828" t="s">
        <v>763</v>
      </c>
      <c r="B73" s="1394"/>
      <c r="C73" s="1394"/>
      <c r="D73" s="1394"/>
      <c r="E73" s="1394"/>
      <c r="F73" s="799"/>
      <c r="G73" s="1394"/>
      <c r="H73" s="1394"/>
      <c r="I73" s="1394"/>
      <c r="J73" s="1394"/>
      <c r="K73" s="1394"/>
      <c r="L73" s="1394"/>
      <c r="M73" s="1394"/>
      <c r="N73" s="1394"/>
      <c r="O73" s="1394"/>
      <c r="P73" s="1394"/>
      <c r="Q73" s="1394"/>
      <c r="R73" s="1394"/>
      <c r="S73" s="1395"/>
      <c r="T73" s="1394"/>
      <c r="U73" s="1395"/>
      <c r="V73" s="1394"/>
      <c r="W73" s="1394"/>
      <c r="X73" s="1394"/>
      <c r="Y73" s="1394"/>
      <c r="Z73" s="1394"/>
      <c r="AA73" s="1394"/>
      <c r="AB73" s="1394"/>
      <c r="AC73" s="1394"/>
      <c r="AD73" s="1394"/>
      <c r="AE73" s="1394"/>
      <c r="AF73" s="1394"/>
      <c r="AG73" s="1394"/>
      <c r="AH73" s="1394"/>
      <c r="AI73" s="1394"/>
      <c r="AJ73" s="1394"/>
      <c r="AK73" s="1394"/>
      <c r="AL73" s="1394"/>
      <c r="AM73" s="1394"/>
      <c r="AN73" s="1394"/>
      <c r="AO73" s="1394"/>
      <c r="AP73" s="1394"/>
      <c r="AQ73" s="1394"/>
      <c r="AR73" s="1394"/>
      <c r="AS73" s="1394"/>
      <c r="AT73" s="1394"/>
      <c r="AU73" s="1394"/>
      <c r="AV73" s="1394"/>
      <c r="AW73" s="1394"/>
      <c r="AX73" s="1394"/>
      <c r="AY73" s="1394"/>
      <c r="AZ73" s="1394"/>
      <c r="BA73" s="1394"/>
      <c r="BB73" s="1394"/>
      <c r="BC73" s="1394"/>
      <c r="BD73" s="1396"/>
      <c r="BE73" s="1394"/>
      <c r="BF73" s="1397"/>
      <c r="BG73" s="1397"/>
      <c r="BH73" s="1397">
        <v>7</v>
      </c>
      <c r="BI73" s="1402">
        <f>BH73</f>
        <v>7</v>
      </c>
      <c r="BJ73" s="1404">
        <v>18.5</v>
      </c>
      <c r="BK73" s="1397">
        <f>(BK94*12*BK92)/1000000</f>
        <v>59.624739402362749</v>
      </c>
      <c r="BL73" s="1397">
        <f>(BL94*12*BL92)/1000000</f>
        <v>86.476719944405843</v>
      </c>
      <c r="BM73" s="1397">
        <f>(BM94*12*BM92)/1000000</f>
        <v>120</v>
      </c>
      <c r="BN73" s="1402">
        <f>BM73</f>
        <v>120</v>
      </c>
      <c r="BO73" s="1397">
        <f>(BO94*12*BO92)/1000000</f>
        <v>134.38056680161944</v>
      </c>
      <c r="BP73" s="1397">
        <f>(BP94*12*BP92)/1000000</f>
        <v>168.19433198380565</v>
      </c>
      <c r="BQ73" s="1397">
        <f>(BQ94*12*BQ92)/1000000</f>
        <v>204.77732793522267</v>
      </c>
      <c r="BR73" s="1397">
        <f>(BR94*12*BR92)/1000000</f>
        <v>252</v>
      </c>
      <c r="BS73" s="1402">
        <f>BR73</f>
        <v>252</v>
      </c>
      <c r="BT73" s="1397">
        <f>(BT94*12*BT92)/1000000</f>
        <v>287.26447219069235</v>
      </c>
      <c r="BU73" s="1397">
        <f>(BU94*12*BU92)/1000000</f>
        <v>334.78190368088212</v>
      </c>
      <c r="BV73" s="1397">
        <f>(BV94*12*BV92)/1000000</f>
        <v>384.02724177071514</v>
      </c>
      <c r="BW73" s="1397">
        <f>(BW94*12*BW92)/1000000</f>
        <v>444</v>
      </c>
      <c r="BX73" s="1402">
        <f>BW73</f>
        <v>444</v>
      </c>
      <c r="BY73" s="1397">
        <f>(BY94*12*BY92)/1000000</f>
        <v>343.46265716680648</v>
      </c>
      <c r="BZ73" s="1397">
        <f>(BZ94*12*BZ92)/1000000</f>
        <v>382.81415758591788</v>
      </c>
      <c r="CA73" s="1397">
        <f>(CA94*12*CA92)/1000000</f>
        <v>424.8778541492037</v>
      </c>
      <c r="CB73" s="1397">
        <f>(CB94*12*CB92)/1000000</f>
        <v>470.64000000000004</v>
      </c>
      <c r="CC73" s="1402">
        <f>CB73</f>
        <v>470.64000000000004</v>
      </c>
      <c r="CD73" s="1397">
        <f>(CD94*12*CD92)/1000000</f>
        <v>399.99735799905631</v>
      </c>
      <c r="CE73" s="1397">
        <f>(CE94*12*CE92)/1000000</f>
        <v>432.36912770174627</v>
      </c>
      <c r="CF73" s="1397">
        <f>(CF94*12*CF92)/1000000</f>
        <v>465.42757130722055</v>
      </c>
      <c r="CG73" s="1397">
        <f>(CG94*12*CG92)/1000000</f>
        <v>498.87840000000017</v>
      </c>
      <c r="CH73" s="1402">
        <f>CG73</f>
        <v>498.87840000000017</v>
      </c>
      <c r="CI73" s="1397">
        <f>(CI94*12*CI92)/1000000</f>
        <v>452.13029186410876</v>
      </c>
      <c r="CJ73" s="1397">
        <f>(CJ94*12*CJ92)/1000000</f>
        <v>479.09497305475185</v>
      </c>
      <c r="CK73" s="1397">
        <f>(CK94*12*CK92)/1000000</f>
        <v>501.84642280935697</v>
      </c>
      <c r="CL73" s="1397">
        <f>(CL94*12*CL92)/1000000</f>
        <v>528.81110400000011</v>
      </c>
      <c r="CM73" s="1402">
        <f>CL73</f>
        <v>528.81110400000011</v>
      </c>
      <c r="CN73" s="1397">
        <f>(CN94*12*CN92)/1000000</f>
        <v>497.28891248547302</v>
      </c>
      <c r="CO73" s="1397">
        <f>(CO94*12*CO92)/1000000</f>
        <v>519.38860977319951</v>
      </c>
      <c r="CP73" s="1397">
        <f>(CP94*12*CP92)/1000000</f>
        <v>538.44007295227379</v>
      </c>
      <c r="CQ73" s="1397">
        <f>(CQ94*12*CQ92)/1000000</f>
        <v>560.53977024000028</v>
      </c>
      <c r="CR73" s="1402">
        <f>CQ73</f>
        <v>560.53977024000028</v>
      </c>
      <c r="CS73" s="1397">
        <f>(CS94*12*CS92)/1000000</f>
        <v>540.21333453737543</v>
      </c>
      <c r="CT73" s="1397">
        <f>(CT94*12*CT92)/1000000</f>
        <v>558.05753683537</v>
      </c>
      <c r="CU73" s="1397">
        <f>(CU94*12*CU92)/1000000</f>
        <v>576.04381080771157</v>
      </c>
      <c r="CV73" s="1397">
        <f>(CV94*12*CV92)/1000000</f>
        <v>594.17215645440024</v>
      </c>
      <c r="CW73" s="1402">
        <f>CV73</f>
        <v>594.17215645440024</v>
      </c>
      <c r="CZ73" s="201"/>
      <c r="DA73" s="200"/>
      <c r="DB73" s="200"/>
    </row>
    <row r="74" spans="1:106">
      <c r="A74" s="1462" t="s">
        <v>454</v>
      </c>
      <c r="B74" s="1463"/>
      <c r="C74" s="1463"/>
      <c r="D74" s="1463"/>
      <c r="E74" s="1463"/>
      <c r="F74" s="1464"/>
      <c r="G74" s="1463"/>
      <c r="H74" s="1463"/>
      <c r="I74" s="1463"/>
      <c r="J74" s="1463"/>
      <c r="K74" s="1463"/>
      <c r="L74" s="1463"/>
      <c r="M74" s="1463"/>
      <c r="N74" s="1463"/>
      <c r="O74" s="1463"/>
      <c r="P74" s="1463"/>
      <c r="Q74" s="1463"/>
      <c r="R74" s="1463"/>
      <c r="S74" s="1465"/>
      <c r="T74" s="1463"/>
      <c r="U74" s="1465"/>
      <c r="V74" s="1463"/>
      <c r="W74" s="1463"/>
      <c r="X74" s="1463"/>
      <c r="Y74" s="1463"/>
      <c r="Z74" s="1463"/>
      <c r="AA74" s="1463"/>
      <c r="AB74" s="1463"/>
      <c r="AC74" s="1463"/>
      <c r="AD74" s="1463"/>
      <c r="AE74" s="1463"/>
      <c r="AF74" s="1463"/>
      <c r="AG74" s="1463"/>
      <c r="AH74" s="1463"/>
      <c r="AI74" s="1463"/>
      <c r="AJ74" s="1463"/>
      <c r="AK74" s="1463"/>
      <c r="AL74" s="1463"/>
      <c r="AM74" s="1463"/>
      <c r="AN74" s="1463"/>
      <c r="AO74" s="1463"/>
      <c r="AP74" s="1463"/>
      <c r="AQ74" s="1463"/>
      <c r="AR74" s="1463"/>
      <c r="AS74" s="1463"/>
      <c r="AT74" s="1463"/>
      <c r="AU74" s="1463"/>
      <c r="AV74" s="1463"/>
      <c r="AW74" s="1463"/>
      <c r="AX74" s="1463"/>
      <c r="AY74" s="1463"/>
      <c r="AZ74" s="1463"/>
      <c r="BA74" s="1463"/>
      <c r="BB74" s="1463"/>
      <c r="BC74" s="1463"/>
      <c r="BD74" s="1466"/>
      <c r="BE74" s="1467"/>
      <c r="BF74" s="1468">
        <v>43</v>
      </c>
      <c r="BG74" s="1468">
        <v>92</v>
      </c>
      <c r="BH74" s="1468">
        <v>155</v>
      </c>
      <c r="BI74" s="1470">
        <f>BH74</f>
        <v>155</v>
      </c>
      <c r="BJ74" s="1468">
        <v>237</v>
      </c>
      <c r="BK74" s="1468">
        <v>362</v>
      </c>
      <c r="BL74" s="1469">
        <v>549</v>
      </c>
      <c r="BM74" s="1469">
        <v>801</v>
      </c>
      <c r="BN74" s="1470">
        <f>BM74</f>
        <v>801</v>
      </c>
      <c r="BO74" s="1468">
        <v>987</v>
      </c>
      <c r="BP74" s="1468">
        <v>1195</v>
      </c>
      <c r="BQ74" s="1468">
        <v>1404</v>
      </c>
      <c r="BR74" s="1468">
        <v>1612</v>
      </c>
      <c r="BS74" s="1470">
        <f>BR74</f>
        <v>1612</v>
      </c>
      <c r="BT74" s="1468">
        <v>1795</v>
      </c>
      <c r="BU74" s="1468">
        <v>2027</v>
      </c>
      <c r="BV74" s="1468">
        <v>2289</v>
      </c>
      <c r="BW74" s="1468">
        <v>2497</v>
      </c>
      <c r="BX74" s="1470">
        <f>BW74</f>
        <v>2497</v>
      </c>
      <c r="BY74" s="1468">
        <v>2735</v>
      </c>
      <c r="BZ74" s="1468">
        <v>2998</v>
      </c>
      <c r="CA74" s="1468">
        <v>3256</v>
      </c>
      <c r="CB74" s="1468">
        <v>3515</v>
      </c>
      <c r="CC74" s="1470">
        <f>CB74</f>
        <v>3515</v>
      </c>
      <c r="CD74" s="1468">
        <v>3759</v>
      </c>
      <c r="CE74" s="1468">
        <v>4044</v>
      </c>
      <c r="CF74" s="1468">
        <v>4316</v>
      </c>
      <c r="CG74" s="1468">
        <v>4771</v>
      </c>
      <c r="CH74" s="1470">
        <f>CG74</f>
        <v>4771</v>
      </c>
      <c r="CI74" s="1468">
        <v>5074</v>
      </c>
      <c r="CJ74" s="1468">
        <f>(CJ71*12*CJ67)/1000000+CJ73</f>
        <v>5376.7268387092918</v>
      </c>
      <c r="CK74" s="1468">
        <f>(CK71*12*CK67)/1000000+CK73</f>
        <v>5632.0589490321272</v>
      </c>
      <c r="CL74" s="1468">
        <f>(CL71*12*CL67)/1000000+CL73</f>
        <v>5958.2082834888197</v>
      </c>
      <c r="CM74" s="1470">
        <f>CL74</f>
        <v>5958.2082834888197</v>
      </c>
      <c r="CN74" s="1468">
        <f>(CN71*12*CN67)/1000000+CN73</f>
        <v>6211.4948554633929</v>
      </c>
      <c r="CO74" s="1468">
        <f>(CO71*12*CO67)/1000000+CO73</f>
        <v>6559.0997103984791</v>
      </c>
      <c r="CP74" s="1468">
        <f>(CP71*12*CP67)/1000000+CP73</f>
        <v>6863.281537066654</v>
      </c>
      <c r="CQ74" s="1468">
        <f>(CQ71*12*CQ67)/1000000+CQ73</f>
        <v>7211.1779920017379</v>
      </c>
      <c r="CR74" s="1470">
        <f>CQ74</f>
        <v>7211.1779920017379</v>
      </c>
      <c r="CS74" s="1468">
        <f>(CS71*12*CS67)/1000000+CS73</f>
        <v>7484.6113919050495</v>
      </c>
      <c r="CT74" s="1468">
        <f>(CT71*12*CT67)/1000000+CT73</f>
        <v>7802.5453495168931</v>
      </c>
      <c r="CU74" s="1468">
        <f>(CU71*12*CU67)/1000000+CU73</f>
        <v>8127.0052985109978</v>
      </c>
      <c r="CV74" s="1468">
        <f>(CV71*12*CV67)/1000000+CV73</f>
        <v>8458.04523888736</v>
      </c>
      <c r="CW74" s="1470">
        <f>CV74</f>
        <v>8458.04523888736</v>
      </c>
      <c r="CZ74" s="415"/>
      <c r="DA74" s="414"/>
      <c r="DB74" s="414"/>
    </row>
    <row r="75" spans="1:106">
      <c r="A75" s="206"/>
      <c r="B75" s="192"/>
      <c r="C75" s="192"/>
      <c r="D75" s="192"/>
      <c r="E75" s="192"/>
      <c r="F75" s="137"/>
      <c r="G75" s="192"/>
      <c r="H75" s="192"/>
      <c r="I75" s="192"/>
      <c r="J75" s="192"/>
      <c r="K75" s="192"/>
      <c r="L75" s="192"/>
      <c r="M75" s="192"/>
      <c r="N75" s="192"/>
      <c r="O75" s="192"/>
      <c r="P75" s="192"/>
      <c r="Q75" s="192"/>
      <c r="R75" s="192"/>
      <c r="S75" s="843"/>
      <c r="T75" s="192"/>
      <c r="U75" s="843"/>
      <c r="V75" s="192"/>
      <c r="W75" s="192"/>
      <c r="X75" s="192"/>
      <c r="Y75" s="192"/>
      <c r="Z75" s="192"/>
      <c r="AA75" s="192"/>
      <c r="AB75" s="192"/>
      <c r="AC75" s="192"/>
      <c r="AD75" s="192"/>
      <c r="AE75" s="192"/>
      <c r="AF75" s="192"/>
      <c r="AG75" s="192"/>
      <c r="AH75" s="192"/>
      <c r="AI75" s="192"/>
      <c r="AJ75" s="192"/>
      <c r="AK75" s="192"/>
      <c r="AL75" s="192"/>
      <c r="AM75" s="192"/>
      <c r="AN75" s="192"/>
      <c r="AO75" s="192"/>
      <c r="AP75" s="192"/>
      <c r="AQ75" s="192"/>
      <c r="AR75" s="192"/>
      <c r="AS75" s="192"/>
      <c r="AT75" s="192"/>
      <c r="AU75" s="192"/>
      <c r="AV75" s="192"/>
      <c r="AW75" s="192"/>
      <c r="AX75" s="192"/>
      <c r="AY75" s="192"/>
      <c r="AZ75" s="192"/>
      <c r="BA75" s="192"/>
      <c r="BB75" s="192"/>
      <c r="BC75" s="192"/>
      <c r="BD75" s="191"/>
      <c r="BE75" s="1148"/>
      <c r="BF75" s="1353"/>
      <c r="BG75" s="1353"/>
      <c r="BH75" s="1353"/>
      <c r="BI75" s="191"/>
      <c r="BJ75" s="1353"/>
      <c r="BK75" s="1353"/>
      <c r="BL75" s="1405"/>
      <c r="BM75" s="1405"/>
      <c r="BN75" s="191"/>
      <c r="BO75" s="1353">
        <f>BO74-BN74</f>
        <v>186</v>
      </c>
      <c r="BP75" s="1353">
        <f>BP74-BO74</f>
        <v>208</v>
      </c>
      <c r="BQ75" s="1353">
        <f>BQ74-BP74</f>
        <v>209</v>
      </c>
      <c r="BR75" s="1353">
        <f>BR74-BQ74</f>
        <v>208</v>
      </c>
      <c r="BS75" s="1363"/>
      <c r="BT75" s="1353">
        <f>BT74-BR74</f>
        <v>183</v>
      </c>
      <c r="BU75" s="1353">
        <f>BU74-BT74</f>
        <v>232</v>
      </c>
      <c r="BV75" s="1353">
        <f>BV74-BU74</f>
        <v>262</v>
      </c>
      <c r="BW75" s="1353">
        <f>BW74-BV74</f>
        <v>208</v>
      </c>
      <c r="BX75" s="1363"/>
      <c r="BY75" s="1353">
        <f>BY74-BW74</f>
        <v>238</v>
      </c>
      <c r="BZ75" s="1353">
        <f>BZ74-BY74</f>
        <v>263</v>
      </c>
      <c r="CA75" s="1353">
        <f>CA74-BZ74</f>
        <v>258</v>
      </c>
      <c r="CB75" s="1353">
        <f>CB74-CA74</f>
        <v>259</v>
      </c>
      <c r="CC75" s="782"/>
      <c r="CD75" s="1353">
        <f>CD74-CB74</f>
        <v>244</v>
      </c>
      <c r="CE75" s="1353">
        <f>CE74-CD74</f>
        <v>285</v>
      </c>
      <c r="CF75" s="1353">
        <f>CF74-CE74</f>
        <v>272</v>
      </c>
      <c r="CG75" s="1353">
        <f>CG74-CF74</f>
        <v>455</v>
      </c>
      <c r="CH75" s="1363"/>
      <c r="CI75" s="1353">
        <f>CI74-CG74</f>
        <v>303</v>
      </c>
      <c r="CJ75" s="1353">
        <f>CJ74-CI74</f>
        <v>302.72683870929177</v>
      </c>
      <c r="CK75" s="1353">
        <f>CK74-CJ74</f>
        <v>255.33211032283543</v>
      </c>
      <c r="CL75" s="1353">
        <f>CL74-CK74</f>
        <v>326.14933445669249</v>
      </c>
      <c r="CM75" s="1363">
        <f>SUM(CI75:CL75)</f>
        <v>1187.2082834888197</v>
      </c>
      <c r="CN75" s="1353">
        <f>CN74-CL74</f>
        <v>253.28657197457323</v>
      </c>
      <c r="CO75" s="1353">
        <f>CO74-CN74</f>
        <v>347.60485493508622</v>
      </c>
      <c r="CP75" s="1353">
        <f>CP74-CO74</f>
        <v>304.18182666817484</v>
      </c>
      <c r="CQ75" s="1353">
        <f>CQ74-CP74</f>
        <v>347.89645493508397</v>
      </c>
      <c r="CR75" s="1363">
        <f>SUM(CN75:CQ75)</f>
        <v>1252.9697085129183</v>
      </c>
      <c r="CS75" s="1353">
        <f>CS74-CQ74</f>
        <v>273.43339990331151</v>
      </c>
      <c r="CT75" s="1353">
        <f>CT74-CS74</f>
        <v>317.93395761184365</v>
      </c>
      <c r="CU75" s="1353">
        <f>CU74-CT74</f>
        <v>324.45994899410471</v>
      </c>
      <c r="CV75" s="1353">
        <f>CV74-CU74</f>
        <v>331.03994037636221</v>
      </c>
      <c r="CW75" s="1363">
        <f>SUM(CS75:CV75)</f>
        <v>1246.8672468856221</v>
      </c>
      <c r="CZ75" s="201"/>
      <c r="DA75" s="200"/>
      <c r="DB75" s="200"/>
    </row>
    <row r="76" spans="1:106">
      <c r="A76" s="206" t="s">
        <v>450</v>
      </c>
      <c r="B76" s="192"/>
      <c r="C76" s="192"/>
      <c r="D76" s="192"/>
      <c r="E76" s="192"/>
      <c r="F76" s="137"/>
      <c r="G76" s="192"/>
      <c r="H76" s="192"/>
      <c r="I76" s="192"/>
      <c r="J76" s="192"/>
      <c r="K76" s="192"/>
      <c r="L76" s="192"/>
      <c r="M76" s="192"/>
      <c r="N76" s="192"/>
      <c r="O76" s="192"/>
      <c r="P76" s="192"/>
      <c r="Q76" s="192"/>
      <c r="R76" s="192"/>
      <c r="S76" s="843"/>
      <c r="T76" s="192"/>
      <c r="U76" s="843"/>
      <c r="V76" s="192"/>
      <c r="W76" s="192"/>
      <c r="X76" s="192"/>
      <c r="Y76" s="192"/>
      <c r="Z76" s="192"/>
      <c r="AA76" s="192"/>
      <c r="AB76" s="192"/>
      <c r="AC76" s="192"/>
      <c r="AD76" s="192"/>
      <c r="AE76" s="192"/>
      <c r="AF76" s="192"/>
      <c r="AG76" s="192"/>
      <c r="AH76" s="192"/>
      <c r="AI76" s="192"/>
      <c r="AJ76" s="192"/>
      <c r="AK76" s="192"/>
      <c r="AL76" s="192"/>
      <c r="AM76" s="192"/>
      <c r="AN76" s="192"/>
      <c r="AO76" s="192"/>
      <c r="AP76" s="192"/>
      <c r="AQ76" s="192"/>
      <c r="AR76" s="192"/>
      <c r="AS76" s="192"/>
      <c r="AT76" s="192"/>
      <c r="AU76" s="192"/>
      <c r="AV76" s="192"/>
      <c r="AW76" s="192"/>
      <c r="AX76" s="192"/>
      <c r="AY76" s="192"/>
      <c r="AZ76" s="192"/>
      <c r="BA76" s="192"/>
      <c r="BB76" s="192"/>
      <c r="BC76" s="192"/>
      <c r="BD76" s="191"/>
      <c r="BE76" s="1148"/>
      <c r="BF76" s="1353"/>
      <c r="BG76" s="1353"/>
      <c r="BH76" s="1353"/>
      <c r="BI76" s="191"/>
      <c r="BJ76" s="310">
        <f>BJ69/BH69-1</f>
        <v>0.16417910447761197</v>
      </c>
      <c r="BK76" s="310">
        <f>BK69/BJ69-1</f>
        <v>0.45512820512820507</v>
      </c>
      <c r="BL76" s="1428">
        <f>BL69/BK69-1</f>
        <v>0.41850220264317173</v>
      </c>
      <c r="BM76" s="1428">
        <f>BM69/BL69-1</f>
        <v>0.24844720496894412</v>
      </c>
      <c r="BN76" s="191"/>
      <c r="BO76" s="532">
        <f>BO69/BM69-1</f>
        <v>7.4626865671640896E-3</v>
      </c>
      <c r="BP76" s="532">
        <f>BP69/BO69-1</f>
        <v>0.14567901234567904</v>
      </c>
      <c r="BQ76" s="532">
        <f>BQ69/BP69-1</f>
        <v>8.18965517241379E-2</v>
      </c>
      <c r="BR76" s="532">
        <f>BR69/BQ69-1</f>
        <v>0.29083665338645415</v>
      </c>
      <c r="BS76" s="1363"/>
      <c r="BT76" s="532">
        <f>BT69/BR69-1</f>
        <v>-0.17901234567901236</v>
      </c>
      <c r="BU76" s="532">
        <f>BU69/BT69-1</f>
        <v>0.24060150375939848</v>
      </c>
      <c r="BV76" s="532">
        <f>BV69/BU69-1</f>
        <v>3.6363636363636376E-2</v>
      </c>
      <c r="BW76" s="532">
        <f>BW69/BV69-1</f>
        <v>0.21783625730994149</v>
      </c>
      <c r="BX76" s="861"/>
      <c r="BY76" s="532">
        <f>BY69/BW69-1</f>
        <v>-4.2016806722689037E-2</v>
      </c>
      <c r="BZ76" s="532">
        <f>BZ69/BY69-1</f>
        <v>0</v>
      </c>
      <c r="CA76" s="532">
        <f>CA69/BZ69-1</f>
        <v>6.8922305764411051E-2</v>
      </c>
      <c r="CB76" s="532">
        <f>CB69/CA69-1</f>
        <v>8.7924970691676485E-2</v>
      </c>
      <c r="CC76" s="1363"/>
      <c r="CD76" s="532">
        <f>CD69/CB69-1</f>
        <v>-0.29956896551724133</v>
      </c>
      <c r="CE76" s="532">
        <f>CE69/CD69-1</f>
        <v>0.26923076923076916</v>
      </c>
      <c r="CF76" s="532">
        <f>CF69/CE69-1</f>
        <v>2.1212121212121238E-2</v>
      </c>
      <c r="CG76" s="532">
        <f>CG69/CF69-1</f>
        <v>1.1869436201780381E-2</v>
      </c>
      <c r="CH76" s="861"/>
      <c r="CI76" s="532">
        <f>CI69/CG69-1</f>
        <v>-0.17888563049853368</v>
      </c>
      <c r="CJ76" s="532">
        <f>CJ69/CI69-1</f>
        <v>0.14285714285714279</v>
      </c>
      <c r="CK76" s="532">
        <f>CK69/CJ69-1</f>
        <v>-0.15625</v>
      </c>
      <c r="CL76" s="532">
        <f>CL69/CK69-1</f>
        <v>0.18518518518518512</v>
      </c>
      <c r="CM76" s="1363"/>
      <c r="CN76" s="532">
        <f>CN69/CL69-1</f>
        <v>-0.21875</v>
      </c>
      <c r="CO76" s="532">
        <f>CO69/CN69-1</f>
        <v>0.15999999999999992</v>
      </c>
      <c r="CP76" s="532">
        <f>CP69/CO69-1</f>
        <v>-0.13793103448275867</v>
      </c>
      <c r="CQ76" s="532">
        <f>CQ69/CP69-1</f>
        <v>0.15999999999999992</v>
      </c>
      <c r="CR76" s="1363"/>
      <c r="CS76" s="532">
        <f>CS69/CQ69-1</f>
        <v>-0.14068965517241383</v>
      </c>
      <c r="CT76" s="532">
        <f>CT69/CS69-1</f>
        <v>8.0256821829856051E-3</v>
      </c>
      <c r="CU76" s="532">
        <f>CU69/CT69-1</f>
        <v>7.9617834394904996E-3</v>
      </c>
      <c r="CV76" s="532">
        <f>CV69/CU69-1</f>
        <v>7.89889415481837E-3</v>
      </c>
      <c r="CW76" s="1363"/>
      <c r="CZ76" s="201"/>
      <c r="DA76" s="200"/>
      <c r="DB76" s="200"/>
    </row>
    <row r="77" spans="1:106">
      <c r="A77" s="206" t="s">
        <v>451</v>
      </c>
      <c r="B77" s="192"/>
      <c r="C77" s="192"/>
      <c r="D77" s="192"/>
      <c r="E77" s="192"/>
      <c r="F77" s="137"/>
      <c r="G77" s="192"/>
      <c r="H77" s="192"/>
      <c r="I77" s="192"/>
      <c r="J77" s="192"/>
      <c r="K77" s="192"/>
      <c r="L77" s="192"/>
      <c r="M77" s="192"/>
      <c r="N77" s="192"/>
      <c r="O77" s="192"/>
      <c r="P77" s="192"/>
      <c r="Q77" s="192"/>
      <c r="R77" s="192"/>
      <c r="S77" s="843"/>
      <c r="T77" s="192"/>
      <c r="U77" s="843"/>
      <c r="V77" s="192"/>
      <c r="W77" s="192"/>
      <c r="X77" s="192"/>
      <c r="Y77" s="192"/>
      <c r="Z77" s="192"/>
      <c r="AA77" s="192"/>
      <c r="AB77" s="192"/>
      <c r="AC77" s="192"/>
      <c r="AD77" s="192"/>
      <c r="AE77" s="192"/>
      <c r="AF77" s="192"/>
      <c r="AG77" s="192"/>
      <c r="AH77" s="192"/>
      <c r="AI77" s="192"/>
      <c r="AJ77" s="192"/>
      <c r="AK77" s="192"/>
      <c r="AL77" s="192"/>
      <c r="AM77" s="192"/>
      <c r="AN77" s="192"/>
      <c r="AO77" s="192"/>
      <c r="AP77" s="192"/>
      <c r="AQ77" s="192"/>
      <c r="AR77" s="192"/>
      <c r="AS77" s="192"/>
      <c r="AT77" s="192"/>
      <c r="AU77" s="192"/>
      <c r="AV77" s="192"/>
      <c r="AW77" s="192"/>
      <c r="AX77" s="192"/>
      <c r="AY77" s="192"/>
      <c r="AZ77" s="192"/>
      <c r="BA77" s="192"/>
      <c r="BB77" s="192"/>
      <c r="BC77" s="192"/>
      <c r="BD77" s="191"/>
      <c r="BE77" s="1148"/>
      <c r="BF77" s="1353"/>
      <c r="BG77" s="1353"/>
      <c r="BH77" s="1353"/>
      <c r="BI77" s="191"/>
      <c r="BJ77" s="310">
        <f>BJ74/BH74-1</f>
        <v>0.52903225806451615</v>
      </c>
      <c r="BK77" s="310">
        <f>BK74/BJ74-1</f>
        <v>0.52742616033755274</v>
      </c>
      <c r="BL77" s="1428">
        <f>BL74/BK74-1</f>
        <v>0.51657458563535918</v>
      </c>
      <c r="BM77" s="1428">
        <f>BM74/BL74-1</f>
        <v>0.45901639344262302</v>
      </c>
      <c r="BN77" s="191"/>
      <c r="BO77" s="532">
        <f>BO74/BM74-1</f>
        <v>0.23220973782771526</v>
      </c>
      <c r="BP77" s="532">
        <f>BP74/BO74-1</f>
        <v>0.2107396149949341</v>
      </c>
      <c r="BQ77" s="532">
        <f>BQ74/BP74-1</f>
        <v>0.17489539748953975</v>
      </c>
      <c r="BR77" s="532">
        <f>BR74/BQ74-1</f>
        <v>0.14814814814814814</v>
      </c>
      <c r="BS77" s="1363"/>
      <c r="BT77" s="532">
        <f>BT74/BR74-1</f>
        <v>0.11352357320099249</v>
      </c>
      <c r="BU77" s="532">
        <f>BU74/BT74-1</f>
        <v>0.12924791086350984</v>
      </c>
      <c r="BV77" s="532">
        <f>BV74/BU74-1</f>
        <v>0.12925505673408977</v>
      </c>
      <c r="BW77" s="532">
        <f>BW74/BV74-1</f>
        <v>9.086937527304495E-2</v>
      </c>
      <c r="BX77" s="861"/>
      <c r="BY77" s="532">
        <f>BY74/BW74-1</f>
        <v>9.5314377252703197E-2</v>
      </c>
      <c r="BZ77" s="532">
        <f>BZ74/BY74-1</f>
        <v>9.6160877513711052E-2</v>
      </c>
      <c r="CA77" s="532">
        <f>CA74/BZ74-1</f>
        <v>8.6057371581053976E-2</v>
      </c>
      <c r="CB77" s="532">
        <f>CB74/CA74-1</f>
        <v>7.9545454545454586E-2</v>
      </c>
      <c r="CC77" s="1363"/>
      <c r="CD77" s="532">
        <f>CD74/CB74-1</f>
        <v>6.9416785206258824E-2</v>
      </c>
      <c r="CE77" s="532">
        <f>CE74/CD74-1</f>
        <v>7.5818036711891468E-2</v>
      </c>
      <c r="CF77" s="532">
        <f>CF74/CE74-1</f>
        <v>6.7260138476755715E-2</v>
      </c>
      <c r="CG77" s="532">
        <f>CG74/CF74-1</f>
        <v>0.10542168674698793</v>
      </c>
      <c r="CH77" s="861"/>
      <c r="CI77" s="532">
        <f>CI74/CG74-1</f>
        <v>6.350869838608264E-2</v>
      </c>
      <c r="CJ77" s="532">
        <f>CJ74/CI74-1</f>
        <v>5.9662364743652274E-2</v>
      </c>
      <c r="CK77" s="532">
        <f>CK74/CJ74-1</f>
        <v>4.7488391726467016E-2</v>
      </c>
      <c r="CL77" s="532">
        <f>CL74/CK74-1</f>
        <v>5.7909431951656209E-2</v>
      </c>
      <c r="CM77" s="1363"/>
      <c r="CN77" s="532">
        <f>CN74/CL74-1</f>
        <v>4.2510526642123736E-2</v>
      </c>
      <c r="CO77" s="532">
        <f>CO74/CN74-1</f>
        <v>5.5961545976222826E-2</v>
      </c>
      <c r="CP77" s="532">
        <f>CP74/CO74-1</f>
        <v>4.6375545440472621E-2</v>
      </c>
      <c r="CQ77" s="532">
        <f>CQ74/CP74-1</f>
        <v>5.068952119422665E-2</v>
      </c>
      <c r="CR77" s="1363"/>
      <c r="CS77" s="532">
        <f>CS74/CQ74-1</f>
        <v>3.7917993454965382E-2</v>
      </c>
      <c r="CT77" s="532">
        <f>CT74/CS74-1</f>
        <v>4.2478352043194167E-2</v>
      </c>
      <c r="CU77" s="532">
        <f>CU74/CT74-1</f>
        <v>4.158385942789744E-2</v>
      </c>
      <c r="CV77" s="532">
        <f>CV74/CU74-1</f>
        <v>4.0733324049513575E-2</v>
      </c>
      <c r="CW77" s="1363"/>
      <c r="CZ77" s="201"/>
      <c r="DA77" s="200"/>
      <c r="DB77" s="200"/>
    </row>
    <row r="78" spans="1:106">
      <c r="A78" s="206" t="s">
        <v>830</v>
      </c>
      <c r="B78" s="192"/>
      <c r="C78" s="192"/>
      <c r="D78" s="192"/>
      <c r="E78" s="192"/>
      <c r="F78" s="137"/>
      <c r="G78" s="192"/>
      <c r="H78" s="192"/>
      <c r="I78" s="192"/>
      <c r="J78" s="192"/>
      <c r="K78" s="192"/>
      <c r="L78" s="192"/>
      <c r="M78" s="192"/>
      <c r="N78" s="192"/>
      <c r="O78" s="192"/>
      <c r="P78" s="192"/>
      <c r="Q78" s="192"/>
      <c r="R78" s="192"/>
      <c r="S78" s="843"/>
      <c r="T78" s="192"/>
      <c r="U78" s="843"/>
      <c r="V78" s="192"/>
      <c r="W78" s="192"/>
      <c r="X78" s="192"/>
      <c r="Y78" s="192"/>
      <c r="Z78" s="192"/>
      <c r="AA78" s="192"/>
      <c r="AB78" s="192"/>
      <c r="AC78" s="192"/>
      <c r="AD78" s="192"/>
      <c r="AE78" s="192"/>
      <c r="AF78" s="192"/>
      <c r="AG78" s="192"/>
      <c r="AH78" s="192"/>
      <c r="AI78" s="192"/>
      <c r="AJ78" s="192"/>
      <c r="AK78" s="192"/>
      <c r="AL78" s="192"/>
      <c r="AM78" s="192"/>
      <c r="AN78" s="192"/>
      <c r="AO78" s="192"/>
      <c r="AP78" s="192"/>
      <c r="AQ78" s="192"/>
      <c r="AR78" s="192"/>
      <c r="AS78" s="192"/>
      <c r="AT78" s="192"/>
      <c r="AU78" s="192"/>
      <c r="AV78" s="192"/>
      <c r="AW78" s="192"/>
      <c r="AX78" s="192"/>
      <c r="AY78" s="192"/>
      <c r="AZ78" s="192"/>
      <c r="BA78" s="192"/>
      <c r="BB78" s="192"/>
      <c r="BC78" s="192"/>
      <c r="BD78" s="191"/>
      <c r="BE78" s="1148"/>
      <c r="BF78" s="1353"/>
      <c r="BG78" s="1353"/>
      <c r="BH78" s="1353"/>
      <c r="BI78" s="191"/>
      <c r="BJ78" s="1353"/>
      <c r="BK78" s="1353"/>
      <c r="BL78" s="1353"/>
      <c r="BM78" s="1353"/>
      <c r="BN78" s="191"/>
      <c r="BO78" s="1353"/>
      <c r="BP78" s="1353"/>
      <c r="BQ78" s="1353"/>
      <c r="BR78" s="1353"/>
      <c r="BS78" s="1363"/>
      <c r="BT78" s="532">
        <f>BT74/BO74-1</f>
        <v>0.81864235055724421</v>
      </c>
      <c r="BU78" s="532">
        <f>BU74/BP74-1</f>
        <v>0.69623430962343091</v>
      </c>
      <c r="BV78" s="532">
        <f>BV74/BQ74-1</f>
        <v>0.63034188034188032</v>
      </c>
      <c r="BW78" s="532">
        <f>BW74/BR74-1</f>
        <v>0.54900744416873448</v>
      </c>
      <c r="BX78" s="861"/>
      <c r="BY78" s="532">
        <f>BY74/BT74-1</f>
        <v>0.52367688022284131</v>
      </c>
      <c r="BZ78" s="532">
        <f>BZ74/BU74-1</f>
        <v>0.47903305377405037</v>
      </c>
      <c r="CA78" s="532">
        <f>CA74/BV74-1</f>
        <v>0.42245522062035823</v>
      </c>
      <c r="CB78" s="532">
        <f>CB74/BW74-1</f>
        <v>0.407689227072487</v>
      </c>
      <c r="CC78" s="782"/>
      <c r="CD78" s="532">
        <f t="shared" ref="CD78:CL78" si="53">CD74/BY74-1</f>
        <v>0.37440585009140759</v>
      </c>
      <c r="CE78" s="532">
        <f>CE74/BZ74-1</f>
        <v>0.34889926617745171</v>
      </c>
      <c r="CF78" s="532">
        <f>CF74/CA74-1</f>
        <v>0.3255528255528255</v>
      </c>
      <c r="CG78" s="532">
        <f>CG74/CB74-1</f>
        <v>0.35732574679943108</v>
      </c>
      <c r="CH78" s="861">
        <f t="shared" si="53"/>
        <v>0.35732574679943108</v>
      </c>
      <c r="CI78" s="532">
        <f t="shared" si="53"/>
        <v>0.34982708167065701</v>
      </c>
      <c r="CJ78" s="532">
        <f t="shared" si="53"/>
        <v>0.3295565872179258</v>
      </c>
      <c r="CK78" s="532">
        <f t="shared" si="53"/>
        <v>0.30492561377018701</v>
      </c>
      <c r="CL78" s="532">
        <f t="shared" si="53"/>
        <v>0.24883845807772365</v>
      </c>
      <c r="CM78" s="861"/>
      <c r="CN78" s="532">
        <f>CN74/CI74-1</f>
        <v>0.22418109094666794</v>
      </c>
      <c r="CO78" s="532">
        <f>CO74/CJ74-1</f>
        <v>0.21990569860770925</v>
      </c>
      <c r="CP78" s="532">
        <f>CP74/CK74-1</f>
        <v>0.21860967706066226</v>
      </c>
      <c r="CQ78" s="532">
        <f>CQ74/CL74-1</f>
        <v>0.21029303590898363</v>
      </c>
      <c r="CR78" s="1363"/>
      <c r="CS78" s="532">
        <f>CS74/CN74-1</f>
        <v>0.20496137661965097</v>
      </c>
      <c r="CT78" s="532">
        <f>CT74/CO74-1</f>
        <v>0.18957565733405701</v>
      </c>
      <c r="CU78" s="532">
        <f>CU74/CP74-1</f>
        <v>0.18412821252039957</v>
      </c>
      <c r="CV78" s="532">
        <f>CV74/CQ74-1</f>
        <v>0.17290756770510751</v>
      </c>
      <c r="CW78" s="1363"/>
      <c r="CZ78" s="201"/>
      <c r="DA78" s="200"/>
      <c r="DB78" s="200"/>
    </row>
    <row r="79" spans="1:106" hidden="1" outlineLevel="1">
      <c r="A79" s="206" t="s">
        <v>111</v>
      </c>
      <c r="B79" s="192"/>
      <c r="C79" s="192"/>
      <c r="D79" s="192"/>
      <c r="E79" s="192"/>
      <c r="F79" s="137"/>
      <c r="G79" s="192"/>
      <c r="H79" s="192"/>
      <c r="I79" s="192"/>
      <c r="J79" s="192"/>
      <c r="K79" s="192"/>
      <c r="L79" s="192"/>
      <c r="M79" s="192"/>
      <c r="N79" s="192"/>
      <c r="O79" s="192"/>
      <c r="P79" s="192"/>
      <c r="Q79" s="192"/>
      <c r="R79" s="192"/>
      <c r="S79" s="843"/>
      <c r="T79" s="192"/>
      <c r="U79" s="843"/>
      <c r="V79" s="192"/>
      <c r="W79" s="192"/>
      <c r="X79" s="192"/>
      <c r="Y79" s="192"/>
      <c r="Z79" s="192"/>
      <c r="AA79" s="192"/>
      <c r="AB79" s="192"/>
      <c r="AC79" s="192"/>
      <c r="AD79" s="192"/>
      <c r="AE79" s="192"/>
      <c r="AF79" s="192"/>
      <c r="AG79" s="192"/>
      <c r="AH79" s="192"/>
      <c r="AI79" s="192"/>
      <c r="AJ79" s="192"/>
      <c r="AK79" s="192"/>
      <c r="AL79" s="192"/>
      <c r="AM79" s="192"/>
      <c r="AN79" s="192"/>
      <c r="AO79" s="192"/>
      <c r="AP79" s="192"/>
      <c r="AQ79" s="192"/>
      <c r="AR79" s="192"/>
      <c r="AS79" s="192"/>
      <c r="AT79" s="192"/>
      <c r="AU79" s="192"/>
      <c r="AV79" s="192"/>
      <c r="AW79" s="192"/>
      <c r="AX79" s="192"/>
      <c r="AY79" s="192"/>
      <c r="AZ79" s="192"/>
      <c r="BA79" s="192"/>
      <c r="BB79" s="192"/>
      <c r="BC79" s="192"/>
      <c r="BD79" s="191"/>
      <c r="BE79" s="192"/>
      <c r="BF79" s="1148">
        <v>0</v>
      </c>
      <c r="BG79" s="1148">
        <v>0</v>
      </c>
      <c r="BH79" s="1148">
        <v>0</v>
      </c>
      <c r="BI79" s="191"/>
      <c r="BJ79" s="1148">
        <v>0</v>
      </c>
      <c r="BK79" s="1148">
        <v>0</v>
      </c>
      <c r="BL79" s="1148">
        <v>0</v>
      </c>
      <c r="BM79" s="1148">
        <v>0</v>
      </c>
      <c r="BN79" s="191">
        <f>AVERAGE(BJ79:BM79)</f>
        <v>0</v>
      </c>
      <c r="BO79" s="1148">
        <v>0</v>
      </c>
      <c r="BP79" s="1148">
        <v>0</v>
      </c>
      <c r="BQ79" s="1148">
        <v>0</v>
      </c>
      <c r="BR79" s="1148">
        <v>0</v>
      </c>
      <c r="BS79" s="191"/>
      <c r="BT79" s="1148">
        <f>BR79</f>
        <v>0</v>
      </c>
      <c r="BU79" s="1148">
        <f>BT79</f>
        <v>0</v>
      </c>
      <c r="BV79" s="1148">
        <f>BU79</f>
        <v>0</v>
      </c>
      <c r="BW79" s="1148">
        <f>BV79</f>
        <v>0</v>
      </c>
      <c r="BX79" s="191"/>
      <c r="BY79" s="1148">
        <f>BW79</f>
        <v>0</v>
      </c>
      <c r="BZ79" s="1148">
        <f>BY79</f>
        <v>0</v>
      </c>
      <c r="CA79" s="1148">
        <f>BZ79</f>
        <v>0</v>
      </c>
      <c r="CB79" s="1148">
        <f>CA79</f>
        <v>0</v>
      </c>
      <c r="CC79" s="191"/>
      <c r="CD79" s="1148">
        <f>CB79</f>
        <v>0</v>
      </c>
      <c r="CE79" s="1148">
        <f>CD79</f>
        <v>0</v>
      </c>
      <c r="CF79" s="1148">
        <f>CE79</f>
        <v>0</v>
      </c>
      <c r="CG79" s="1148">
        <f>CF79</f>
        <v>0</v>
      </c>
      <c r="CH79" s="191"/>
      <c r="CI79" s="1148">
        <f>CG79</f>
        <v>0</v>
      </c>
      <c r="CJ79" s="1148">
        <f>CI79</f>
        <v>0</v>
      </c>
      <c r="CK79" s="1148">
        <f>CJ79</f>
        <v>0</v>
      </c>
      <c r="CL79" s="1148">
        <f>CK79</f>
        <v>0</v>
      </c>
      <c r="CM79" s="191"/>
      <c r="CN79" s="1148">
        <f>CL79</f>
        <v>0</v>
      </c>
      <c r="CO79" s="1148">
        <f>CN79</f>
        <v>0</v>
      </c>
      <c r="CP79" s="1148">
        <f>CO79</f>
        <v>0</v>
      </c>
      <c r="CQ79" s="1148">
        <f>CP79</f>
        <v>0</v>
      </c>
      <c r="CR79" s="191"/>
      <c r="CS79" s="1148">
        <f>CQ79</f>
        <v>0</v>
      </c>
      <c r="CT79" s="1148">
        <f>CS79</f>
        <v>0</v>
      </c>
      <c r="CU79" s="1148">
        <f>CT79</f>
        <v>0</v>
      </c>
      <c r="CV79" s="1148">
        <f>CU79</f>
        <v>0</v>
      </c>
      <c r="CW79" s="191"/>
      <c r="CZ79" s="201"/>
      <c r="DA79" s="200"/>
      <c r="DB79" s="200"/>
    </row>
    <row r="80" spans="1:106" hidden="1" outlineLevel="1">
      <c r="A80" s="206" t="s">
        <v>751</v>
      </c>
      <c r="B80" s="192"/>
      <c r="C80" s="192"/>
      <c r="D80" s="192"/>
      <c r="E80" s="192"/>
      <c r="F80" s="137"/>
      <c r="G80" s="192"/>
      <c r="H80" s="192"/>
      <c r="I80" s="192"/>
      <c r="J80" s="192"/>
      <c r="K80" s="192"/>
      <c r="L80" s="192"/>
      <c r="M80" s="192"/>
      <c r="N80" s="192"/>
      <c r="O80" s="192"/>
      <c r="P80" s="192"/>
      <c r="Q80" s="192"/>
      <c r="R80" s="192"/>
      <c r="S80" s="843"/>
      <c r="T80" s="192"/>
      <c r="U80" s="843"/>
      <c r="V80" s="192"/>
      <c r="W80" s="192"/>
      <c r="X80" s="192"/>
      <c r="Y80" s="192"/>
      <c r="Z80" s="192"/>
      <c r="AA80" s="192"/>
      <c r="AB80" s="192"/>
      <c r="AC80" s="192"/>
      <c r="AD80" s="192"/>
      <c r="AE80" s="192"/>
      <c r="AF80" s="192"/>
      <c r="AG80" s="192"/>
      <c r="AH80" s="192"/>
      <c r="AI80" s="192"/>
      <c r="AJ80" s="192"/>
      <c r="AK80" s="192"/>
      <c r="AL80" s="192"/>
      <c r="AM80" s="192"/>
      <c r="AN80" s="192"/>
      <c r="AO80" s="192"/>
      <c r="AP80" s="192"/>
      <c r="AQ80" s="192"/>
      <c r="AR80" s="192"/>
      <c r="AS80" s="192"/>
      <c r="AT80" s="192"/>
      <c r="AU80" s="192"/>
      <c r="AV80" s="192"/>
      <c r="AW80" s="192"/>
      <c r="AX80" s="192"/>
      <c r="AY80" s="192"/>
      <c r="AZ80" s="192"/>
      <c r="BA80" s="192"/>
      <c r="BB80" s="192"/>
      <c r="BC80" s="192"/>
      <c r="BD80" s="191"/>
      <c r="BE80" s="192"/>
      <c r="BF80" s="1149">
        <f>BF69*BF79</f>
        <v>0</v>
      </c>
      <c r="BG80" s="1149">
        <f>BG69*BG79</f>
        <v>0</v>
      </c>
      <c r="BH80" s="1149">
        <f>BH69*BH79</f>
        <v>0</v>
      </c>
      <c r="BI80" s="191"/>
      <c r="BJ80" s="1149">
        <f>BJ79*BJ69</f>
        <v>0</v>
      </c>
      <c r="BK80" s="1149">
        <f>BK79*BK69</f>
        <v>0</v>
      </c>
      <c r="BL80" s="1149">
        <f>BL79*BL69</f>
        <v>0</v>
      </c>
      <c r="BM80" s="1149">
        <f>BM79*BM69</f>
        <v>0</v>
      </c>
      <c r="BN80" s="191"/>
      <c r="BO80" s="1149">
        <f>BO79*BO69</f>
        <v>0</v>
      </c>
      <c r="BP80" s="1149">
        <f>BP79*BP69</f>
        <v>0</v>
      </c>
      <c r="BQ80" s="1149">
        <f>BQ79*BQ69</f>
        <v>0</v>
      </c>
      <c r="BR80" s="1149">
        <f>BR79*BR69</f>
        <v>0</v>
      </c>
      <c r="BS80" s="191"/>
      <c r="BT80" s="1149">
        <f>BT79*BT69</f>
        <v>0</v>
      </c>
      <c r="BU80" s="1149">
        <f>BU79*BU69</f>
        <v>0</v>
      </c>
      <c r="BV80" s="1149">
        <f>BV79*BV69</f>
        <v>0</v>
      </c>
      <c r="BW80" s="1149">
        <f>BW79*BW69</f>
        <v>0</v>
      </c>
      <c r="BX80" s="191"/>
      <c r="BY80" s="1149">
        <f>BY79*BY69</f>
        <v>0</v>
      </c>
      <c r="BZ80" s="1149">
        <f>BZ79*BZ69</f>
        <v>0</v>
      </c>
      <c r="CA80" s="1149">
        <f>CA79*CA69</f>
        <v>0</v>
      </c>
      <c r="CB80" s="1149">
        <f>CB79*CB69</f>
        <v>0</v>
      </c>
      <c r="CC80" s="191"/>
      <c r="CD80" s="1149">
        <f>CD79*CD69</f>
        <v>0</v>
      </c>
      <c r="CE80" s="1149">
        <f>CE79*CE69</f>
        <v>0</v>
      </c>
      <c r="CF80" s="1149">
        <f>CF79*CF69</f>
        <v>0</v>
      </c>
      <c r="CG80" s="1149">
        <f>CG79*CG69</f>
        <v>0</v>
      </c>
      <c r="CH80" s="191"/>
      <c r="CI80" s="1149">
        <f>CI79*CI69</f>
        <v>0</v>
      </c>
      <c r="CJ80" s="1149">
        <f>CJ79*CJ69</f>
        <v>0</v>
      </c>
      <c r="CK80" s="1149">
        <f>CK79*CK69</f>
        <v>0</v>
      </c>
      <c r="CL80" s="1149">
        <f>CL79*CL69</f>
        <v>0</v>
      </c>
      <c r="CM80" s="191"/>
      <c r="CN80" s="1149">
        <f>CN79*CN69</f>
        <v>0</v>
      </c>
      <c r="CO80" s="1149">
        <f>CO79*CO69</f>
        <v>0</v>
      </c>
      <c r="CP80" s="1149">
        <f>CP79*CP69</f>
        <v>0</v>
      </c>
      <c r="CQ80" s="1149">
        <f>CQ79*CQ69</f>
        <v>0</v>
      </c>
      <c r="CR80" s="191"/>
      <c r="CS80" s="1149">
        <f>CS79*CS69</f>
        <v>0</v>
      </c>
      <c r="CT80" s="1149">
        <f>CT79*CT69</f>
        <v>0</v>
      </c>
      <c r="CU80" s="1149">
        <f>CU79*CU69</f>
        <v>0</v>
      </c>
      <c r="CV80" s="1149">
        <f>CV79*CV69</f>
        <v>0</v>
      </c>
      <c r="CW80" s="191"/>
      <c r="CZ80" s="201"/>
      <c r="DA80" s="200"/>
      <c r="DB80" s="200"/>
    </row>
    <row r="81" spans="1:106" hidden="1" outlineLevel="1">
      <c r="A81" s="206" t="s">
        <v>82</v>
      </c>
      <c r="B81" s="192"/>
      <c r="C81" s="192"/>
      <c r="D81" s="192"/>
      <c r="E81" s="192"/>
      <c r="F81" s="137"/>
      <c r="G81" s="192"/>
      <c r="H81" s="192"/>
      <c r="I81" s="192"/>
      <c r="J81" s="192"/>
      <c r="K81" s="192"/>
      <c r="L81" s="192"/>
      <c r="M81" s="192"/>
      <c r="N81" s="192"/>
      <c r="O81" s="192"/>
      <c r="P81" s="192"/>
      <c r="Q81" s="192"/>
      <c r="R81" s="192"/>
      <c r="S81" s="843"/>
      <c r="T81" s="192"/>
      <c r="U81" s="843"/>
      <c r="V81" s="192"/>
      <c r="W81" s="192"/>
      <c r="X81" s="192"/>
      <c r="Y81" s="192"/>
      <c r="Z81" s="192"/>
      <c r="AA81" s="192"/>
      <c r="AB81" s="192"/>
      <c r="AC81" s="192"/>
      <c r="AD81" s="192"/>
      <c r="AE81" s="192"/>
      <c r="AF81" s="192"/>
      <c r="AG81" s="192"/>
      <c r="AH81" s="192"/>
      <c r="AI81" s="192"/>
      <c r="AJ81" s="192"/>
      <c r="AK81" s="192"/>
      <c r="AL81" s="192"/>
      <c r="AM81" s="192"/>
      <c r="AN81" s="192"/>
      <c r="AO81" s="192"/>
      <c r="AP81" s="192"/>
      <c r="AQ81" s="192"/>
      <c r="AR81" s="192"/>
      <c r="AS81" s="192"/>
      <c r="AT81" s="192"/>
      <c r="AU81" s="192"/>
      <c r="AV81" s="192"/>
      <c r="AW81" s="192"/>
      <c r="AX81" s="192"/>
      <c r="AY81" s="192"/>
      <c r="AZ81" s="192"/>
      <c r="BA81" s="192"/>
      <c r="BB81" s="192"/>
      <c r="BC81" s="192"/>
      <c r="BD81" s="191"/>
      <c r="BE81" s="192"/>
      <c r="BF81" s="1148"/>
      <c r="BG81" s="1149">
        <f>BG80+BF80</f>
        <v>0</v>
      </c>
      <c r="BH81" s="1149">
        <f>BG81+BH80</f>
        <v>0</v>
      </c>
      <c r="BI81" s="191"/>
      <c r="BJ81" s="1149">
        <f>BJ80+BH81</f>
        <v>0</v>
      </c>
      <c r="BK81" s="1149">
        <f>BK80+BJ81</f>
        <v>0</v>
      </c>
      <c r="BL81" s="1149">
        <f>BL80+BK81</f>
        <v>0</v>
      </c>
      <c r="BM81" s="1149">
        <f>BM80+BL81</f>
        <v>0</v>
      </c>
      <c r="BN81" s="191"/>
      <c r="BO81" s="1149">
        <f>BO80+BM81</f>
        <v>0</v>
      </c>
      <c r="BP81" s="1149">
        <f>BP80+BO81</f>
        <v>0</v>
      </c>
      <c r="BQ81" s="1149">
        <f>BQ80+BP81</f>
        <v>0</v>
      </c>
      <c r="BR81" s="1149">
        <f>BR80+BQ81</f>
        <v>0</v>
      </c>
      <c r="BS81" s="191"/>
      <c r="BT81" s="1149">
        <f>BT80+BR81</f>
        <v>0</v>
      </c>
      <c r="BU81" s="1149">
        <f>BU80+BT81</f>
        <v>0</v>
      </c>
      <c r="BV81" s="1149">
        <f>BV80+BU81</f>
        <v>0</v>
      </c>
      <c r="BW81" s="1149">
        <f>BW80+BV81</f>
        <v>0</v>
      </c>
      <c r="BX81" s="191"/>
      <c r="BY81" s="1149">
        <f>BY80+BW81</f>
        <v>0</v>
      </c>
      <c r="BZ81" s="1149">
        <f>BZ80+BY81</f>
        <v>0</v>
      </c>
      <c r="CA81" s="1149">
        <f>CA80+BZ81</f>
        <v>0</v>
      </c>
      <c r="CB81" s="1149">
        <f>CB80+CA81</f>
        <v>0</v>
      </c>
      <c r="CC81" s="191"/>
      <c r="CD81" s="1149">
        <f>CD80+CB81</f>
        <v>0</v>
      </c>
      <c r="CE81" s="1149">
        <f>CE80+CD81</f>
        <v>0</v>
      </c>
      <c r="CF81" s="1149">
        <f>CF80+CE81</f>
        <v>0</v>
      </c>
      <c r="CG81" s="1149">
        <f>CG80+CF81</f>
        <v>0</v>
      </c>
      <c r="CH81" s="191"/>
      <c r="CI81" s="1149">
        <f>CI80+CG81</f>
        <v>0</v>
      </c>
      <c r="CJ81" s="1149">
        <f>CJ80+CI81</f>
        <v>0</v>
      </c>
      <c r="CK81" s="1149">
        <f>CK80+CJ81</f>
        <v>0</v>
      </c>
      <c r="CL81" s="1149">
        <f>CL80+CK81</f>
        <v>0</v>
      </c>
      <c r="CM81" s="191"/>
      <c r="CN81" s="1149">
        <f>CN80+CL81</f>
        <v>0</v>
      </c>
      <c r="CO81" s="1149">
        <f>CO80+CN81</f>
        <v>0</v>
      </c>
      <c r="CP81" s="1149">
        <f>CP80+CO81</f>
        <v>0</v>
      </c>
      <c r="CQ81" s="1149">
        <f>CQ80+CP81</f>
        <v>0</v>
      </c>
      <c r="CR81" s="191"/>
      <c r="CS81" s="1149">
        <f>CS80+CQ81</f>
        <v>0</v>
      </c>
      <c r="CT81" s="1149">
        <f>CT80+CS81</f>
        <v>0</v>
      </c>
      <c r="CU81" s="1149">
        <f>CU80+CT81</f>
        <v>0</v>
      </c>
      <c r="CV81" s="1149">
        <f>CV80+CU81</f>
        <v>0</v>
      </c>
      <c r="CW81" s="191"/>
      <c r="CZ81" s="201"/>
      <c r="DA81" s="200"/>
      <c r="DB81" s="200"/>
    </row>
    <row r="82" spans="1:106" collapsed="1">
      <c r="A82" s="206"/>
      <c r="B82" s="192"/>
      <c r="C82" s="192"/>
      <c r="D82" s="192"/>
      <c r="E82" s="192"/>
      <c r="F82" s="137"/>
      <c r="G82" s="192"/>
      <c r="H82" s="192"/>
      <c r="I82" s="192"/>
      <c r="J82" s="192"/>
      <c r="K82" s="192"/>
      <c r="L82" s="192"/>
      <c r="M82" s="192"/>
      <c r="N82" s="192"/>
      <c r="O82" s="192"/>
      <c r="P82" s="192"/>
      <c r="Q82" s="192"/>
      <c r="R82" s="192"/>
      <c r="S82" s="843"/>
      <c r="T82" s="192"/>
      <c r="U82" s="843"/>
      <c r="V82" s="192"/>
      <c r="W82" s="192"/>
      <c r="X82" s="192"/>
      <c r="Y82" s="192"/>
      <c r="Z82" s="192"/>
      <c r="AA82" s="192"/>
      <c r="AB82" s="192"/>
      <c r="AC82" s="192"/>
      <c r="AD82" s="192"/>
      <c r="AE82" s="192"/>
      <c r="AF82" s="192"/>
      <c r="AG82" s="192"/>
      <c r="AH82" s="192"/>
      <c r="AI82" s="192"/>
      <c r="AJ82" s="192"/>
      <c r="AK82" s="192"/>
      <c r="AL82" s="192"/>
      <c r="AM82" s="192"/>
      <c r="AN82" s="192"/>
      <c r="AO82" s="192"/>
      <c r="AP82" s="192"/>
      <c r="AQ82" s="192"/>
      <c r="AR82" s="192"/>
      <c r="AS82" s="192"/>
      <c r="AT82" s="192"/>
      <c r="AU82" s="192"/>
      <c r="AV82" s="192"/>
      <c r="AW82" s="192"/>
      <c r="AX82" s="192"/>
      <c r="AY82" s="192"/>
      <c r="AZ82" s="192"/>
      <c r="BA82" s="192"/>
      <c r="BB82" s="192"/>
      <c r="BC82" s="192"/>
      <c r="BD82" s="191"/>
      <c r="BE82" s="192"/>
      <c r="BF82" s="1148"/>
      <c r="BG82" s="1149"/>
      <c r="BH82" s="1149"/>
      <c r="BI82" s="191"/>
      <c r="BJ82" s="1149"/>
      <c r="BK82" s="1149"/>
      <c r="BL82" s="1149"/>
      <c r="BM82" s="1149"/>
      <c r="BN82" s="191"/>
      <c r="BO82" s="1149"/>
      <c r="BP82" s="1149"/>
      <c r="BQ82" s="1149"/>
      <c r="BR82" s="1149"/>
      <c r="BS82" s="191"/>
      <c r="BT82" s="1149"/>
      <c r="BU82" s="1149"/>
      <c r="BV82" s="1149"/>
      <c r="BW82" s="1149"/>
      <c r="BX82" s="191"/>
      <c r="BY82" s="1149"/>
      <c r="BZ82" s="1149"/>
      <c r="CA82" s="1149"/>
      <c r="CB82" s="1149"/>
      <c r="CC82" s="191"/>
      <c r="CD82" s="1149"/>
      <c r="CE82" s="1149"/>
      <c r="CF82" s="1149"/>
      <c r="CG82" s="1149"/>
      <c r="CH82" s="191"/>
      <c r="CI82" s="1149"/>
      <c r="CJ82" s="1149"/>
      <c r="CK82" s="1149"/>
      <c r="CL82" s="1149"/>
      <c r="CM82" s="191"/>
      <c r="CN82" s="1149"/>
      <c r="CO82" s="1149"/>
      <c r="CP82" s="1149"/>
      <c r="CQ82" s="1149"/>
      <c r="CR82" s="191"/>
      <c r="CS82" s="1149"/>
      <c r="CT82" s="1149"/>
      <c r="CU82" s="1149"/>
      <c r="CV82" s="1149"/>
      <c r="CW82" s="191"/>
      <c r="CZ82" s="201"/>
      <c r="DA82" s="200"/>
      <c r="DB82" s="200"/>
    </row>
    <row r="83" spans="1:106">
      <c r="A83" s="206"/>
      <c r="B83" s="192"/>
      <c r="C83" s="192"/>
      <c r="D83" s="192"/>
      <c r="E83" s="192"/>
      <c r="F83" s="137"/>
      <c r="G83" s="192"/>
      <c r="H83" s="192"/>
      <c r="I83" s="192"/>
      <c r="J83" s="192"/>
      <c r="K83" s="192"/>
      <c r="L83" s="192"/>
      <c r="M83" s="192"/>
      <c r="N83" s="192"/>
      <c r="O83" s="192"/>
      <c r="P83" s="192"/>
      <c r="Q83" s="192"/>
      <c r="R83" s="192"/>
      <c r="S83" s="843"/>
      <c r="T83" s="192"/>
      <c r="U83" s="843"/>
      <c r="V83" s="192"/>
      <c r="W83" s="192"/>
      <c r="X83" s="192"/>
      <c r="Y83" s="192"/>
      <c r="Z83" s="192"/>
      <c r="AA83" s="192"/>
      <c r="AB83" s="192"/>
      <c r="AC83" s="192"/>
      <c r="AD83" s="192"/>
      <c r="AE83" s="192"/>
      <c r="AF83" s="192"/>
      <c r="AG83" s="192"/>
      <c r="AH83" s="192"/>
      <c r="AI83" s="192"/>
      <c r="AJ83" s="192"/>
      <c r="AK83" s="192"/>
      <c r="AL83" s="192"/>
      <c r="AM83" s="192"/>
      <c r="AN83" s="192"/>
      <c r="AO83" s="192"/>
      <c r="AP83" s="192"/>
      <c r="AQ83" s="192"/>
      <c r="AR83" s="192"/>
      <c r="AS83" s="192"/>
      <c r="AT83" s="192"/>
      <c r="AU83" s="192"/>
      <c r="AV83" s="192"/>
      <c r="AW83" s="192"/>
      <c r="AX83" s="192"/>
      <c r="AY83" s="192"/>
      <c r="AZ83" s="192"/>
      <c r="BA83" s="192"/>
      <c r="BB83" s="192"/>
      <c r="BC83" s="192"/>
      <c r="BD83" s="191"/>
      <c r="BE83" s="192"/>
      <c r="BF83" s="1148"/>
      <c r="BG83" s="1149"/>
      <c r="BH83" s="1149"/>
      <c r="BI83" s="191"/>
      <c r="BJ83" s="1149"/>
      <c r="BK83" s="1149"/>
      <c r="BL83" s="1149"/>
      <c r="BM83" s="1149"/>
      <c r="BN83" s="191"/>
      <c r="BO83" s="1149"/>
      <c r="BP83" s="1149"/>
      <c r="BQ83" s="1149"/>
      <c r="BR83" s="1149"/>
      <c r="BS83" s="191"/>
      <c r="BT83" s="1149"/>
      <c r="BU83" s="1149"/>
      <c r="BV83" s="1149"/>
      <c r="BW83" s="1149"/>
      <c r="BX83" s="191"/>
      <c r="BY83" s="1149"/>
      <c r="BZ83" s="1149"/>
      <c r="CA83" s="1149"/>
      <c r="CB83" s="1149"/>
      <c r="CC83" s="191"/>
      <c r="CD83" s="1149"/>
      <c r="CE83" s="1149"/>
      <c r="CF83" s="1149"/>
      <c r="CG83" s="1149"/>
      <c r="CH83" s="191"/>
      <c r="CI83" s="1149"/>
      <c r="CJ83" s="1149"/>
      <c r="CK83" s="1149"/>
      <c r="CL83" s="1149"/>
      <c r="CM83" s="191"/>
      <c r="CN83" s="1149"/>
      <c r="CO83" s="1149"/>
      <c r="CP83" s="1149"/>
      <c r="CQ83" s="1149"/>
      <c r="CR83" s="191"/>
      <c r="CS83" s="1149"/>
      <c r="CT83" s="1149"/>
      <c r="CU83" s="1149"/>
      <c r="CV83" s="1149"/>
      <c r="CW83" s="191"/>
      <c r="CZ83" s="201"/>
      <c r="DA83" s="200"/>
      <c r="DB83" s="200"/>
    </row>
    <row r="84" spans="1:106">
      <c r="A84" s="1147" t="s">
        <v>417</v>
      </c>
      <c r="B84" s="192"/>
      <c r="C84" s="192"/>
      <c r="D84" s="192"/>
      <c r="E84" s="192"/>
      <c r="F84" s="137"/>
      <c r="G84" s="192"/>
      <c r="H84" s="192"/>
      <c r="I84" s="192"/>
      <c r="J84" s="192"/>
      <c r="K84" s="192"/>
      <c r="L84" s="192"/>
      <c r="M84" s="192"/>
      <c r="N84" s="192"/>
      <c r="O84" s="192"/>
      <c r="P84" s="192"/>
      <c r="Q84" s="192"/>
      <c r="R84" s="192"/>
      <c r="S84" s="843"/>
      <c r="T84" s="192"/>
      <c r="U84" s="843"/>
      <c r="V84" s="192"/>
      <c r="W84" s="192"/>
      <c r="X84" s="192"/>
      <c r="Y84" s="192"/>
      <c r="Z84" s="192"/>
      <c r="AA84" s="192"/>
      <c r="AB84" s="192"/>
      <c r="AC84" s="192"/>
      <c r="AD84" s="192"/>
      <c r="AE84" s="192"/>
      <c r="AF84" s="192"/>
      <c r="AG84" s="192"/>
      <c r="AH84" s="192"/>
      <c r="AI84" s="192"/>
      <c r="AJ84" s="192"/>
      <c r="AK84" s="192"/>
      <c r="AL84" s="192"/>
      <c r="AM84" s="192"/>
      <c r="AN84" s="192"/>
      <c r="AO84" s="192"/>
      <c r="AP84" s="192"/>
      <c r="AQ84" s="192"/>
      <c r="AR84" s="192"/>
      <c r="AS84" s="192"/>
      <c r="AT84" s="192"/>
      <c r="AU84" s="192"/>
      <c r="AV84" s="192"/>
      <c r="AW84" s="192"/>
      <c r="AX84" s="192"/>
      <c r="AY84" s="192"/>
      <c r="AZ84" s="192"/>
      <c r="BA84" s="192"/>
      <c r="BB84" s="192"/>
      <c r="BC84" s="192"/>
      <c r="BD84" s="191"/>
      <c r="BE84" s="192"/>
      <c r="BF84" s="192"/>
      <c r="BG84" s="1148"/>
      <c r="BH84" s="192"/>
      <c r="BI84" s="191"/>
      <c r="BJ84" s="192"/>
      <c r="BK84" s="192"/>
      <c r="BL84" s="192"/>
      <c r="BM84" s="192"/>
      <c r="BN84" s="191"/>
      <c r="BO84" s="192"/>
      <c r="BP84" s="192"/>
      <c r="BQ84" s="192"/>
      <c r="BR84" s="192"/>
      <c r="BS84" s="191"/>
      <c r="BT84" s="192"/>
      <c r="BU84" s="192"/>
      <c r="BV84" s="192"/>
      <c r="BW84" s="192"/>
      <c r="BX84" s="191"/>
      <c r="BY84" s="192"/>
      <c r="BZ84" s="192"/>
      <c r="CA84" s="192"/>
      <c r="CB84" s="192"/>
      <c r="CC84" s="191"/>
      <c r="CD84" s="192"/>
      <c r="CE84" s="192"/>
      <c r="CF84" s="192"/>
      <c r="CG84" s="192"/>
      <c r="CH84" s="191"/>
      <c r="CI84" s="192"/>
      <c r="CJ84" s="192"/>
      <c r="CK84" s="192"/>
      <c r="CL84" s="192"/>
      <c r="CM84" s="191"/>
      <c r="CN84" s="192"/>
      <c r="CO84" s="192"/>
      <c r="CP84" s="192"/>
      <c r="CQ84" s="192"/>
      <c r="CR84" s="191"/>
      <c r="CS84" s="192"/>
      <c r="CT84" s="192"/>
      <c r="CU84" s="192"/>
      <c r="CV84" s="192"/>
      <c r="CW84" s="191"/>
      <c r="CZ84" s="201"/>
      <c r="DA84" s="200"/>
      <c r="DB84" s="200"/>
    </row>
    <row r="85" spans="1:106">
      <c r="A85" s="206" t="s">
        <v>83</v>
      </c>
      <c r="B85" s="192"/>
      <c r="C85" s="192"/>
      <c r="D85" s="192"/>
      <c r="E85" s="192"/>
      <c r="F85" s="137"/>
      <c r="G85" s="192"/>
      <c r="H85" s="192"/>
      <c r="I85" s="192"/>
      <c r="J85" s="192"/>
      <c r="K85" s="192"/>
      <c r="L85" s="192"/>
      <c r="M85" s="192"/>
      <c r="N85" s="192"/>
      <c r="O85" s="192"/>
      <c r="P85" s="192"/>
      <c r="Q85" s="192"/>
      <c r="R85" s="192"/>
      <c r="S85" s="843"/>
      <c r="T85" s="192"/>
      <c r="U85" s="843"/>
      <c r="V85" s="192"/>
      <c r="W85" s="192"/>
      <c r="X85" s="192"/>
      <c r="Y85" s="192"/>
      <c r="Z85" s="192"/>
      <c r="AA85" s="192"/>
      <c r="AB85" s="192"/>
      <c r="AC85" s="192"/>
      <c r="AD85" s="192"/>
      <c r="AE85" s="192"/>
      <c r="AF85" s="192"/>
      <c r="AG85" s="192"/>
      <c r="AH85" s="192"/>
      <c r="AI85" s="192"/>
      <c r="AJ85" s="192"/>
      <c r="AK85" s="192"/>
      <c r="AL85" s="192"/>
      <c r="AM85" s="192"/>
      <c r="AN85" s="192"/>
      <c r="AO85" s="192"/>
      <c r="AP85" s="192"/>
      <c r="AQ85" s="192"/>
      <c r="AR85" s="192"/>
      <c r="AS85" s="192"/>
      <c r="AT85" s="192"/>
      <c r="AU85" s="192"/>
      <c r="AV85" s="192"/>
      <c r="AW85" s="192"/>
      <c r="AX85" s="192"/>
      <c r="AY85" s="192"/>
      <c r="AZ85" s="192"/>
      <c r="BA85" s="192"/>
      <c r="BB85" s="192"/>
      <c r="BC85" s="192"/>
      <c r="BD85" s="191"/>
      <c r="BE85" s="1148"/>
      <c r="BF85" s="1353"/>
      <c r="BG85" s="1353"/>
      <c r="BH85" s="1353"/>
      <c r="BI85" s="1363">
        <f>SUM(BF85:BH85)</f>
        <v>0</v>
      </c>
      <c r="BJ85" s="1353">
        <f>(BJ71*AVERAGE(BH67,BJ67)*3)/1000000</f>
        <v>45.893954918032783</v>
      </c>
      <c r="BK85" s="1353">
        <f>(BK71*AVERAGE(BJ67:BK67)*3)/1000000</f>
        <v>63.593957779538044</v>
      </c>
      <c r="BL85" s="1353">
        <f>(BL71*AVERAGE(BK67:BL67)*3)/1000000</f>
        <v>97.678494052242158</v>
      </c>
      <c r="BM85" s="1353">
        <f>(BM71*AVERAGE(BL67:BM67)*3)/1000000</f>
        <v>146.46942321056292</v>
      </c>
      <c r="BN85" s="1363">
        <f>SUM(BJ85:BM85)</f>
        <v>353.63582996037593</v>
      </c>
      <c r="BO85" s="1353">
        <f>(BO71*AVERAGE(BM67,BO67)*3)/1000000</f>
        <v>189.74712575856043</v>
      </c>
      <c r="BP85" s="1353">
        <f>(BP71*AVERAGE(BO67:BP67)*3)/1000000</f>
        <v>230.89780836239385</v>
      </c>
      <c r="BQ85" s="1353">
        <f>(BQ71*AVERAGE(BP67:BQ67)*3)/1000000</f>
        <v>273.02587347097557</v>
      </c>
      <c r="BR85" s="1353">
        <f>(BR71*AVERAGE(BQ67:BR67)*3)/1000000</f>
        <v>308.14343551185658</v>
      </c>
      <c r="BS85" s="1363">
        <f>SUM(BO85:BR85)</f>
        <v>1001.8142431037863</v>
      </c>
      <c r="BT85" s="1353">
        <f>(BT71*AVERAGE(BT67,BR67)*3)/1000000</f>
        <v>351.80495648883851</v>
      </c>
      <c r="BU85" s="1353">
        <f>(BU71*AVERAGE(BT67:BU67)*3)/1000000</f>
        <v>393.03129979024675</v>
      </c>
      <c r="BV85" s="1353">
        <f>(BV71*AVERAGE(BU67:BV67)*3)/1000000</f>
        <v>445.70791193666054</v>
      </c>
      <c r="BW85" s="1353">
        <f>(BW71*AVERAGE(BV67:BW67)*3)/1000000</f>
        <v>478.58669125993191</v>
      </c>
      <c r="BX85" s="1363">
        <f>SUM(BT85:BW85)</f>
        <v>1669.1308594756779</v>
      </c>
      <c r="BY85" s="1353">
        <f>(BY71*AVERAGE(BY67,BW67)*3)/1000000</f>
        <v>563.63367527073763</v>
      </c>
      <c r="BZ85" s="1353">
        <f>(BZ71*AVERAGE(BY67:BZ67)*3)/1000000</f>
        <v>620.19285532452989</v>
      </c>
      <c r="CA85" s="1353">
        <f>(CA71*AVERAGE(BZ67:CA67)*3)/1000000</f>
        <v>672.74474272995292</v>
      </c>
      <c r="CB85" s="1353">
        <f>(CB71*AVERAGE(CA67:CB67)*3)/1000000</f>
        <v>724.08813914501263</v>
      </c>
      <c r="CC85" s="1363">
        <f>SUM(BY85:CB85)</f>
        <v>2580.6594124702328</v>
      </c>
      <c r="CD85" s="1353">
        <f>(CD71*AVERAGE(CC67:CD67)*3)/1000000</f>
        <v>812.97815072364415</v>
      </c>
      <c r="CE85" s="1353">
        <f>(CE71*AVERAGE(CD67:CE67)*3)/1000000</f>
        <v>869.10706159886172</v>
      </c>
      <c r="CF85" s="1353">
        <f>(CF71*AVERAGE(CE67:CF67)*3)/1000000</f>
        <v>933.99328317247705</v>
      </c>
      <c r="CG85" s="1353">
        <f>(CG71*AVERAGE(CF67:CG67)*3)/1000000</f>
        <v>999.49769329528237</v>
      </c>
      <c r="CH85" s="1363">
        <f>SUM(CD85:CG85)</f>
        <v>3615.5761887902654</v>
      </c>
      <c r="CI85" s="1353">
        <f>(CI71*AVERAGE(CH67:CI67)*3)/1000000</f>
        <v>1101.8306332086484</v>
      </c>
      <c r="CJ85" s="1421">
        <f>(CJ71*AVERAGE(CI67:CJ67)*3)/1000000</f>
        <v>1189.9515722553788</v>
      </c>
      <c r="CK85" s="1421">
        <f>(CK71*AVERAGE(CJ67:CK67)*3)/1000000</f>
        <v>1253.4805489846638</v>
      </c>
      <c r="CL85" s="1421">
        <f>(CL71*AVERAGE(CK67:CL67)*3)/1000000</f>
        <v>1322.7429007139488</v>
      </c>
      <c r="CM85" s="1363">
        <f>SUM(CI85:CL85)</f>
        <v>4868.0056551626403</v>
      </c>
      <c r="CN85" s="1421">
        <f>(CN71*AVERAGE(CN67,CL67)*3)/1000000</f>
        <v>1401.1871153083425</v>
      </c>
      <c r="CO85" s="1421">
        <f>(CO71*AVERAGE(CN67:CO67)*3)/1000000</f>
        <v>1477.8044804504002</v>
      </c>
      <c r="CP85" s="1421">
        <f>(CP71*AVERAGE(CO67:CP67)*3)/1000000</f>
        <v>1553.2366205924573</v>
      </c>
      <c r="CQ85" s="1421">
        <f>(CQ71*AVERAGE(CP67:CQ67)*3)/1000000</f>
        <v>1629.8837607345149</v>
      </c>
      <c r="CR85" s="1363">
        <f>SUM(CN85:CQ85)</f>
        <v>6062.1119770857149</v>
      </c>
      <c r="CS85" s="1421">
        <f>(CS71*AVERAGE(CS67,CQ67)*3)/1000000</f>
        <v>1707.6545848911762</v>
      </c>
      <c r="CT85" s="1421">
        <f>(CT71*AVERAGE(CS67:CT67)*3)/1000000</f>
        <v>1782.1661337561497</v>
      </c>
      <c r="CU85" s="1421">
        <f>(CU71*AVERAGE(CT67:CU67)*3)/1000000</f>
        <v>1858.2691625481011</v>
      </c>
      <c r="CV85" s="1421">
        <f>(CV71*AVERAGE(CU67:CV67)*3)/1000000</f>
        <v>1935.9771712670308</v>
      </c>
      <c r="CW85" s="1363">
        <f>SUM(CS85:CV85)</f>
        <v>7284.0670524624575</v>
      </c>
      <c r="CZ85" s="201"/>
      <c r="DA85" s="200"/>
      <c r="DB85" s="200"/>
    </row>
    <row r="86" spans="1:106">
      <c r="A86" s="206" t="s">
        <v>418</v>
      </c>
      <c r="B86" s="192"/>
      <c r="C86" s="192"/>
      <c r="D86" s="192"/>
      <c r="E86" s="192"/>
      <c r="F86" s="137"/>
      <c r="G86" s="192"/>
      <c r="H86" s="192"/>
      <c r="I86" s="192"/>
      <c r="J86" s="192"/>
      <c r="K86" s="192"/>
      <c r="L86" s="192"/>
      <c r="M86" s="192"/>
      <c r="N86" s="192"/>
      <c r="O86" s="192"/>
      <c r="P86" s="192"/>
      <c r="Q86" s="192"/>
      <c r="R86" s="192"/>
      <c r="S86" s="843"/>
      <c r="T86" s="192"/>
      <c r="U86" s="843"/>
      <c r="V86" s="192"/>
      <c r="W86" s="192"/>
      <c r="X86" s="192"/>
      <c r="Y86" s="192"/>
      <c r="Z86" s="192"/>
      <c r="AA86" s="192"/>
      <c r="AB86" s="192"/>
      <c r="AC86" s="192"/>
      <c r="AD86" s="192"/>
      <c r="AE86" s="192"/>
      <c r="AF86" s="192"/>
      <c r="AG86" s="192"/>
      <c r="AH86" s="192"/>
      <c r="AI86" s="192"/>
      <c r="AJ86" s="192"/>
      <c r="AK86" s="192"/>
      <c r="AL86" s="192"/>
      <c r="AM86" s="192"/>
      <c r="AN86" s="192"/>
      <c r="AO86" s="192"/>
      <c r="AP86" s="192"/>
      <c r="AQ86" s="192"/>
      <c r="AR86" s="192"/>
      <c r="AS86" s="192"/>
      <c r="AT86" s="192"/>
      <c r="AU86" s="192"/>
      <c r="AV86" s="192"/>
      <c r="AW86" s="192"/>
      <c r="AX86" s="192"/>
      <c r="AY86" s="192"/>
      <c r="AZ86" s="192"/>
      <c r="BA86" s="192"/>
      <c r="BB86" s="192"/>
      <c r="BC86" s="192"/>
      <c r="BD86" s="191"/>
      <c r="BE86" s="1148"/>
      <c r="BF86" s="1353"/>
      <c r="BG86" s="1353"/>
      <c r="BH86" s="1353"/>
      <c r="BI86" s="1363">
        <f>SUM(BE86:BH86)</f>
        <v>0</v>
      </c>
      <c r="BJ86" s="1353">
        <f>BJ89-BJ85-BJ87-BJ88</f>
        <v>372.7191792028845</v>
      </c>
      <c r="BK86" s="1353">
        <f>BK89-BK85-BK87-BK88</f>
        <v>319.56608391608393</v>
      </c>
      <c r="BL86" s="1353">
        <f>BL89-BL85-BL87-BL88</f>
        <v>263.05882352941182</v>
      </c>
      <c r="BM86" s="1353">
        <f>BM89-BM85-BM87-BM88</f>
        <v>185.12098679638632</v>
      </c>
      <c r="BN86" s="1363">
        <f>SUM(BJ86:BM86)</f>
        <v>1140.4650734447666</v>
      </c>
      <c r="BO86" s="1353">
        <f>BO89-BO85-BO87-BO88</f>
        <v>150.45530339123718</v>
      </c>
      <c r="BP86" s="1353">
        <f>BP89-BP85-BP87-BP88</f>
        <v>151.58032928942802</v>
      </c>
      <c r="BQ86" s="1353">
        <f>BQ89-BQ85-BQ87-BQ88</f>
        <v>18.652669039145849</v>
      </c>
      <c r="BR86" s="1405">
        <v>0</v>
      </c>
      <c r="BS86" s="1363">
        <f>SUM(BO86:BR86)</f>
        <v>320.68830171981108</v>
      </c>
      <c r="BT86" s="1353">
        <v>0</v>
      </c>
      <c r="BU86" s="1353">
        <f>BT86</f>
        <v>0</v>
      </c>
      <c r="BV86" s="1353">
        <f t="shared" ref="BV86:BW86" si="54">BU86</f>
        <v>0</v>
      </c>
      <c r="BW86" s="1353">
        <f t="shared" si="54"/>
        <v>0</v>
      </c>
      <c r="BX86" s="1363">
        <f>SUM(BT86:BW86)</f>
        <v>0</v>
      </c>
      <c r="BY86" s="1353">
        <f>BW86</f>
        <v>0</v>
      </c>
      <c r="BZ86" s="1353">
        <f>BY86</f>
        <v>0</v>
      </c>
      <c r="CA86" s="1353">
        <f t="shared" ref="CA86:CD86" si="55">BZ86</f>
        <v>0</v>
      </c>
      <c r="CB86" s="1353">
        <f t="shared" si="55"/>
        <v>0</v>
      </c>
      <c r="CC86" s="1363">
        <f>SUM(BY86:CB86)</f>
        <v>0</v>
      </c>
      <c r="CD86" s="1353">
        <f t="shared" si="55"/>
        <v>0</v>
      </c>
      <c r="CE86" s="1353">
        <f>CD86</f>
        <v>0</v>
      </c>
      <c r="CF86" s="1353">
        <f>CE86</f>
        <v>0</v>
      </c>
      <c r="CG86" s="1353">
        <f>CF86</f>
        <v>0</v>
      </c>
      <c r="CH86" s="1363">
        <f>SUM(CD86:CG86)</f>
        <v>0</v>
      </c>
      <c r="CI86" s="1353">
        <f t="shared" ref="CI86" si="56">CH86</f>
        <v>0</v>
      </c>
      <c r="CJ86" s="1421">
        <f>CI86</f>
        <v>0</v>
      </c>
      <c r="CK86" s="1421">
        <f t="shared" ref="CK86:CL86" si="57">CJ86</f>
        <v>0</v>
      </c>
      <c r="CL86" s="1421">
        <f t="shared" si="57"/>
        <v>0</v>
      </c>
      <c r="CM86" s="1363">
        <f>SUM(CI86:CL86)</f>
        <v>0</v>
      </c>
      <c r="CN86" s="1421">
        <f>CL86</f>
        <v>0</v>
      </c>
      <c r="CO86" s="1421">
        <f>CN86</f>
        <v>0</v>
      </c>
      <c r="CP86" s="1421">
        <f t="shared" ref="CP86:CQ86" si="58">CO86</f>
        <v>0</v>
      </c>
      <c r="CQ86" s="1421">
        <f t="shared" si="58"/>
        <v>0</v>
      </c>
      <c r="CR86" s="1363">
        <f>SUM(CN86:CQ86)</f>
        <v>0</v>
      </c>
      <c r="CS86" s="1421">
        <f>CQ86</f>
        <v>0</v>
      </c>
      <c r="CT86" s="1421">
        <f>CS86</f>
        <v>0</v>
      </c>
      <c r="CU86" s="1421">
        <f t="shared" ref="CU86" si="59">CT86</f>
        <v>0</v>
      </c>
      <c r="CV86" s="1421">
        <f t="shared" ref="CV86" si="60">CU86</f>
        <v>0</v>
      </c>
      <c r="CW86" s="1363">
        <f>SUM(CS86:CV86)</f>
        <v>0</v>
      </c>
      <c r="CZ86" s="201"/>
      <c r="DA86" s="200"/>
      <c r="DB86" s="200"/>
    </row>
    <row r="87" spans="1:106">
      <c r="A87" s="206" t="s">
        <v>601</v>
      </c>
      <c r="B87" s="192"/>
      <c r="C87" s="192"/>
      <c r="D87" s="192"/>
      <c r="E87" s="192"/>
      <c r="F87" s="137"/>
      <c r="G87" s="192"/>
      <c r="H87" s="192"/>
      <c r="I87" s="192"/>
      <c r="J87" s="192"/>
      <c r="K87" s="192"/>
      <c r="L87" s="192"/>
      <c r="M87" s="192"/>
      <c r="N87" s="192"/>
      <c r="O87" s="192"/>
      <c r="P87" s="192"/>
      <c r="Q87" s="192"/>
      <c r="R87" s="192"/>
      <c r="S87" s="843"/>
      <c r="T87" s="192"/>
      <c r="U87" s="843"/>
      <c r="V87" s="192"/>
      <c r="W87" s="192"/>
      <c r="X87" s="192"/>
      <c r="Y87" s="192"/>
      <c r="Z87" s="192"/>
      <c r="AA87" s="192"/>
      <c r="AB87" s="192"/>
      <c r="AC87" s="192"/>
      <c r="AD87" s="192"/>
      <c r="AE87" s="192"/>
      <c r="AF87" s="192"/>
      <c r="AG87" s="192"/>
      <c r="AH87" s="192"/>
      <c r="AI87" s="192"/>
      <c r="AJ87" s="192"/>
      <c r="AK87" s="192"/>
      <c r="AL87" s="192"/>
      <c r="AM87" s="192"/>
      <c r="AN87" s="192"/>
      <c r="AO87" s="192"/>
      <c r="AP87" s="192"/>
      <c r="AQ87" s="192"/>
      <c r="AR87" s="192"/>
      <c r="AS87" s="192"/>
      <c r="AT87" s="192"/>
      <c r="AU87" s="192"/>
      <c r="AV87" s="192"/>
      <c r="AW87" s="192"/>
      <c r="AX87" s="192"/>
      <c r="AY87" s="192"/>
      <c r="AZ87" s="192"/>
      <c r="BA87" s="192"/>
      <c r="BB87" s="192"/>
      <c r="BC87" s="192"/>
      <c r="BD87" s="191"/>
      <c r="BE87" s="1148"/>
      <c r="BF87" s="1353"/>
      <c r="BG87" s="1353"/>
      <c r="BH87" s="1353"/>
      <c r="BI87" s="1363">
        <f>SUM(BE87:BH87)</f>
        <v>0</v>
      </c>
      <c r="BJ87" s="1405">
        <f>BJ96</f>
        <v>6.5868658790826968</v>
      </c>
      <c r="BK87" s="1405">
        <f>BK96</f>
        <v>12.53995830437804</v>
      </c>
      <c r="BL87" s="1405">
        <f>BL96</f>
        <v>18.262682418346074</v>
      </c>
      <c r="BM87" s="1405">
        <f>BM96</f>
        <v>25.809589993050732</v>
      </c>
      <c r="BN87" s="1363">
        <f>SUM(BJ87:BM87)</f>
        <v>63.199096594857551</v>
      </c>
      <c r="BO87" s="1405">
        <f>BO96</f>
        <v>31.797570850202426</v>
      </c>
      <c r="BP87" s="1405">
        <f>BP96</f>
        <v>37.821862348178144</v>
      </c>
      <c r="BQ87" s="1405">
        <f>BQ96</f>
        <v>46.621457489878544</v>
      </c>
      <c r="BR87" s="1405">
        <f>BR96</f>
        <v>57.097165991902827</v>
      </c>
      <c r="BS87" s="1363">
        <f>SUM(BO87:BR87)</f>
        <v>173.33805668016191</v>
      </c>
      <c r="BT87" s="1353">
        <f>BT96</f>
        <v>67.408059023836557</v>
      </c>
      <c r="BU87" s="1405">
        <f>BU96</f>
        <v>77.755796983946809</v>
      </c>
      <c r="BV87" s="1405">
        <f>BV96</f>
        <v>89.851143181449643</v>
      </c>
      <c r="BW87" s="1405">
        <f>BW96</f>
        <v>103.50340522133938</v>
      </c>
      <c r="BX87" s="1363">
        <f>SUM(BT87:BW87)</f>
        <v>338.51840441057237</v>
      </c>
      <c r="BY87" s="1353">
        <f>BY96</f>
        <v>98.432832145850796</v>
      </c>
      <c r="BZ87" s="1405">
        <f>BZ96</f>
        <v>90.784601844090545</v>
      </c>
      <c r="CA87" s="1405">
        <f>CA96</f>
        <v>100.96150146689021</v>
      </c>
      <c r="CB87" s="1405">
        <f>CB96</f>
        <v>111.93973176865047</v>
      </c>
      <c r="CC87" s="1363">
        <f>SUM(BY87:CB87)</f>
        <v>402.11866722548206</v>
      </c>
      <c r="CD87" s="1405">
        <f>CD96</f>
        <v>108.82966974988204</v>
      </c>
      <c r="CE87" s="1405">
        <f>CE96</f>
        <v>104.04581071260031</v>
      </c>
      <c r="CF87" s="1405">
        <f>CF96</f>
        <v>112.22458737612087</v>
      </c>
      <c r="CG87" s="1405">
        <f>CG96</f>
        <v>120.53824641340259</v>
      </c>
      <c r="CH87" s="1363">
        <f>SUM(CD87:CG87)</f>
        <v>445.63831425200578</v>
      </c>
      <c r="CI87" s="1405">
        <f>CI96</f>
        <v>118.87608648301359</v>
      </c>
      <c r="CJ87" s="1421">
        <f>CJ96</f>
        <v>116.40315811485758</v>
      </c>
      <c r="CK87" s="1421">
        <f>CK96</f>
        <v>122.61767448301363</v>
      </c>
      <c r="CL87" s="1421">
        <f>CL96</f>
        <v>128.83219085116966</v>
      </c>
      <c r="CM87" s="1363">
        <f>SUM(CI87:CL87)</f>
        <v>486.72910993205448</v>
      </c>
      <c r="CN87" s="1421">
        <f>CN96</f>
        <v>128.26250206068414</v>
      </c>
      <c r="CO87" s="1421">
        <f>CO96</f>
        <v>127.08469028233407</v>
      </c>
      <c r="CP87" s="1421">
        <f>CP96</f>
        <v>132.22858534068416</v>
      </c>
      <c r="CQ87" s="1421">
        <f>CQ96</f>
        <v>137.37248039903429</v>
      </c>
      <c r="CR87" s="1363">
        <f>SUM(CN87:CQ87)</f>
        <v>524.94825808273663</v>
      </c>
      <c r="CS87" s="1421">
        <f>CS96</f>
        <v>137.59413809717196</v>
      </c>
      <c r="CT87" s="1421">
        <f>CT96</f>
        <v>137.28385892159318</v>
      </c>
      <c r="CU87" s="1421">
        <f>CU96</f>
        <v>141.76266845538521</v>
      </c>
      <c r="CV87" s="1421">
        <f>CV96</f>
        <v>146.27699590776399</v>
      </c>
      <c r="CW87" s="1363">
        <f>SUM(CS87:CV87)</f>
        <v>562.91766138191429</v>
      </c>
      <c r="CZ87" s="201"/>
      <c r="DA87" s="200"/>
      <c r="DB87" s="200"/>
    </row>
    <row r="88" spans="1:106">
      <c r="A88" s="113" t="s">
        <v>419</v>
      </c>
      <c r="B88" s="810"/>
      <c r="C88" s="810"/>
      <c r="D88" s="810"/>
      <c r="E88" s="810"/>
      <c r="F88" s="818"/>
      <c r="G88" s="810"/>
      <c r="H88" s="810"/>
      <c r="I88" s="810"/>
      <c r="J88" s="810"/>
      <c r="K88" s="810"/>
      <c r="L88" s="810"/>
      <c r="M88" s="810"/>
      <c r="N88" s="810"/>
      <c r="O88" s="810"/>
      <c r="P88" s="810"/>
      <c r="Q88" s="810"/>
      <c r="R88" s="810"/>
      <c r="S88" s="1390"/>
      <c r="T88" s="810"/>
      <c r="U88" s="1390"/>
      <c r="V88" s="810"/>
      <c r="W88" s="810"/>
      <c r="X88" s="810"/>
      <c r="Y88" s="810"/>
      <c r="Z88" s="810"/>
      <c r="AA88" s="810"/>
      <c r="AB88" s="810"/>
      <c r="AC88" s="810"/>
      <c r="AD88" s="810"/>
      <c r="AE88" s="810"/>
      <c r="AF88" s="810"/>
      <c r="AG88" s="810"/>
      <c r="AH88" s="810"/>
      <c r="AI88" s="810"/>
      <c r="AJ88" s="810"/>
      <c r="AK88" s="810"/>
      <c r="AL88" s="810"/>
      <c r="AM88" s="810"/>
      <c r="AN88" s="810"/>
      <c r="AO88" s="810"/>
      <c r="AP88" s="810"/>
      <c r="AQ88" s="810"/>
      <c r="AR88" s="810"/>
      <c r="AS88" s="810"/>
      <c r="AT88" s="810"/>
      <c r="AU88" s="810"/>
      <c r="AV88" s="810"/>
      <c r="AW88" s="810"/>
      <c r="AX88" s="810"/>
      <c r="AY88" s="810"/>
      <c r="AZ88" s="810"/>
      <c r="BA88" s="810"/>
      <c r="BB88" s="810"/>
      <c r="BC88" s="810"/>
      <c r="BD88" s="811"/>
      <c r="BE88" s="1391"/>
      <c r="BF88" s="1392"/>
      <c r="BG88" s="1392"/>
      <c r="BH88" s="1392"/>
      <c r="BI88" s="1393"/>
      <c r="BJ88" s="1423">
        <f>300/4</f>
        <v>75</v>
      </c>
      <c r="BK88" s="1423">
        <f>300/4</f>
        <v>75</v>
      </c>
      <c r="BL88" s="1423">
        <f>300/4</f>
        <v>75</v>
      </c>
      <c r="BM88" s="1423">
        <f>300/4</f>
        <v>75</v>
      </c>
      <c r="BN88" s="1393">
        <f>SUM(BJ88:BM88)</f>
        <v>300</v>
      </c>
      <c r="BO88" s="1423">
        <f>300/4</f>
        <v>75</v>
      </c>
      <c r="BP88" s="1423">
        <f>300/4</f>
        <v>75</v>
      </c>
      <c r="BQ88" s="1423">
        <f>300/4</f>
        <v>75</v>
      </c>
      <c r="BR88" s="1423">
        <f>BR89-SUM(BR85:BR87)</f>
        <v>86.659398496240556</v>
      </c>
      <c r="BS88" s="1393">
        <f>SUM(BO88:BR88)</f>
        <v>311.65939849624056</v>
      </c>
      <c r="BT88" s="1423">
        <f>BT89-SUM(BT85:BT87)</f>
        <v>90.186984487324935</v>
      </c>
      <c r="BU88" s="1423">
        <f>BU89-SUM(BU85:BU87)</f>
        <v>80.112903225806406</v>
      </c>
      <c r="BV88" s="1423">
        <f>BV89-SUM(BV85:BV87)</f>
        <v>40.5409448818898</v>
      </c>
      <c r="BW88" s="1423">
        <f>BW89-SUM(BW85:BW87)</f>
        <v>84.509903518728606</v>
      </c>
      <c r="BX88" s="1393">
        <f>SUM(BT88:BW88)</f>
        <v>295.35073611374975</v>
      </c>
      <c r="BY88" s="1423">
        <f>BY89-SUM(BY85:BY87)</f>
        <v>70.833492583411612</v>
      </c>
      <c r="BZ88" s="1423">
        <f>BZ89-SUM(BZ85:BZ87)</f>
        <v>43.922542831379587</v>
      </c>
      <c r="CA88" s="1423">
        <f>CA89-SUM(CA85:CA87)</f>
        <v>28.993755803156887</v>
      </c>
      <c r="CB88" s="1423">
        <f>CB89-SUM(CB85:CB87)</f>
        <v>49.572129086336872</v>
      </c>
      <c r="CC88" s="1393">
        <f>SUM(BY88:CB88)</f>
        <v>193.32192030428496</v>
      </c>
      <c r="CD88" s="1423">
        <f>CD89-SUM(CD85:CD87)</f>
        <v>20.39217952647391</v>
      </c>
      <c r="CE88" s="1423">
        <f>CE89-SUM(CE85:CE87)</f>
        <v>38.947127688537989</v>
      </c>
      <c r="CF88" s="1423">
        <f>CF89-SUM(CF85:CF87)</f>
        <v>17.682129451402261</v>
      </c>
      <c r="CG88" s="1423">
        <f>CG89-SUM(CG85:CG87)</f>
        <v>35.664060291315081</v>
      </c>
      <c r="CH88" s="1393">
        <f>SUM(CD88:CG88)</f>
        <v>112.68549695772924</v>
      </c>
      <c r="CI88" s="1423">
        <f>CI89-SUM(CI85:CI87)</f>
        <v>8.7932803083381259</v>
      </c>
      <c r="CJ88" s="1425">
        <v>2</v>
      </c>
      <c r="CK88" s="1425">
        <f>CJ88</f>
        <v>2</v>
      </c>
      <c r="CL88" s="1425">
        <f>CK88</f>
        <v>2</v>
      </c>
      <c r="CM88" s="1393">
        <f>SUM(CI88:CL88)</f>
        <v>14.793280308338126</v>
      </c>
      <c r="CN88" s="1424">
        <f>CL88</f>
        <v>2</v>
      </c>
      <c r="CO88" s="1425">
        <f>CN88</f>
        <v>2</v>
      </c>
      <c r="CP88" s="1425">
        <f>CO88</f>
        <v>2</v>
      </c>
      <c r="CQ88" s="1425">
        <f>CP88</f>
        <v>2</v>
      </c>
      <c r="CR88" s="1393">
        <f>SUM(CN88:CQ88)</f>
        <v>8</v>
      </c>
      <c r="CS88" s="1424">
        <f>CQ88</f>
        <v>2</v>
      </c>
      <c r="CT88" s="1425">
        <f>CS88</f>
        <v>2</v>
      </c>
      <c r="CU88" s="1425">
        <f>CT88</f>
        <v>2</v>
      </c>
      <c r="CV88" s="1425">
        <f>CU88</f>
        <v>2</v>
      </c>
      <c r="CW88" s="1393">
        <f>SUM(CS88:CV88)</f>
        <v>8</v>
      </c>
      <c r="CZ88" s="201"/>
      <c r="DA88" s="200"/>
      <c r="DB88" s="200"/>
    </row>
    <row r="89" spans="1:106">
      <c r="A89" s="1147" t="s">
        <v>420</v>
      </c>
      <c r="B89" s="804"/>
      <c r="C89" s="804"/>
      <c r="D89" s="804"/>
      <c r="E89" s="804"/>
      <c r="F89" s="1367"/>
      <c r="G89" s="804"/>
      <c r="H89" s="804"/>
      <c r="I89" s="804"/>
      <c r="J89" s="804"/>
      <c r="K89" s="804"/>
      <c r="L89" s="804"/>
      <c r="M89" s="804"/>
      <c r="N89" s="804"/>
      <c r="O89" s="804"/>
      <c r="P89" s="804"/>
      <c r="Q89" s="804"/>
      <c r="R89" s="804"/>
      <c r="S89" s="805"/>
      <c r="T89" s="804"/>
      <c r="U89" s="805"/>
      <c r="V89" s="804"/>
      <c r="W89" s="804"/>
      <c r="X89" s="804"/>
      <c r="Y89" s="804"/>
      <c r="Z89" s="804"/>
      <c r="AA89" s="804"/>
      <c r="AB89" s="804"/>
      <c r="AC89" s="804"/>
      <c r="AD89" s="804"/>
      <c r="AE89" s="804"/>
      <c r="AF89" s="804"/>
      <c r="AG89" s="804"/>
      <c r="AH89" s="804"/>
      <c r="AI89" s="804"/>
      <c r="AJ89" s="804"/>
      <c r="AK89" s="804"/>
      <c r="AL89" s="804"/>
      <c r="AM89" s="804"/>
      <c r="AN89" s="804"/>
      <c r="AO89" s="804"/>
      <c r="AP89" s="804"/>
      <c r="AQ89" s="804"/>
      <c r="AR89" s="804"/>
      <c r="AS89" s="804"/>
      <c r="AT89" s="804"/>
      <c r="AU89" s="804"/>
      <c r="AV89" s="804"/>
      <c r="AW89" s="804"/>
      <c r="AX89" s="804"/>
      <c r="AY89" s="804"/>
      <c r="AZ89" s="804"/>
      <c r="BA89" s="804"/>
      <c r="BB89" s="804"/>
      <c r="BC89" s="804"/>
      <c r="BD89" s="806"/>
      <c r="BE89" s="1368"/>
      <c r="BF89" s="1369"/>
      <c r="BG89" s="1369"/>
      <c r="BH89" s="1369"/>
      <c r="BI89" s="1370">
        <f>SUM(BF89:BH89)</f>
        <v>0</v>
      </c>
      <c r="BJ89" s="1369">
        <f>'Revenue Drivers'!BK13</f>
        <v>500.2</v>
      </c>
      <c r="BK89" s="1369">
        <f>'Revenue Drivers'!BL13</f>
        <v>470.7</v>
      </c>
      <c r="BL89" s="1369">
        <f>'Revenue Drivers'!BM13</f>
        <v>454.00000000000006</v>
      </c>
      <c r="BM89" s="1369">
        <f>'Revenue Drivers'!BN13</f>
        <v>432.4</v>
      </c>
      <c r="BN89" s="1370">
        <f>SUM(BJ89:BM89)</f>
        <v>1857.3000000000002</v>
      </c>
      <c r="BO89" s="1369">
        <f>'Revenue Drivers'!BP13</f>
        <v>447</v>
      </c>
      <c r="BP89" s="1369">
        <f>'Revenue Drivers'!BQ13</f>
        <v>495.3</v>
      </c>
      <c r="BQ89" s="1369">
        <f>'Revenue Drivers'!BR13</f>
        <v>413.29999999999995</v>
      </c>
      <c r="BR89" s="1369">
        <f>'Revenue Drivers'!BS13</f>
        <v>451.9</v>
      </c>
      <c r="BS89" s="1370">
        <f>SUM(BO89:BR89)</f>
        <v>1807.5</v>
      </c>
      <c r="BT89" s="1369">
        <f>'Revenue Drivers'!BU13</f>
        <v>509.4</v>
      </c>
      <c r="BU89" s="1369">
        <f>'Revenue Drivers'!BV13</f>
        <v>550.9</v>
      </c>
      <c r="BV89" s="1369">
        <f>'Revenue Drivers'!BW13</f>
        <v>576.1</v>
      </c>
      <c r="BW89" s="1369">
        <f>'Revenue Drivers'!BX13</f>
        <v>666.59999999999991</v>
      </c>
      <c r="BX89" s="1370">
        <f>SUM(BT89:BW89)</f>
        <v>2303</v>
      </c>
      <c r="BY89" s="1369">
        <f>'Revenue Drivers'!BZ13</f>
        <v>732.9</v>
      </c>
      <c r="BZ89" s="1369">
        <f>'Revenue Drivers'!CA13</f>
        <v>754.9</v>
      </c>
      <c r="CA89" s="1369">
        <f>'Revenue Drivers'!CB13</f>
        <v>802.7</v>
      </c>
      <c r="CB89" s="1369">
        <f>'Revenue Drivers'!CC13</f>
        <v>885.6</v>
      </c>
      <c r="CC89" s="1370">
        <f>SUM(BY89:CB89)</f>
        <v>3176.1</v>
      </c>
      <c r="CD89" s="1369">
        <f>'Revenue Drivers'!CE13</f>
        <v>942.2</v>
      </c>
      <c r="CE89" s="1369">
        <f>'Revenue Drivers'!CF13</f>
        <v>1012.1</v>
      </c>
      <c r="CF89" s="1369">
        <f>'Revenue Drivers'!CG13</f>
        <v>1063.9000000000001</v>
      </c>
      <c r="CG89" s="1369">
        <f>'Revenue Drivers'!CH13</f>
        <v>1155.7</v>
      </c>
      <c r="CH89" s="1370">
        <f>SUM(CD89:CG89)</f>
        <v>4173.9000000000005</v>
      </c>
      <c r="CI89" s="1369">
        <f>'Revenue Drivers'!CJ13</f>
        <v>1229.5</v>
      </c>
      <c r="CJ89" s="1422">
        <f>SUM(CJ85:CJ88)</f>
        <v>1308.3547303702364</v>
      </c>
      <c r="CK89" s="1422">
        <f>SUM(CK85:CK88)</f>
        <v>1378.0982234676774</v>
      </c>
      <c r="CL89" s="1422">
        <f>SUM(CL85:CL88)</f>
        <v>1453.5750915651183</v>
      </c>
      <c r="CM89" s="1370">
        <f>SUM(CI89:CL89)</f>
        <v>5369.5280454030326</v>
      </c>
      <c r="CN89" s="1422">
        <f>SUM(CN85:CN88)</f>
        <v>1531.4496173690268</v>
      </c>
      <c r="CO89" s="1422">
        <f>SUM(CO85:CO88)</f>
        <v>1606.8891707327343</v>
      </c>
      <c r="CP89" s="1422">
        <f>SUM(CP85:CP88)</f>
        <v>1687.4652059331415</v>
      </c>
      <c r="CQ89" s="1422">
        <f>SUM(CQ85:CQ88)</f>
        <v>1769.2562411335491</v>
      </c>
      <c r="CR89" s="1370">
        <f>SUM(CN89:CQ89)</f>
        <v>6595.060235168452</v>
      </c>
      <c r="CS89" s="1422">
        <f>SUM(CS85:CS88)</f>
        <v>1847.2487229883482</v>
      </c>
      <c r="CT89" s="1422">
        <f>SUM(CT85:CT88)</f>
        <v>1921.449992677743</v>
      </c>
      <c r="CU89" s="1422">
        <f>SUM(CU85:CU88)</f>
        <v>2002.0318310034863</v>
      </c>
      <c r="CV89" s="1422">
        <f>SUM(CV85:CV88)</f>
        <v>2084.2541671747949</v>
      </c>
      <c r="CW89" s="1370">
        <f>SUM(CS89:CV89)</f>
        <v>7854.9847138443729</v>
      </c>
      <c r="CZ89" s="201"/>
      <c r="DA89" s="200"/>
      <c r="DB89" s="200"/>
    </row>
    <row r="90" spans="1:106">
      <c r="A90" s="1147"/>
      <c r="B90" s="804"/>
      <c r="C90" s="804"/>
      <c r="D90" s="804"/>
      <c r="E90" s="804"/>
      <c r="F90" s="1367"/>
      <c r="G90" s="804"/>
      <c r="H90" s="804"/>
      <c r="I90" s="804"/>
      <c r="J90" s="804"/>
      <c r="K90" s="804"/>
      <c r="L90" s="804"/>
      <c r="M90" s="804"/>
      <c r="N90" s="804"/>
      <c r="O90" s="804"/>
      <c r="P90" s="804"/>
      <c r="Q90" s="804"/>
      <c r="R90" s="804"/>
      <c r="S90" s="805"/>
      <c r="T90" s="804"/>
      <c r="U90" s="805"/>
      <c r="V90" s="804"/>
      <c r="W90" s="804"/>
      <c r="X90" s="804"/>
      <c r="Y90" s="804"/>
      <c r="Z90" s="804"/>
      <c r="AA90" s="804"/>
      <c r="AB90" s="804"/>
      <c r="AC90" s="804"/>
      <c r="AD90" s="804"/>
      <c r="AE90" s="804"/>
      <c r="AF90" s="804"/>
      <c r="AG90" s="804"/>
      <c r="AH90" s="804"/>
      <c r="AI90" s="804"/>
      <c r="AJ90" s="804"/>
      <c r="AK90" s="804"/>
      <c r="AL90" s="804"/>
      <c r="AM90" s="804"/>
      <c r="AN90" s="804"/>
      <c r="AO90" s="804"/>
      <c r="AP90" s="804"/>
      <c r="AQ90" s="804"/>
      <c r="AR90" s="804"/>
      <c r="AS90" s="804"/>
      <c r="AT90" s="804"/>
      <c r="AU90" s="804"/>
      <c r="AV90" s="804"/>
      <c r="AW90" s="804"/>
      <c r="AX90" s="804"/>
      <c r="AY90" s="804"/>
      <c r="AZ90" s="804"/>
      <c r="BA90" s="804"/>
      <c r="BB90" s="804"/>
      <c r="BC90" s="804"/>
      <c r="BD90" s="806"/>
      <c r="BE90" s="1368"/>
      <c r="BF90" s="1369"/>
      <c r="BG90" s="1369"/>
      <c r="BH90" s="1369"/>
      <c r="BI90" s="1370"/>
      <c r="BJ90" s="1369"/>
      <c r="BK90" s="1369"/>
      <c r="BL90" s="1369"/>
      <c r="BM90" s="1369"/>
      <c r="BN90" s="1370"/>
      <c r="BO90" s="1369"/>
      <c r="BP90" s="1369"/>
      <c r="BQ90" s="1369"/>
      <c r="BR90" s="1369"/>
      <c r="BS90" s="1370"/>
      <c r="BT90" s="1369"/>
      <c r="BU90" s="1369"/>
      <c r="BV90" s="1369"/>
      <c r="BW90" s="1369"/>
      <c r="BX90" s="1370"/>
      <c r="BY90" s="1369"/>
      <c r="BZ90" s="1369"/>
      <c r="CA90" s="1369"/>
      <c r="CB90" s="1369"/>
      <c r="CC90" s="1370"/>
      <c r="CD90" s="1369"/>
      <c r="CE90" s="1369"/>
      <c r="CF90" s="1369"/>
      <c r="CG90" s="1369"/>
      <c r="CH90" s="1370"/>
      <c r="CI90" s="1369"/>
      <c r="CJ90" s="1369"/>
      <c r="CK90" s="1369"/>
      <c r="CL90" s="1369"/>
      <c r="CM90" s="1370"/>
      <c r="CN90" s="1369"/>
      <c r="CO90" s="1369"/>
      <c r="CP90" s="1369"/>
      <c r="CQ90" s="1369"/>
      <c r="CR90" s="1370"/>
      <c r="CS90" s="1369"/>
      <c r="CT90" s="1369"/>
      <c r="CU90" s="1369"/>
      <c r="CV90" s="1369"/>
      <c r="CW90" s="1370"/>
      <c r="CZ90" s="201"/>
      <c r="DA90" s="200"/>
      <c r="DB90" s="200"/>
    </row>
    <row r="91" spans="1:106">
      <c r="A91" s="1147" t="s">
        <v>604</v>
      </c>
      <c r="B91" s="192"/>
      <c r="C91" s="192"/>
      <c r="D91" s="192"/>
      <c r="E91" s="192"/>
      <c r="F91" s="137"/>
      <c r="G91" s="192"/>
      <c r="H91" s="192"/>
      <c r="I91" s="192"/>
      <c r="J91" s="192"/>
      <c r="K91" s="192"/>
      <c r="L91" s="192"/>
      <c r="M91" s="192"/>
      <c r="N91" s="192"/>
      <c r="O91" s="192"/>
      <c r="P91" s="192"/>
      <c r="Q91" s="192"/>
      <c r="R91" s="192"/>
      <c r="S91" s="843"/>
      <c r="T91" s="192"/>
      <c r="U91" s="843"/>
      <c r="V91" s="192"/>
      <c r="W91" s="192"/>
      <c r="X91" s="192"/>
      <c r="Y91" s="192"/>
      <c r="Z91" s="192"/>
      <c r="AA91" s="192"/>
      <c r="AB91" s="192"/>
      <c r="AC91" s="192"/>
      <c r="AD91" s="192"/>
      <c r="AE91" s="192"/>
      <c r="AF91" s="192"/>
      <c r="AG91" s="192"/>
      <c r="AH91" s="192"/>
      <c r="AI91" s="192"/>
      <c r="AJ91" s="192"/>
      <c r="AK91" s="192"/>
      <c r="AL91" s="192"/>
      <c r="AM91" s="192"/>
      <c r="AN91" s="192"/>
      <c r="AO91" s="192"/>
      <c r="AP91" s="192"/>
      <c r="AQ91" s="192"/>
      <c r="AR91" s="192"/>
      <c r="AS91" s="192"/>
      <c r="AT91" s="192"/>
      <c r="AU91" s="192"/>
      <c r="AV91" s="192"/>
      <c r="AW91" s="192"/>
      <c r="AX91" s="192"/>
      <c r="AY91" s="192"/>
      <c r="AZ91" s="192"/>
      <c r="BA91" s="192"/>
      <c r="BB91" s="192"/>
      <c r="BC91" s="192"/>
      <c r="BD91" s="191"/>
      <c r="BE91" s="192"/>
      <c r="BF91" s="1148"/>
      <c r="BG91" s="1148"/>
      <c r="BH91" s="1148"/>
      <c r="BI91" s="191"/>
      <c r="BJ91" s="1148">
        <f>BJ93/BN93</f>
        <v>0.26569376882094048</v>
      </c>
      <c r="BK91" s="1148">
        <f>BK93/BN93</f>
        <v>0.1752760404601961</v>
      </c>
      <c r="BL91" s="1148">
        <f>BL93/BN93</f>
        <v>0.24862944946336199</v>
      </c>
      <c r="BM91" s="1148">
        <f>BM93/BN93</f>
        <v>0.31040074125550143</v>
      </c>
      <c r="BN91" s="191"/>
      <c r="BO91" s="1148"/>
      <c r="BP91" s="1148"/>
      <c r="BQ91" s="1148"/>
      <c r="BR91" s="1148"/>
      <c r="BS91" s="191"/>
      <c r="BT91" s="1148"/>
      <c r="BU91" s="1148"/>
      <c r="BV91" s="1148"/>
      <c r="BW91" s="1148"/>
      <c r="BX91" s="191"/>
      <c r="BY91" s="1148"/>
      <c r="BZ91" s="1148"/>
      <c r="CA91" s="1148"/>
      <c r="CB91" s="1148"/>
      <c r="CC91" s="191"/>
      <c r="CD91" s="1148"/>
      <c r="CE91" s="1148"/>
      <c r="CF91" s="1148"/>
      <c r="CG91" s="1148"/>
      <c r="CH91" s="191"/>
      <c r="CI91" s="1148"/>
      <c r="CJ91" s="1148"/>
      <c r="CK91" s="1148"/>
      <c r="CL91" s="1148"/>
      <c r="CM91" s="191"/>
      <c r="CN91" s="1148"/>
      <c r="CO91" s="1148"/>
      <c r="CP91" s="1148"/>
      <c r="CQ91" s="1148"/>
      <c r="CR91" s="191"/>
      <c r="CS91" s="1148"/>
      <c r="CT91" s="1148"/>
      <c r="CU91" s="1148"/>
      <c r="CV91" s="1148"/>
      <c r="CW91" s="191"/>
      <c r="CZ91" s="201"/>
      <c r="DA91" s="200"/>
      <c r="DB91" s="200"/>
    </row>
    <row r="92" spans="1:106">
      <c r="A92" s="206" t="s">
        <v>600</v>
      </c>
      <c r="B92" s="192"/>
      <c r="C92" s="192"/>
      <c r="D92" s="192"/>
      <c r="E92" s="192"/>
      <c r="F92" s="137"/>
      <c r="G92" s="192"/>
      <c r="H92" s="192"/>
      <c r="I92" s="192"/>
      <c r="J92" s="192"/>
      <c r="K92" s="192"/>
      <c r="L92" s="192"/>
      <c r="M92" s="192"/>
      <c r="N92" s="192"/>
      <c r="O92" s="192"/>
      <c r="P92" s="192"/>
      <c r="Q92" s="192"/>
      <c r="R92" s="192"/>
      <c r="S92" s="843"/>
      <c r="T92" s="192"/>
      <c r="U92" s="843"/>
      <c r="V92" s="192"/>
      <c r="W92" s="192"/>
      <c r="X92" s="192"/>
      <c r="Y92" s="192"/>
      <c r="Z92" s="192"/>
      <c r="AA92" s="192"/>
      <c r="AB92" s="192"/>
      <c r="AC92" s="192"/>
      <c r="AD92" s="192"/>
      <c r="AE92" s="192"/>
      <c r="AF92" s="192"/>
      <c r="AG92" s="192"/>
      <c r="AH92" s="192"/>
      <c r="AI92" s="192"/>
      <c r="AJ92" s="192"/>
      <c r="AK92" s="192"/>
      <c r="AL92" s="192"/>
      <c r="AM92" s="192"/>
      <c r="AN92" s="192"/>
      <c r="AO92" s="192"/>
      <c r="AP92" s="192"/>
      <c r="AQ92" s="192"/>
      <c r="AR92" s="192"/>
      <c r="AS92" s="192"/>
      <c r="AT92" s="192"/>
      <c r="AU92" s="192"/>
      <c r="AV92" s="192"/>
      <c r="AW92" s="192"/>
      <c r="AX92" s="192"/>
      <c r="AY92" s="192"/>
      <c r="AZ92" s="192"/>
      <c r="BA92" s="192"/>
      <c r="BB92" s="192"/>
      <c r="BC92" s="192"/>
      <c r="BD92" s="191"/>
      <c r="BE92" s="192"/>
      <c r="BF92" s="1149"/>
      <c r="BG92" s="1149"/>
      <c r="BH92" s="1149">
        <f>BI92</f>
        <v>100000</v>
      </c>
      <c r="BI92" s="1366">
        <f>BI158*1000000</f>
        <v>100000</v>
      </c>
      <c r="BJ92" s="1149">
        <f>BN92*(BJ67/BN67)</f>
        <v>339124.39193884644</v>
      </c>
      <c r="BK92" s="1149">
        <f>BN92*(BK67/BN67)</f>
        <v>496872.82835302292</v>
      </c>
      <c r="BL92" s="1149">
        <f>BN92*(BL67/BN67)</f>
        <v>720639.3328700487</v>
      </c>
      <c r="BM92" s="1149">
        <f>BN92*(BM67/BN67)</f>
        <v>1000000</v>
      </c>
      <c r="BN92" s="1366">
        <f>BN158*1000000</f>
        <v>1000000</v>
      </c>
      <c r="BO92" s="1149">
        <f>BS92*(BO67/BS67)</f>
        <v>1119838.056680162</v>
      </c>
      <c r="BP92" s="1149">
        <f>BS92*(BP67/BS67)</f>
        <v>1401619.4331983805</v>
      </c>
      <c r="BQ92" s="1149">
        <f>BS92*(BQ67/BS67)</f>
        <v>1706477.7327935223</v>
      </c>
      <c r="BR92" s="1149">
        <f>BS92*(BR67/BS67)</f>
        <v>2100000</v>
      </c>
      <c r="BS92" s="1366">
        <f>BS158*1000000</f>
        <v>2100000</v>
      </c>
      <c r="BT92" s="1149">
        <f>BX92*(BT67/BX67)</f>
        <v>2393870.6015891032</v>
      </c>
      <c r="BU92" s="1149">
        <f>BX92*(BU67/BX67)</f>
        <v>2789849.197340684</v>
      </c>
      <c r="BV92" s="1149">
        <f>BX92*(BV67/BX67)</f>
        <v>3200227.0147559592</v>
      </c>
      <c r="BW92" s="1149">
        <f>BX92*(BW67/BX67)</f>
        <v>3700000</v>
      </c>
      <c r="BX92" s="1366">
        <f>BX158*1000000</f>
        <v>3700000</v>
      </c>
      <c r="BY92" s="1149">
        <f>CC92*(BY67/CC67)</f>
        <v>2862188.809723387</v>
      </c>
      <c r="BZ92" s="1149">
        <f>CC92*(BZ67/CC67)</f>
        <v>3190117.9798826491</v>
      </c>
      <c r="CA92" s="1149">
        <f>CC92*(CA67/CC67)</f>
        <v>3540648.7845766977</v>
      </c>
      <c r="CB92" s="1149">
        <f>CC92*(CB67/CC67)</f>
        <v>3922000.0000000005</v>
      </c>
      <c r="CC92" s="1366">
        <f>CC158*1000000</f>
        <v>3922000.0000000005</v>
      </c>
      <c r="CD92" s="1149">
        <f>CH92*(CD67/CH67)</f>
        <v>3333311.3166588023</v>
      </c>
      <c r="CE92" s="1149">
        <f>CH92*(CE67/CH67)</f>
        <v>3603076.0641812189</v>
      </c>
      <c r="CF92" s="1149">
        <f>CH92*(CF67/CH67)</f>
        <v>3878563.0942268376</v>
      </c>
      <c r="CG92" s="1149">
        <f>CH92*(CG67/CH67)</f>
        <v>4157320.0000000014</v>
      </c>
      <c r="CH92" s="1366">
        <f>CH158*1000000</f>
        <v>4157320.0000000014</v>
      </c>
      <c r="CI92" s="1149">
        <f>CM92*(CI67/CM67)</f>
        <v>3767752.4322009063</v>
      </c>
      <c r="CJ92" s="1149">
        <f>CM92*(CJ67/CM67)</f>
        <v>3992458.108789599</v>
      </c>
      <c r="CK92" s="1149">
        <f>CM92*(CK67/CM67)</f>
        <v>4182053.5234113084</v>
      </c>
      <c r="CL92" s="1149">
        <f>CM92*(CL67/CM67)</f>
        <v>4406759.2000000011</v>
      </c>
      <c r="CM92" s="1366">
        <f>CM158*1000000</f>
        <v>4406759.2000000011</v>
      </c>
      <c r="CN92" s="1149">
        <f>CR92*(CN67/CR67)</f>
        <v>4144074.2707122755</v>
      </c>
      <c r="CO92" s="1149">
        <f>CR92*(CO67/CR67)</f>
        <v>4328238.4147766624</v>
      </c>
      <c r="CP92" s="1149">
        <f>CR92*(CP67/CR67)</f>
        <v>4487000.6079356158</v>
      </c>
      <c r="CQ92" s="1149">
        <f>CR92*(CQ67/CR67)</f>
        <v>4671164.7520000022</v>
      </c>
      <c r="CR92" s="1366">
        <f>CR158*1000000</f>
        <v>4671164.7520000022</v>
      </c>
      <c r="CS92" s="1149">
        <f>CW92*(CS67/CW67)</f>
        <v>4501777.7878114618</v>
      </c>
      <c r="CT92" s="1149">
        <f>CW92*(CT67/CW67)</f>
        <v>4650479.4736280832</v>
      </c>
      <c r="CU92" s="1149">
        <f>CW92*(CU67/CW67)</f>
        <v>4800365.090064263</v>
      </c>
      <c r="CV92" s="1149">
        <f>CW92*(CV67/CW67)</f>
        <v>4951434.6371200019</v>
      </c>
      <c r="CW92" s="1366">
        <f>CW158*1000000</f>
        <v>4951434.6371200019</v>
      </c>
      <c r="CZ92" s="201"/>
      <c r="DA92" s="200"/>
      <c r="DB92" s="200"/>
    </row>
    <row r="93" spans="1:106">
      <c r="A93" s="206" t="s">
        <v>605</v>
      </c>
      <c r="B93" s="192"/>
      <c r="C93" s="192"/>
      <c r="D93" s="192"/>
      <c r="E93" s="192"/>
      <c r="F93" s="137"/>
      <c r="G93" s="192"/>
      <c r="H93" s="192"/>
      <c r="I93" s="192"/>
      <c r="J93" s="192"/>
      <c r="K93" s="192"/>
      <c r="L93" s="192"/>
      <c r="M93" s="192"/>
      <c r="N93" s="192"/>
      <c r="O93" s="192"/>
      <c r="P93" s="192"/>
      <c r="Q93" s="192"/>
      <c r="R93" s="192"/>
      <c r="S93" s="843"/>
      <c r="T93" s="192"/>
      <c r="U93" s="843"/>
      <c r="V93" s="192"/>
      <c r="W93" s="192"/>
      <c r="X93" s="192"/>
      <c r="Y93" s="192"/>
      <c r="Z93" s="192"/>
      <c r="AA93" s="192"/>
      <c r="AB93" s="192"/>
      <c r="AC93" s="192"/>
      <c r="AD93" s="192"/>
      <c r="AE93" s="192"/>
      <c r="AF93" s="192"/>
      <c r="AG93" s="192"/>
      <c r="AH93" s="192"/>
      <c r="AI93" s="192"/>
      <c r="AJ93" s="192"/>
      <c r="AK93" s="192"/>
      <c r="AL93" s="192"/>
      <c r="AM93" s="192"/>
      <c r="AN93" s="192"/>
      <c r="AO93" s="192"/>
      <c r="AP93" s="192"/>
      <c r="AQ93" s="192"/>
      <c r="AR93" s="192"/>
      <c r="AS93" s="192"/>
      <c r="AT93" s="192"/>
      <c r="AU93" s="192"/>
      <c r="AV93" s="192"/>
      <c r="AW93" s="192"/>
      <c r="AX93" s="192"/>
      <c r="AY93" s="192"/>
      <c r="AZ93" s="192"/>
      <c r="BA93" s="192"/>
      <c r="BB93" s="192"/>
      <c r="BC93" s="192"/>
      <c r="BD93" s="191"/>
      <c r="BE93" s="192"/>
      <c r="BF93" s="1149"/>
      <c r="BG93" s="1149"/>
      <c r="BH93" s="1149"/>
      <c r="BI93" s="1366"/>
      <c r="BJ93" s="1149">
        <f>BJ92-BH92</f>
        <v>239124.39193884644</v>
      </c>
      <c r="BK93" s="173">
        <f>BK92-BJ92</f>
        <v>157748.43641417648</v>
      </c>
      <c r="BL93" s="173">
        <f>BL92-BK92</f>
        <v>223766.50451702578</v>
      </c>
      <c r="BM93" s="173">
        <f>BM92-BL92</f>
        <v>279360.6671299513</v>
      </c>
      <c r="BN93" s="1366">
        <f>SUM(BJ93:BM93)</f>
        <v>900000</v>
      </c>
      <c r="BO93" s="1149">
        <f>BO92-BM92</f>
        <v>119838.05668016197</v>
      </c>
      <c r="BP93" s="1149">
        <f>BP92-BO92</f>
        <v>281781.37651821855</v>
      </c>
      <c r="BQ93" s="1149">
        <f>BQ92-BP92</f>
        <v>304858.29959514178</v>
      </c>
      <c r="BR93" s="1149">
        <f>BR92-BQ92</f>
        <v>393522.2672064777</v>
      </c>
      <c r="BS93" s="1366">
        <f>SUM(BO93:BR93)</f>
        <v>1100000</v>
      </c>
      <c r="BT93" s="1149">
        <f>BT92-BR92</f>
        <v>293870.60158910323</v>
      </c>
      <c r="BU93" s="1149">
        <f>BU92-BT92</f>
        <v>395978.59575158078</v>
      </c>
      <c r="BV93" s="1149">
        <f>BV92-BU92</f>
        <v>410377.81741527515</v>
      </c>
      <c r="BW93" s="1149">
        <f>BW92-BV92</f>
        <v>499772.98524404084</v>
      </c>
      <c r="BX93" s="1366">
        <f>SUM(BT93:BW93)</f>
        <v>1600000</v>
      </c>
      <c r="BY93" s="1149">
        <f>CC93*(BY69/CC69)</f>
        <v>52459.57950843955</v>
      </c>
      <c r="BZ93" s="1149">
        <f>CC93*(BZ69/CC69)</f>
        <v>52459.57950843955</v>
      </c>
      <c r="CA93" s="1149">
        <f>CC93*(CA69/CC69)</f>
        <v>56075.214687592656</v>
      </c>
      <c r="CB93" s="1149">
        <f>CC93*(CB69/CC69)</f>
        <v>61005.626295528702</v>
      </c>
      <c r="CC93" s="1366">
        <f>CC92-BX92</f>
        <v>222000.00000000047</v>
      </c>
      <c r="CD93" s="1149">
        <f>CH93*(CD69/CH69)</f>
        <v>48251.735015773062</v>
      </c>
      <c r="CE93" s="1149">
        <f>CH93*(CE69/CH69)</f>
        <v>61242.586750788883</v>
      </c>
      <c r="CF93" s="1149">
        <f>CH93*(CF69/CH69)</f>
        <v>62541.671924290473</v>
      </c>
      <c r="CG93" s="1149">
        <f>CH93*(CG69/CH69)</f>
        <v>63284.006309148514</v>
      </c>
      <c r="CH93" s="1366">
        <f>CH92-CC92</f>
        <v>235320.00000000093</v>
      </c>
      <c r="CI93" s="1149">
        <f>CM93*(CI69/CM69)</f>
        <v>58691.576470588167</v>
      </c>
      <c r="CJ93" s="1149">
        <f>CM93*(CJ69/CM69)</f>
        <v>67076.087394957911</v>
      </c>
      <c r="CK93" s="1149">
        <f>CM93*(CK69/CM69)</f>
        <v>56595.448739495732</v>
      </c>
      <c r="CL93" s="1149">
        <f>CM93*(CL69/CM69)</f>
        <v>67076.087394957911</v>
      </c>
      <c r="CM93" s="1366">
        <f>CM92-CH92</f>
        <v>249439.19999999972</v>
      </c>
      <c r="CN93" s="1149">
        <f>CR93*(CN69/CR69)</f>
        <v>61204.988888889136</v>
      </c>
      <c r="CO93" s="1149">
        <f>CR93*(CO69/CR69)</f>
        <v>70997.787111111407</v>
      </c>
      <c r="CP93" s="1149">
        <f>CR93*(CP69/CR69)</f>
        <v>61204.988888889136</v>
      </c>
      <c r="CQ93" s="1149">
        <f>CR93*(CQ69/CR69)</f>
        <v>70997.787111111407</v>
      </c>
      <c r="CR93" s="1366">
        <f>CR92-CM92</f>
        <v>264405.55200000107</v>
      </c>
      <c r="CS93" s="1149">
        <f>CW93*(CS69/CW69)</f>
        <v>69233.996205297328</v>
      </c>
      <c r="CT93" s="1149">
        <f>CW93*(CT69/CW69)</f>
        <v>69789.646255099069</v>
      </c>
      <c r="CU93" s="1149">
        <f>CW93*(CU69/CW69)</f>
        <v>70345.29630490081</v>
      </c>
      <c r="CV93" s="1149">
        <f>CW93*(CV69/CW69)</f>
        <v>70900.946354702552</v>
      </c>
      <c r="CW93" s="1366">
        <f>CW92-CR92</f>
        <v>280269.88511999976</v>
      </c>
      <c r="CZ93" s="201"/>
      <c r="DA93" s="200"/>
      <c r="DB93" s="200"/>
    </row>
    <row r="94" spans="1:106">
      <c r="A94" s="206" t="s">
        <v>606</v>
      </c>
      <c r="B94" s="192"/>
      <c r="C94" s="192"/>
      <c r="D94" s="192"/>
      <c r="E94" s="192"/>
      <c r="F94" s="137"/>
      <c r="G94" s="192"/>
      <c r="H94" s="192"/>
      <c r="I94" s="192"/>
      <c r="J94" s="192"/>
      <c r="K94" s="192"/>
      <c r="L94" s="192"/>
      <c r="M94" s="192"/>
      <c r="N94" s="192"/>
      <c r="O94" s="192"/>
      <c r="P94" s="192"/>
      <c r="Q94" s="192"/>
      <c r="R94" s="192"/>
      <c r="S94" s="843"/>
      <c r="T94" s="192"/>
      <c r="U94" s="843"/>
      <c r="V94" s="192"/>
      <c r="W94" s="192"/>
      <c r="X94" s="192"/>
      <c r="Y94" s="192"/>
      <c r="Z94" s="192"/>
      <c r="AA94" s="192"/>
      <c r="AB94" s="192"/>
      <c r="AC94" s="192"/>
      <c r="AD94" s="192"/>
      <c r="AE94" s="192"/>
      <c r="AF94" s="192"/>
      <c r="AG94" s="192"/>
      <c r="AH94" s="192"/>
      <c r="AI94" s="192"/>
      <c r="AJ94" s="192"/>
      <c r="AK94" s="192"/>
      <c r="AL94" s="192"/>
      <c r="AM94" s="192"/>
      <c r="AN94" s="192"/>
      <c r="AO94" s="192"/>
      <c r="AP94" s="192"/>
      <c r="AQ94" s="192"/>
      <c r="AR94" s="192"/>
      <c r="AS94" s="192"/>
      <c r="AT94" s="192"/>
      <c r="AU94" s="192"/>
      <c r="AV94" s="192"/>
      <c r="AW94" s="192"/>
      <c r="AX94" s="192"/>
      <c r="AY94" s="192"/>
      <c r="AZ94" s="192"/>
      <c r="BA94" s="192"/>
      <c r="BB94" s="192"/>
      <c r="BC94" s="192"/>
      <c r="BD94" s="191"/>
      <c r="BE94" s="192"/>
      <c r="BF94" s="1353"/>
      <c r="BG94" s="1353"/>
      <c r="BH94" s="1403"/>
      <c r="BI94" s="191"/>
      <c r="BJ94" s="1353">
        <v>10</v>
      </c>
      <c r="BK94" s="1354">
        <f>BJ94</f>
        <v>10</v>
      </c>
      <c r="BL94" s="1354">
        <f>BK94</f>
        <v>10</v>
      </c>
      <c r="BM94" s="1354">
        <f>BL94</f>
        <v>10</v>
      </c>
      <c r="BN94" s="191"/>
      <c r="BO94" s="1354">
        <f>BM94</f>
        <v>10</v>
      </c>
      <c r="BP94" s="1354">
        <f>BO94</f>
        <v>10</v>
      </c>
      <c r="BQ94" s="1354">
        <f>BP94</f>
        <v>10</v>
      </c>
      <c r="BR94" s="1354">
        <f>BQ94</f>
        <v>10</v>
      </c>
      <c r="BS94" s="191"/>
      <c r="BT94" s="1354">
        <f>BR94</f>
        <v>10</v>
      </c>
      <c r="BU94" s="1354">
        <f>BT94</f>
        <v>10</v>
      </c>
      <c r="BV94" s="1354">
        <f>BU94</f>
        <v>10</v>
      </c>
      <c r="BW94" s="1354">
        <f>BV94</f>
        <v>10</v>
      </c>
      <c r="BX94" s="191"/>
      <c r="BY94" s="1354">
        <f>BW94</f>
        <v>10</v>
      </c>
      <c r="BZ94" s="1354">
        <f>BY94</f>
        <v>10</v>
      </c>
      <c r="CA94" s="1354">
        <f>BZ94</f>
        <v>10</v>
      </c>
      <c r="CB94" s="1354">
        <f t="shared" ref="CB94" si="61">CA94</f>
        <v>10</v>
      </c>
      <c r="CC94" s="191"/>
      <c r="CD94" s="1354">
        <f>CB94</f>
        <v>10</v>
      </c>
      <c r="CE94" s="1354">
        <f t="shared" ref="CE94:CG94" si="62">CD94</f>
        <v>10</v>
      </c>
      <c r="CF94" s="1354">
        <f t="shared" si="62"/>
        <v>10</v>
      </c>
      <c r="CG94" s="1354">
        <f t="shared" si="62"/>
        <v>10</v>
      </c>
      <c r="CH94" s="191"/>
      <c r="CI94" s="1354">
        <f>CG94</f>
        <v>10</v>
      </c>
      <c r="CJ94" s="1354">
        <f t="shared" ref="CJ94:CL94" si="63">CI94</f>
        <v>10</v>
      </c>
      <c r="CK94" s="1354">
        <f t="shared" si="63"/>
        <v>10</v>
      </c>
      <c r="CL94" s="1354">
        <f t="shared" si="63"/>
        <v>10</v>
      </c>
      <c r="CM94" s="191"/>
      <c r="CN94" s="1354">
        <f>CL94</f>
        <v>10</v>
      </c>
      <c r="CO94" s="1354">
        <f t="shared" ref="CO94:CQ94" si="64">CN94</f>
        <v>10</v>
      </c>
      <c r="CP94" s="1354">
        <f t="shared" si="64"/>
        <v>10</v>
      </c>
      <c r="CQ94" s="1354">
        <f t="shared" si="64"/>
        <v>10</v>
      </c>
      <c r="CR94" s="191"/>
      <c r="CS94" s="1354">
        <f>CQ94</f>
        <v>10</v>
      </c>
      <c r="CT94" s="1354">
        <f t="shared" ref="CT94" si="65">CS94</f>
        <v>10</v>
      </c>
      <c r="CU94" s="1354">
        <f t="shared" ref="CU94" si="66">CT94</f>
        <v>10</v>
      </c>
      <c r="CV94" s="1354">
        <f t="shared" ref="CV94" si="67">CU94</f>
        <v>10</v>
      </c>
      <c r="CW94" s="191"/>
      <c r="CZ94" s="201"/>
      <c r="DA94" s="200"/>
      <c r="DB94" s="200"/>
    </row>
    <row r="95" spans="1:106">
      <c r="A95" s="206"/>
      <c r="B95" s="192"/>
      <c r="C95" s="192"/>
      <c r="D95" s="192"/>
      <c r="E95" s="192"/>
      <c r="F95" s="137"/>
      <c r="G95" s="192"/>
      <c r="H95" s="192"/>
      <c r="I95" s="192"/>
      <c r="J95" s="192"/>
      <c r="K95" s="192"/>
      <c r="L95" s="192"/>
      <c r="M95" s="192"/>
      <c r="N95" s="192"/>
      <c r="O95" s="192"/>
      <c r="P95" s="192"/>
      <c r="Q95" s="192"/>
      <c r="R95" s="192"/>
      <c r="S95" s="843"/>
      <c r="T95" s="192"/>
      <c r="U95" s="843"/>
      <c r="V95" s="192"/>
      <c r="W95" s="192"/>
      <c r="X95" s="192"/>
      <c r="Y95" s="192"/>
      <c r="Z95" s="192"/>
      <c r="AA95" s="192"/>
      <c r="AB95" s="192"/>
      <c r="AC95" s="192"/>
      <c r="AD95" s="192"/>
      <c r="AE95" s="192"/>
      <c r="AF95" s="192"/>
      <c r="AG95" s="192"/>
      <c r="AH95" s="192"/>
      <c r="AI95" s="192"/>
      <c r="AJ95" s="192"/>
      <c r="AK95" s="192"/>
      <c r="AL95" s="192"/>
      <c r="AM95" s="192"/>
      <c r="AN95" s="192"/>
      <c r="AO95" s="192"/>
      <c r="AP95" s="192"/>
      <c r="AQ95" s="192"/>
      <c r="AR95" s="192"/>
      <c r="AS95" s="192"/>
      <c r="AT95" s="192"/>
      <c r="AU95" s="192"/>
      <c r="AV95" s="192"/>
      <c r="AW95" s="192"/>
      <c r="AX95" s="192"/>
      <c r="AY95" s="192"/>
      <c r="AZ95" s="192"/>
      <c r="BA95" s="192"/>
      <c r="BB95" s="192"/>
      <c r="BC95" s="192"/>
      <c r="BD95" s="191"/>
      <c r="BE95" s="192"/>
      <c r="BF95" s="1149"/>
      <c r="BG95" s="1149"/>
      <c r="BH95" s="1149"/>
      <c r="BI95" s="1366"/>
      <c r="BJ95" s="1149"/>
      <c r="BK95" s="1356"/>
      <c r="BL95" s="1355"/>
      <c r="BM95" s="1355"/>
      <c r="BN95" s="1366"/>
      <c r="BO95" s="1355"/>
      <c r="BP95" s="1355"/>
      <c r="BQ95" s="1355"/>
      <c r="BR95" s="1355"/>
      <c r="BS95" s="1366"/>
      <c r="BT95" s="1355"/>
      <c r="BU95" s="1355"/>
      <c r="BV95" s="1355"/>
      <c r="BW95" s="1355"/>
      <c r="BX95" s="1366"/>
      <c r="BY95" s="1355"/>
      <c r="BZ95" s="1355"/>
      <c r="CA95" s="1355"/>
      <c r="CB95" s="1355"/>
      <c r="CC95" s="1366"/>
      <c r="CD95" s="1355"/>
      <c r="CE95" s="1355"/>
      <c r="CF95" s="1355"/>
      <c r="CG95" s="1355"/>
      <c r="CH95" s="1366"/>
      <c r="CI95" s="1355"/>
      <c r="CJ95" s="1355"/>
      <c r="CK95" s="1355"/>
      <c r="CL95" s="1355"/>
      <c r="CM95" s="1366"/>
      <c r="CN95" s="1355"/>
      <c r="CO95" s="1355"/>
      <c r="CP95" s="1355"/>
      <c r="CQ95" s="1355"/>
      <c r="CR95" s="1366"/>
      <c r="CS95" s="1355"/>
      <c r="CT95" s="1355"/>
      <c r="CU95" s="1355"/>
      <c r="CV95" s="1355"/>
      <c r="CW95" s="1366"/>
      <c r="CZ95" s="201"/>
      <c r="DA95" s="200"/>
      <c r="DB95" s="200"/>
    </row>
    <row r="96" spans="1:106">
      <c r="A96" s="206" t="s">
        <v>601</v>
      </c>
      <c r="B96" s="192"/>
      <c r="C96" s="192"/>
      <c r="D96" s="192"/>
      <c r="E96" s="192"/>
      <c r="F96" s="137"/>
      <c r="G96" s="192"/>
      <c r="H96" s="192"/>
      <c r="I96" s="192"/>
      <c r="J96" s="192"/>
      <c r="K96" s="192"/>
      <c r="L96" s="192"/>
      <c r="M96" s="192"/>
      <c r="N96" s="192"/>
      <c r="O96" s="192"/>
      <c r="P96" s="192"/>
      <c r="Q96" s="192"/>
      <c r="R96" s="192"/>
      <c r="S96" s="843"/>
      <c r="T96" s="192"/>
      <c r="U96" s="843"/>
      <c r="V96" s="192"/>
      <c r="W96" s="192"/>
      <c r="X96" s="192"/>
      <c r="Y96" s="192"/>
      <c r="Z96" s="192"/>
      <c r="AA96" s="192"/>
      <c r="AB96" s="192"/>
      <c r="AC96" s="192"/>
      <c r="AD96" s="192"/>
      <c r="AE96" s="192"/>
      <c r="AF96" s="192"/>
      <c r="AG96" s="192"/>
      <c r="AH96" s="192"/>
      <c r="AI96" s="192"/>
      <c r="AJ96" s="192"/>
      <c r="AK96" s="192"/>
      <c r="AL96" s="192"/>
      <c r="AM96" s="192"/>
      <c r="AN96" s="192"/>
      <c r="AO96" s="192"/>
      <c r="AP96" s="192"/>
      <c r="AQ96" s="192"/>
      <c r="AR96" s="192"/>
      <c r="AS96" s="192"/>
      <c r="AT96" s="192"/>
      <c r="AU96" s="192"/>
      <c r="AV96" s="192"/>
      <c r="AW96" s="192"/>
      <c r="AX96" s="192"/>
      <c r="AY96" s="192"/>
      <c r="AZ96" s="192"/>
      <c r="BA96" s="192"/>
      <c r="BB96" s="192"/>
      <c r="BC96" s="192"/>
      <c r="BD96" s="191"/>
      <c r="BE96" s="1148"/>
      <c r="BF96" s="1353"/>
      <c r="BG96" s="1353"/>
      <c r="BH96" s="1353"/>
      <c r="BI96" s="1363"/>
      <c r="BJ96" s="1353">
        <f>(BJ94*AVERAGE(BH92,BJ92)*3)/1000000</f>
        <v>6.5868658790826968</v>
      </c>
      <c r="BK96" s="1353">
        <f>(BK94*AVERAGE(BJ92,BK92)*3)/1000000</f>
        <v>12.53995830437804</v>
      </c>
      <c r="BL96" s="1353">
        <f>(BL94*AVERAGE(BK92,BL92)*3)/1000000</f>
        <v>18.262682418346074</v>
      </c>
      <c r="BM96" s="1353">
        <f>(BM94*AVERAGE(BL92,BM92)*3)/1000000</f>
        <v>25.809589993050732</v>
      </c>
      <c r="BN96" s="1363">
        <f>SUM(BJ96:BM96)</f>
        <v>63.199096594857551</v>
      </c>
      <c r="BO96" s="1353">
        <f>(BO94*AVERAGE(BM92,BO92)*3)/1000000</f>
        <v>31.797570850202426</v>
      </c>
      <c r="BP96" s="1353">
        <f>(BP94*AVERAGE(BO92,BP92)*3)/1000000</f>
        <v>37.821862348178144</v>
      </c>
      <c r="BQ96" s="1353">
        <f>(BQ94*AVERAGE(BP92,BQ92)*3)/1000000</f>
        <v>46.621457489878544</v>
      </c>
      <c r="BR96" s="1353">
        <f>(BR94*AVERAGE(BQ92,BR92)*3)/1000000</f>
        <v>57.097165991902827</v>
      </c>
      <c r="BS96" s="1363">
        <f>SUM(BO96:BR96)</f>
        <v>173.33805668016191</v>
      </c>
      <c r="BT96" s="1353">
        <f>(BT94*AVERAGE(BR92,BT92)*3)/1000000</f>
        <v>67.408059023836557</v>
      </c>
      <c r="BU96" s="1353">
        <f>(BU94*AVERAGE(BT92,BU92)*3)/1000000</f>
        <v>77.755796983946809</v>
      </c>
      <c r="BV96" s="1353">
        <f>(BV94*AVERAGE(BU92,BV92)*3)/1000000</f>
        <v>89.851143181449643</v>
      </c>
      <c r="BW96" s="1353">
        <f>(BW94*AVERAGE(BV92,BW92)*3)/1000000</f>
        <v>103.50340522133938</v>
      </c>
      <c r="BX96" s="1363">
        <f>SUM(BT96:BW96)</f>
        <v>338.51840441057237</v>
      </c>
      <c r="BY96" s="1353">
        <f>(BY94*AVERAGE(BW92,BY92)*3)/1000000</f>
        <v>98.432832145850796</v>
      </c>
      <c r="BZ96" s="1353">
        <f>(BZ94*AVERAGE(BY92,BZ92)*3)/1000000</f>
        <v>90.784601844090545</v>
      </c>
      <c r="CA96" s="1353">
        <f>(CA94*AVERAGE(BZ92,CA92)*3)/1000000</f>
        <v>100.96150146689021</v>
      </c>
      <c r="CB96" s="1353">
        <f>(CB94*AVERAGE(CA92,CB92)*3)/1000000</f>
        <v>111.93973176865047</v>
      </c>
      <c r="CC96" s="1363">
        <f>SUM(BY96:CB96)</f>
        <v>402.11866722548206</v>
      </c>
      <c r="CD96" s="1353">
        <f>(CD94*AVERAGE(CB92,CD92)*3)/1000000</f>
        <v>108.82966974988204</v>
      </c>
      <c r="CE96" s="1353">
        <f>(CE94*AVERAGE(CD92,CE92)*3)/1000000</f>
        <v>104.04581071260031</v>
      </c>
      <c r="CF96" s="1353">
        <f>(CF94*AVERAGE(CE92,CF92)*3)/1000000</f>
        <v>112.22458737612087</v>
      </c>
      <c r="CG96" s="1353">
        <f>(CG94*AVERAGE(CF92,CG92)*3)/1000000</f>
        <v>120.53824641340259</v>
      </c>
      <c r="CH96" s="1363">
        <f>SUM(CD96:CG96)</f>
        <v>445.63831425200578</v>
      </c>
      <c r="CI96" s="1353">
        <f>(CI94*AVERAGE(CG92,CI92)*3)/1000000</f>
        <v>118.87608648301359</v>
      </c>
      <c r="CJ96" s="1353">
        <f>(CJ94*AVERAGE(CI92,CJ92)*3)/1000000</f>
        <v>116.40315811485758</v>
      </c>
      <c r="CK96" s="1353">
        <f>(CK94*AVERAGE(CJ92,CK92)*3)/1000000</f>
        <v>122.61767448301363</v>
      </c>
      <c r="CL96" s="1353">
        <f>(CL94*AVERAGE(CK92,CL92)*3)/1000000</f>
        <v>128.83219085116966</v>
      </c>
      <c r="CM96" s="1363">
        <f>SUM(CI96:CL96)</f>
        <v>486.72910993205448</v>
      </c>
      <c r="CN96" s="1353">
        <f>(CN94*AVERAGE(CL92,CN92)*3)/1000000</f>
        <v>128.26250206068414</v>
      </c>
      <c r="CO96" s="1353">
        <f>(CO94*AVERAGE(CN92,CO92)*3)/1000000</f>
        <v>127.08469028233407</v>
      </c>
      <c r="CP96" s="1353">
        <f>(CP94*AVERAGE(CO92,CP92)*3)/1000000</f>
        <v>132.22858534068416</v>
      </c>
      <c r="CQ96" s="1353">
        <f>(CQ94*AVERAGE(CP92,CQ92)*3)/1000000</f>
        <v>137.37248039903429</v>
      </c>
      <c r="CR96" s="1363">
        <f>SUM(CN96:CQ96)</f>
        <v>524.94825808273663</v>
      </c>
      <c r="CS96" s="1353">
        <f>(CS94*AVERAGE(CQ92,CS92)*3)/1000000</f>
        <v>137.59413809717196</v>
      </c>
      <c r="CT96" s="1353">
        <f>(CT94*AVERAGE(CS92,CT92)*3)/1000000</f>
        <v>137.28385892159318</v>
      </c>
      <c r="CU96" s="1353">
        <f>(CU94*AVERAGE(CT92,CU92)*3)/1000000</f>
        <v>141.76266845538521</v>
      </c>
      <c r="CV96" s="1353">
        <f>(CV94*AVERAGE(CU92,CV92)*3)/1000000</f>
        <v>146.27699590776399</v>
      </c>
      <c r="CW96" s="1363">
        <f>SUM(CS96:CV96)</f>
        <v>562.91766138191429</v>
      </c>
      <c r="CZ96" s="201"/>
      <c r="DA96" s="200"/>
      <c r="DB96" s="200"/>
    </row>
    <row r="97" spans="1:106">
      <c r="A97" s="206" t="s">
        <v>603</v>
      </c>
      <c r="B97" s="192"/>
      <c r="C97" s="192"/>
      <c r="D97" s="192"/>
      <c r="E97" s="192"/>
      <c r="F97" s="137"/>
      <c r="G97" s="192"/>
      <c r="H97" s="192"/>
      <c r="I97" s="192"/>
      <c r="J97" s="192"/>
      <c r="K97" s="192"/>
      <c r="L97" s="192"/>
      <c r="M97" s="192"/>
      <c r="N97" s="192"/>
      <c r="O97" s="192"/>
      <c r="P97" s="192"/>
      <c r="Q97" s="192"/>
      <c r="R97" s="192"/>
      <c r="S97" s="843"/>
      <c r="T97" s="192"/>
      <c r="U97" s="843"/>
      <c r="V97" s="192"/>
      <c r="W97" s="192"/>
      <c r="X97" s="192"/>
      <c r="Y97" s="192"/>
      <c r="Z97" s="192"/>
      <c r="AA97" s="192"/>
      <c r="AB97" s="192"/>
      <c r="AC97" s="192"/>
      <c r="AD97" s="192"/>
      <c r="AE97" s="192"/>
      <c r="AF97" s="192"/>
      <c r="AG97" s="192"/>
      <c r="AH97" s="192"/>
      <c r="AI97" s="192"/>
      <c r="AJ97" s="192"/>
      <c r="AK97" s="192"/>
      <c r="AL97" s="192"/>
      <c r="AM97" s="192"/>
      <c r="AN97" s="192"/>
      <c r="AO97" s="192"/>
      <c r="AP97" s="192"/>
      <c r="AQ97" s="192"/>
      <c r="AR97" s="192"/>
      <c r="AS97" s="192"/>
      <c r="AT97" s="192"/>
      <c r="AU97" s="192"/>
      <c r="AV97" s="192"/>
      <c r="AW97" s="192"/>
      <c r="AX97" s="192"/>
      <c r="AY97" s="192"/>
      <c r="AZ97" s="192"/>
      <c r="BA97" s="192"/>
      <c r="BB97" s="192"/>
      <c r="BC97" s="192"/>
      <c r="BD97" s="191"/>
      <c r="BE97" s="1148"/>
      <c r="BF97" s="1353"/>
      <c r="BG97" s="1353"/>
      <c r="BH97" s="1353"/>
      <c r="BI97" s="1363"/>
      <c r="BJ97" s="1406">
        <f>-(750*(BJ93)*(1-BJ79))/1000000</f>
        <v>-179.34329395413482</v>
      </c>
      <c r="BK97" s="1406">
        <f>-(750*(BK93)*(1-BK79))/1000000</f>
        <v>-118.31132731063236</v>
      </c>
      <c r="BL97" s="1406">
        <f>-(750*(BL93)*(1-BL79))/1000000</f>
        <v>-167.82487838776933</v>
      </c>
      <c r="BM97" s="1406">
        <f>-(750*(BM93)*(1-BM79))/1000000</f>
        <v>-209.52050034746347</v>
      </c>
      <c r="BN97" s="1363">
        <f>SUM(BJ97:BM97)</f>
        <v>-675</v>
      </c>
      <c r="BO97" s="1406">
        <f>-(750*(BO93)*(1-BO79))/1000000</f>
        <v>-89.878542510121477</v>
      </c>
      <c r="BP97" s="1406">
        <f>-(750*(BP93)*(1-BP79))/1000000</f>
        <v>-211.33603238866391</v>
      </c>
      <c r="BQ97" s="1406">
        <f>-(750*(BQ93)*(1-BQ79))/1000000</f>
        <v>-228.64372469635632</v>
      </c>
      <c r="BR97" s="1406">
        <f>-(750*(BR93)*(1-BR79))/1000000</f>
        <v>-295.14170040485828</v>
      </c>
      <c r="BS97" s="1363">
        <f>SUM(BO97:BR97)</f>
        <v>-825</v>
      </c>
      <c r="BT97" s="1406">
        <f>-(750*(BT93)*(1-BT79))/1000000</f>
        <v>-220.40295119182741</v>
      </c>
      <c r="BU97" s="1406">
        <f>-(750*(BU93)*(1-BU79))/1000000</f>
        <v>-296.98394681368558</v>
      </c>
      <c r="BV97" s="1406">
        <f>-(750*(BV93)*(1-BV79))/1000000</f>
        <v>-307.78336306145638</v>
      </c>
      <c r="BW97" s="1406">
        <f>-(750*(BW93)*(1-BW79))/1000000</f>
        <v>-374.82973893303063</v>
      </c>
      <c r="BX97" s="1363">
        <f>SUM(BT97:BW97)</f>
        <v>-1200</v>
      </c>
      <c r="BY97" s="1406">
        <f>-(750*(BY93)*(1-BY79))/1000000</f>
        <v>-39.344684631329663</v>
      </c>
      <c r="BZ97" s="1406">
        <f>-(750*(BZ93)*(1-BZ79))/1000000</f>
        <v>-39.344684631329663</v>
      </c>
      <c r="CA97" s="1406">
        <f>-(750*(CA93)*(1-CA79))/1000000</f>
        <v>-42.056411015694493</v>
      </c>
      <c r="CB97" s="1406">
        <f>-(750*(CB93)*(1-CB79))/1000000</f>
        <v>-45.754219721646528</v>
      </c>
      <c r="CC97" s="1363">
        <f>SUM(BY97:CB97)</f>
        <v>-166.50000000000034</v>
      </c>
      <c r="CD97" s="1406">
        <f>-(750*(CD93)*(1-CD79))/1000000</f>
        <v>-36.188801261829795</v>
      </c>
      <c r="CE97" s="1406">
        <f>-(750*(CE93)*(1-CE79))/1000000</f>
        <v>-45.931940063091666</v>
      </c>
      <c r="CF97" s="1406">
        <f>-(750*(CF93)*(1-CF79))/1000000</f>
        <v>-46.906253943217848</v>
      </c>
      <c r="CG97" s="1406">
        <f>-(750*(CG93)*(1-CG79))/1000000</f>
        <v>-47.463004731861382</v>
      </c>
      <c r="CH97" s="1363">
        <f>SUM(CD97:CG97)</f>
        <v>-176.49000000000069</v>
      </c>
      <c r="CI97" s="1406">
        <f>-(750*(CI93)*(1-CI79))/1000000</f>
        <v>-44.018682352941127</v>
      </c>
      <c r="CJ97" s="1406">
        <f>-(750*(CJ93)*(1-CJ79))/1000000</f>
        <v>-50.307065546218432</v>
      </c>
      <c r="CK97" s="1406">
        <f>-(750*(CK93)*(1-CK79))/1000000</f>
        <v>-42.446586554621803</v>
      </c>
      <c r="CL97" s="1406">
        <f>-(750*(CL93)*(1-CL79))/1000000</f>
        <v>-50.307065546218432</v>
      </c>
      <c r="CM97" s="1363">
        <f>SUM(CI97:CL97)</f>
        <v>-187.07939999999979</v>
      </c>
      <c r="CN97" s="1406">
        <f>-(750*(CN93)*(1-CN79))/1000000</f>
        <v>-45.903741666666853</v>
      </c>
      <c r="CO97" s="1406">
        <f>-(750*(CO93)*(1-CO79))/1000000</f>
        <v>-53.248340333333552</v>
      </c>
      <c r="CP97" s="1406">
        <f>-(750*(CP93)*(1-CP79))/1000000</f>
        <v>-45.903741666666853</v>
      </c>
      <c r="CQ97" s="1406">
        <f>-(750*(CQ93)*(1-CQ79))/1000000</f>
        <v>-53.248340333333552</v>
      </c>
      <c r="CR97" s="1363">
        <f>SUM(CN97:CQ97)</f>
        <v>-198.30416400000081</v>
      </c>
      <c r="CS97" s="1406">
        <f>-(750*(CS93)*(1-CS79))/1000000</f>
        <v>-51.925497153972998</v>
      </c>
      <c r="CT97" s="1406">
        <f>-(750*(CT93)*(1-CT79))/1000000</f>
        <v>-52.3422346913243</v>
      </c>
      <c r="CU97" s="1406">
        <f>-(750*(CU93)*(1-CU79))/1000000</f>
        <v>-52.75897222867561</v>
      </c>
      <c r="CV97" s="1406">
        <f>-(750*(CV93)*(1-CV79))/1000000</f>
        <v>-53.175709766026912</v>
      </c>
      <c r="CW97" s="1363">
        <f>SUM(CS97:CV97)</f>
        <v>-210.20241383999985</v>
      </c>
      <c r="CZ97" s="201"/>
      <c r="DA97" s="200"/>
      <c r="DB97" s="200"/>
    </row>
    <row r="98" spans="1:106">
      <c r="A98" s="1147" t="s">
        <v>602</v>
      </c>
      <c r="B98" s="804"/>
      <c r="C98" s="804"/>
      <c r="D98" s="804"/>
      <c r="E98" s="804"/>
      <c r="F98" s="1367"/>
      <c r="G98" s="804"/>
      <c r="H98" s="804"/>
      <c r="I98" s="804"/>
      <c r="J98" s="804"/>
      <c r="K98" s="804"/>
      <c r="L98" s="804"/>
      <c r="M98" s="804"/>
      <c r="N98" s="804"/>
      <c r="O98" s="804"/>
      <c r="P98" s="804"/>
      <c r="Q98" s="804"/>
      <c r="R98" s="804"/>
      <c r="S98" s="805"/>
      <c r="T98" s="804"/>
      <c r="U98" s="805"/>
      <c r="V98" s="804"/>
      <c r="W98" s="804"/>
      <c r="X98" s="804"/>
      <c r="Y98" s="804"/>
      <c r="Z98" s="804"/>
      <c r="AA98" s="804"/>
      <c r="AB98" s="804"/>
      <c r="AC98" s="804"/>
      <c r="AD98" s="804"/>
      <c r="AE98" s="804"/>
      <c r="AF98" s="804"/>
      <c r="AG98" s="804"/>
      <c r="AH98" s="804"/>
      <c r="AI98" s="804"/>
      <c r="AJ98" s="804"/>
      <c r="AK98" s="804"/>
      <c r="AL98" s="804"/>
      <c r="AM98" s="804"/>
      <c r="AN98" s="804"/>
      <c r="AO98" s="804"/>
      <c r="AP98" s="804"/>
      <c r="AQ98" s="804"/>
      <c r="AR98" s="804"/>
      <c r="AS98" s="804"/>
      <c r="AT98" s="804"/>
      <c r="AU98" s="804"/>
      <c r="AV98" s="804"/>
      <c r="AW98" s="804"/>
      <c r="AX98" s="804"/>
      <c r="AY98" s="804"/>
      <c r="AZ98" s="804"/>
      <c r="BA98" s="804"/>
      <c r="BB98" s="804"/>
      <c r="BC98" s="804"/>
      <c r="BD98" s="806"/>
      <c r="BE98" s="1368"/>
      <c r="BF98" s="1369"/>
      <c r="BG98" s="1369"/>
      <c r="BH98" s="1369"/>
      <c r="BI98" s="1370"/>
      <c r="BJ98" s="1369">
        <f t="shared" ref="BJ98:CC98" si="68">SUM(BJ96:BJ97)</f>
        <v>-172.75642807505213</v>
      </c>
      <c r="BK98" s="1369">
        <f t="shared" si="68"/>
        <v>-105.77136900625433</v>
      </c>
      <c r="BL98" s="1369">
        <f t="shared" si="68"/>
        <v>-149.56219596942327</v>
      </c>
      <c r="BM98" s="1369">
        <f t="shared" si="68"/>
        <v>-183.71091035441273</v>
      </c>
      <c r="BN98" s="1370">
        <f t="shared" si="68"/>
        <v>-611.80090340514244</v>
      </c>
      <c r="BO98" s="1369">
        <f t="shared" si="68"/>
        <v>-58.080971659919051</v>
      </c>
      <c r="BP98" s="1369">
        <f t="shared" si="68"/>
        <v>-173.51417004048577</v>
      </c>
      <c r="BQ98" s="1369">
        <f t="shared" si="68"/>
        <v>-182.02226720647778</v>
      </c>
      <c r="BR98" s="1369">
        <f t="shared" si="68"/>
        <v>-238.04453441295544</v>
      </c>
      <c r="BS98" s="1370">
        <f t="shared" si="68"/>
        <v>-651.66194331983809</v>
      </c>
      <c r="BT98" s="1369">
        <f t="shared" si="68"/>
        <v>-152.99489216799086</v>
      </c>
      <c r="BU98" s="1369">
        <f t="shared" si="68"/>
        <v>-219.22814982973875</v>
      </c>
      <c r="BV98" s="1369">
        <f t="shared" si="68"/>
        <v>-217.93221988000676</v>
      </c>
      <c r="BW98" s="1369">
        <f t="shared" si="68"/>
        <v>-271.32633371169123</v>
      </c>
      <c r="BX98" s="1370">
        <f t="shared" si="68"/>
        <v>-861.48159558942757</v>
      </c>
      <c r="BY98" s="1369">
        <f>SUM(BY96:BY97)</f>
        <v>59.088147514521133</v>
      </c>
      <c r="BZ98" s="1369">
        <f t="shared" si="68"/>
        <v>51.439917212760882</v>
      </c>
      <c r="CA98" s="1369">
        <f t="shared" si="68"/>
        <v>58.905090451195719</v>
      </c>
      <c r="CB98" s="1369">
        <f t="shared" si="68"/>
        <v>66.185512047003954</v>
      </c>
      <c r="CC98" s="1370">
        <f t="shared" si="68"/>
        <v>235.61866722548172</v>
      </c>
      <c r="CD98" s="1369">
        <f t="shared" ref="CD98:CM98" si="69">SUM(CD96:CD97)</f>
        <v>72.640868488052249</v>
      </c>
      <c r="CE98" s="1369">
        <f t="shared" si="69"/>
        <v>58.113870649508648</v>
      </c>
      <c r="CF98" s="1369">
        <f t="shared" ref="CF98:CG98" si="70">SUM(CF96:CF97)</f>
        <v>65.318333432903017</v>
      </c>
      <c r="CG98" s="1369">
        <f t="shared" si="70"/>
        <v>73.0752416815412</v>
      </c>
      <c r="CH98" s="1370">
        <f t="shared" si="69"/>
        <v>269.14831425200509</v>
      </c>
      <c r="CI98" s="1369">
        <f t="shared" si="69"/>
        <v>74.857404130072467</v>
      </c>
      <c r="CJ98" s="1369">
        <f t="shared" si="69"/>
        <v>66.096092568639136</v>
      </c>
      <c r="CK98" s="1369">
        <f t="shared" si="69"/>
        <v>80.171087928391827</v>
      </c>
      <c r="CL98" s="1369">
        <f t="shared" si="69"/>
        <v>78.525125304951217</v>
      </c>
      <c r="CM98" s="1370">
        <f t="shared" si="69"/>
        <v>299.64970993205469</v>
      </c>
      <c r="CN98" s="1369">
        <f t="shared" ref="CN98:CW98" si="71">SUM(CN96:CN97)</f>
        <v>82.358760394017281</v>
      </c>
      <c r="CO98" s="1369">
        <f t="shared" si="71"/>
        <v>73.836349949000521</v>
      </c>
      <c r="CP98" s="1369">
        <f t="shared" si="71"/>
        <v>86.324843674017302</v>
      </c>
      <c r="CQ98" s="1369">
        <f t="shared" si="71"/>
        <v>84.124140065700743</v>
      </c>
      <c r="CR98" s="1370">
        <f t="shared" si="71"/>
        <v>326.64409408273582</v>
      </c>
      <c r="CS98" s="1369">
        <f t="shared" si="71"/>
        <v>85.668640943198966</v>
      </c>
      <c r="CT98" s="1369">
        <f t="shared" si="71"/>
        <v>84.941624230268872</v>
      </c>
      <c r="CU98" s="1369">
        <f t="shared" si="71"/>
        <v>89.003696226709593</v>
      </c>
      <c r="CV98" s="1369">
        <f t="shared" si="71"/>
        <v>93.101286141737077</v>
      </c>
      <c r="CW98" s="1370">
        <f t="shared" si="71"/>
        <v>352.71524754191444</v>
      </c>
      <c r="CZ98" s="201"/>
      <c r="DA98" s="200"/>
      <c r="DB98" s="200"/>
    </row>
    <row r="99" spans="1:106">
      <c r="A99" s="114"/>
      <c r="B99" s="117"/>
      <c r="C99" s="117"/>
      <c r="D99" s="117"/>
      <c r="E99" s="117"/>
      <c r="F99" s="117"/>
      <c r="G99" s="117"/>
      <c r="H99" s="117"/>
      <c r="I99" s="117"/>
      <c r="J99" s="117"/>
      <c r="K99" s="117"/>
      <c r="L99" s="90"/>
      <c r="M99" s="117"/>
      <c r="N99" s="117"/>
      <c r="O99" s="117"/>
      <c r="P99" s="117"/>
      <c r="Q99" s="117"/>
      <c r="R99" s="117"/>
      <c r="S99" s="117"/>
      <c r="T99" s="117"/>
      <c r="U99" s="117"/>
      <c r="V99" s="117"/>
      <c r="W99" s="117"/>
      <c r="X99" s="117"/>
      <c r="Y99" s="117"/>
      <c r="Z99" s="117"/>
      <c r="AA99" s="117"/>
      <c r="AB99" s="117"/>
      <c r="AC99" s="117"/>
      <c r="AD99" s="117"/>
      <c r="AE99" s="117"/>
      <c r="AF99" s="117"/>
      <c r="AG99" s="117"/>
      <c r="AH99" s="117"/>
      <c r="AI99" s="117"/>
      <c r="AJ99" s="117"/>
      <c r="AK99" s="117"/>
      <c r="AL99" s="117"/>
      <c r="AM99" s="117"/>
      <c r="AN99" s="117"/>
      <c r="AO99" s="117"/>
      <c r="AP99" s="117"/>
      <c r="AQ99" s="121"/>
      <c r="AR99" s="121"/>
      <c r="AS99" s="117"/>
      <c r="AT99" s="117"/>
      <c r="AU99" s="117"/>
      <c r="AV99" s="117"/>
      <c r="AW99" s="117"/>
      <c r="AX99" s="117"/>
      <c r="AY99" s="117"/>
      <c r="AZ99" s="117"/>
      <c r="BA99" s="117"/>
      <c r="BB99" s="117"/>
      <c r="BC99" s="117"/>
      <c r="BD99" s="119"/>
      <c r="BE99" s="117"/>
      <c r="BF99" s="1376"/>
      <c r="BG99" s="435"/>
      <c r="BH99" s="117"/>
      <c r="BI99" s="119"/>
      <c r="BJ99" s="1407"/>
      <c r="BK99" s="117"/>
      <c r="BL99" s="117"/>
      <c r="BM99" s="117"/>
      <c r="BN99" s="119"/>
      <c r="BO99" s="117"/>
      <c r="BP99" s="117"/>
      <c r="BQ99" s="117"/>
      <c r="BR99" s="117"/>
      <c r="BS99" s="119"/>
      <c r="BT99" s="117"/>
      <c r="BU99" s="117"/>
      <c r="BV99" s="117"/>
      <c r="BW99" s="117"/>
      <c r="BX99" s="119"/>
      <c r="BY99" s="117"/>
      <c r="BZ99" s="117"/>
      <c r="CA99" s="117"/>
      <c r="CB99" s="117"/>
      <c r="CC99" s="119"/>
      <c r="CD99" s="117"/>
      <c r="CE99" s="117"/>
      <c r="CF99" s="117"/>
      <c r="CG99" s="117"/>
      <c r="CH99" s="119"/>
      <c r="CI99" s="117"/>
      <c r="CJ99" s="117"/>
      <c r="CK99" s="117"/>
      <c r="CL99" s="117"/>
      <c r="CM99" s="119"/>
      <c r="CN99" s="117"/>
      <c r="CO99" s="117"/>
      <c r="CP99" s="117"/>
      <c r="CQ99" s="117"/>
      <c r="CR99" s="119"/>
      <c r="CS99" s="117"/>
      <c r="CT99" s="117"/>
      <c r="CU99" s="117"/>
      <c r="CV99" s="117"/>
      <c r="CW99" s="119"/>
      <c r="CZ99" s="126"/>
      <c r="DA99" s="117"/>
      <c r="DB99" s="117"/>
    </row>
    <row r="100" spans="1:106">
      <c r="A100" s="206" t="s">
        <v>596</v>
      </c>
      <c r="B100" s="192"/>
      <c r="C100" s="192"/>
      <c r="D100" s="192"/>
      <c r="E100" s="192"/>
      <c r="F100" s="137"/>
      <c r="G100" s="192"/>
      <c r="H100" s="192"/>
      <c r="I100" s="192"/>
      <c r="J100" s="192"/>
      <c r="K100" s="192"/>
      <c r="L100" s="192"/>
      <c r="M100" s="192"/>
      <c r="N100" s="192"/>
      <c r="O100" s="192"/>
      <c r="P100" s="192"/>
      <c r="Q100" s="192"/>
      <c r="R100" s="192"/>
      <c r="S100" s="843"/>
      <c r="T100" s="192"/>
      <c r="U100" s="843"/>
      <c r="V100" s="192"/>
      <c r="W100" s="192"/>
      <c r="X100" s="192"/>
      <c r="Y100" s="192"/>
      <c r="Z100" s="192"/>
      <c r="AA100" s="192"/>
      <c r="AB100" s="192"/>
      <c r="AC100" s="192"/>
      <c r="AD100" s="192"/>
      <c r="AE100" s="192"/>
      <c r="AF100" s="192"/>
      <c r="AG100" s="192"/>
      <c r="AH100" s="192"/>
      <c r="AI100" s="192"/>
      <c r="AJ100" s="192"/>
      <c r="AK100" s="192"/>
      <c r="AL100" s="192"/>
      <c r="AM100" s="192"/>
      <c r="AN100" s="192"/>
      <c r="AO100" s="192"/>
      <c r="AP100" s="192"/>
      <c r="AQ100" s="192"/>
      <c r="AR100" s="192"/>
      <c r="AS100" s="192"/>
      <c r="AT100" s="192"/>
      <c r="AU100" s="192"/>
      <c r="AV100" s="192"/>
      <c r="AW100" s="192"/>
      <c r="AX100" s="192"/>
      <c r="AY100" s="192"/>
      <c r="AZ100" s="192"/>
      <c r="BA100" s="192"/>
      <c r="BB100" s="192"/>
      <c r="BC100" s="192"/>
      <c r="BD100" s="1363">
        <f>458.6-429.2</f>
        <v>29.400000000000034</v>
      </c>
      <c r="BE100" s="1353">
        <f>(305.8-267.4)-BF100</f>
        <v>17.100000000000023</v>
      </c>
      <c r="BF100" s="1353">
        <f>159.5-138.2</f>
        <v>21.300000000000011</v>
      </c>
      <c r="BG100" s="1353"/>
      <c r="BH100" s="1353"/>
      <c r="BI100" s="1363">
        <f>673.2-553.2</f>
        <v>120</v>
      </c>
      <c r="BJ100" s="1353">
        <f>(478.8-314.3)-BK100</f>
        <v>69.5</v>
      </c>
      <c r="BK100" s="1353">
        <f>254.5-159.5</f>
        <v>95</v>
      </c>
      <c r="BL100" s="1353"/>
      <c r="BM100" s="1353"/>
      <c r="BN100" s="1363"/>
      <c r="BO100" s="1353"/>
      <c r="BP100" s="1353"/>
      <c r="BQ100" s="1353"/>
      <c r="BR100" s="1353"/>
      <c r="BS100" s="1363"/>
      <c r="BT100" s="1353"/>
      <c r="BU100" s="1353"/>
      <c r="BV100" s="1353"/>
      <c r="BW100" s="1353"/>
      <c r="BX100" s="1363"/>
      <c r="BY100" s="1353"/>
      <c r="BZ100" s="1353"/>
      <c r="CA100" s="1353"/>
      <c r="CB100" s="1353"/>
      <c r="CC100" s="1363"/>
      <c r="CD100" s="1353"/>
      <c r="CE100" s="1353"/>
      <c r="CF100" s="1353"/>
      <c r="CG100" s="1353"/>
      <c r="CH100" s="1363"/>
      <c r="CI100" s="1353"/>
      <c r="CJ100" s="1353"/>
      <c r="CK100" s="1353"/>
      <c r="CL100" s="1353"/>
      <c r="CM100" s="1363"/>
      <c r="CN100" s="1353"/>
      <c r="CO100" s="1353"/>
      <c r="CP100" s="1353"/>
      <c r="CQ100" s="1353"/>
      <c r="CR100" s="1363"/>
      <c r="CS100" s="1353"/>
      <c r="CT100" s="1353"/>
      <c r="CU100" s="1353"/>
      <c r="CV100" s="1353"/>
      <c r="CW100" s="1363"/>
      <c r="CZ100" s="201"/>
      <c r="DA100" s="200"/>
      <c r="DB100" s="200"/>
    </row>
    <row r="101" spans="1:106">
      <c r="A101" s="200" t="s">
        <v>77</v>
      </c>
      <c r="B101" s="417"/>
      <c r="C101" s="417"/>
      <c r="AX101" s="417"/>
      <c r="AY101" s="417"/>
      <c r="AZ101" s="417"/>
      <c r="BA101" s="417"/>
      <c r="BB101" s="417"/>
      <c r="BC101" s="417"/>
      <c r="BD101" s="311"/>
      <c r="BE101" s="417"/>
      <c r="BF101" s="417"/>
      <c r="BG101" s="417"/>
      <c r="BH101" s="417"/>
      <c r="BI101" s="311">
        <f>BI100/BD100-1</f>
        <v>3.0816326530612201</v>
      </c>
      <c r="BJ101" s="417">
        <f>BJ100/BE100-1</f>
        <v>3.0643274853801117</v>
      </c>
      <c r="BK101" s="417">
        <f>BK100/BF100-1</f>
        <v>3.4600938967136123</v>
      </c>
      <c r="BL101" s="417"/>
      <c r="BM101" s="417"/>
      <c r="BN101" s="311"/>
      <c r="BO101" s="417"/>
      <c r="BP101" s="417"/>
      <c r="BQ101" s="417"/>
      <c r="BR101" s="417"/>
      <c r="BS101" s="311"/>
      <c r="BT101" s="417"/>
      <c r="BU101" s="417"/>
      <c r="BV101" s="417"/>
      <c r="BW101" s="417"/>
      <c r="BX101" s="311"/>
      <c r="BY101" s="417"/>
      <c r="BZ101" s="417"/>
      <c r="CA101" s="417"/>
      <c r="CB101" s="417"/>
      <c r="CC101" s="311"/>
      <c r="CD101" s="417"/>
      <c r="CE101" s="417"/>
      <c r="CF101" s="417"/>
      <c r="CG101" s="417"/>
      <c r="CH101" s="311"/>
      <c r="CI101" s="417"/>
      <c r="CJ101" s="417"/>
      <c r="CK101" s="417"/>
      <c r="CL101" s="417"/>
      <c r="CM101" s="311"/>
      <c r="CN101" s="417"/>
      <c r="CO101" s="417"/>
      <c r="CP101" s="417"/>
      <c r="CQ101" s="417"/>
      <c r="CR101" s="311"/>
      <c r="CS101" s="417"/>
      <c r="CT101" s="417"/>
      <c r="CU101" s="417"/>
      <c r="CV101" s="417"/>
      <c r="CW101" s="311"/>
      <c r="CZ101" s="201"/>
      <c r="DA101" s="200"/>
      <c r="DB101" s="200"/>
    </row>
    <row r="102" spans="1:106">
      <c r="A102" s="200" t="s">
        <v>78</v>
      </c>
      <c r="B102" s="417"/>
      <c r="C102" s="417"/>
      <c r="AX102" s="417"/>
      <c r="AY102" s="417"/>
      <c r="AZ102" s="417"/>
      <c r="BA102" s="417"/>
      <c r="BB102" s="417"/>
      <c r="BC102" s="417"/>
      <c r="BD102" s="311"/>
      <c r="BE102" s="417"/>
      <c r="BF102" s="417">
        <f>BF100/BE100-1</f>
        <v>0.24561403508771829</v>
      </c>
      <c r="BG102" s="417"/>
      <c r="BH102" s="417"/>
      <c r="BI102" s="311"/>
      <c r="BJ102" s="417"/>
      <c r="BK102" s="417">
        <f>BK100/BJ100-1</f>
        <v>0.36690647482014382</v>
      </c>
      <c r="BL102" s="417"/>
      <c r="BM102" s="417"/>
      <c r="BN102" s="311"/>
      <c r="BO102" s="417"/>
      <c r="BP102" s="417"/>
      <c r="BQ102" s="417"/>
      <c r="BR102" s="417"/>
      <c r="BS102" s="311"/>
      <c r="BT102" s="1698"/>
      <c r="BU102" s="1698"/>
      <c r="BV102" s="1698"/>
      <c r="BW102" s="1698"/>
      <c r="BX102" s="311"/>
      <c r="BY102" s="1698"/>
      <c r="BZ102" s="1698"/>
      <c r="CA102" s="1698"/>
      <c r="CB102" s="1698"/>
      <c r="CC102" s="311"/>
      <c r="CH102" s="311"/>
      <c r="CI102" s="417"/>
      <c r="CJ102" s="417"/>
      <c r="CK102" s="417"/>
      <c r="CL102" s="417"/>
      <c r="CM102" s="311"/>
      <c r="CN102" s="417"/>
      <c r="CO102" s="417"/>
      <c r="CP102" s="417"/>
      <c r="CQ102" s="417"/>
      <c r="CR102" s="311"/>
      <c r="CS102" s="417"/>
      <c r="CT102" s="417"/>
      <c r="CU102" s="417"/>
      <c r="CV102" s="417"/>
      <c r="CW102" s="311"/>
      <c r="CZ102" s="201"/>
      <c r="DA102" s="200"/>
      <c r="DB102" s="200"/>
    </row>
    <row r="103" spans="1:106">
      <c r="A103" s="114"/>
      <c r="B103" s="117"/>
      <c r="C103" s="117"/>
      <c r="D103" s="117"/>
      <c r="E103" s="117"/>
      <c r="F103" s="117"/>
      <c r="G103" s="117"/>
      <c r="H103" s="117"/>
      <c r="I103" s="117"/>
      <c r="J103" s="117"/>
      <c r="K103" s="117"/>
      <c r="L103" s="90"/>
      <c r="M103" s="117"/>
      <c r="N103" s="117"/>
      <c r="O103" s="117"/>
      <c r="P103" s="117"/>
      <c r="Q103" s="117"/>
      <c r="R103" s="117"/>
      <c r="S103" s="117"/>
      <c r="T103" s="117"/>
      <c r="U103" s="117"/>
      <c r="V103" s="117"/>
      <c r="W103" s="117"/>
      <c r="X103" s="117"/>
      <c r="Y103" s="117"/>
      <c r="Z103" s="117"/>
      <c r="AA103" s="117"/>
      <c r="AB103" s="117"/>
      <c r="AC103" s="117"/>
      <c r="AD103" s="117"/>
      <c r="AE103" s="117"/>
      <c r="AF103" s="117"/>
      <c r="AG103" s="117"/>
      <c r="AH103" s="117"/>
      <c r="AI103" s="117"/>
      <c r="AJ103" s="117"/>
      <c r="AK103" s="117"/>
      <c r="AL103" s="117"/>
      <c r="AM103" s="117"/>
      <c r="AN103" s="117"/>
      <c r="AO103" s="117"/>
      <c r="AP103" s="117"/>
      <c r="AQ103" s="121"/>
      <c r="AR103" s="121"/>
      <c r="AS103" s="117"/>
      <c r="AT103" s="117"/>
      <c r="AU103" s="117"/>
      <c r="AV103" s="117"/>
      <c r="AW103" s="117"/>
      <c r="AX103" s="117"/>
      <c r="AY103" s="117"/>
      <c r="AZ103" s="117"/>
      <c r="BA103" s="117"/>
      <c r="BB103" s="117"/>
      <c r="BC103" s="117"/>
      <c r="BD103" s="119"/>
      <c r="BE103" s="117"/>
      <c r="BF103" s="1376"/>
      <c r="BG103" s="435"/>
      <c r="BH103" s="117"/>
      <c r="BI103" s="119"/>
      <c r="BJ103" s="1407"/>
      <c r="BK103" s="117"/>
      <c r="BL103" s="117"/>
      <c r="BM103" s="117"/>
      <c r="BN103" s="119"/>
      <c r="BO103" s="117"/>
      <c r="BP103" s="117"/>
      <c r="BQ103" s="117"/>
      <c r="BR103" s="117"/>
      <c r="BS103" s="119"/>
      <c r="BT103" s="117"/>
      <c r="BU103" s="117"/>
      <c r="BV103" s="117"/>
      <c r="BW103" s="117"/>
      <c r="BX103" s="119"/>
      <c r="BY103" s="1698">
        <f>BY104-BW104</f>
        <v>8</v>
      </c>
      <c r="BZ103" s="1698">
        <f>BZ104-BY104</f>
        <v>22</v>
      </c>
      <c r="CA103" s="1698">
        <f>CA104-BZ104</f>
        <v>27</v>
      </c>
      <c r="CB103" s="1698">
        <f>CB104-CA104</f>
        <v>30</v>
      </c>
      <c r="CC103" s="119"/>
      <c r="CD103" s="1698">
        <f>CD104-CB104</f>
        <v>21</v>
      </c>
      <c r="CE103" s="1698">
        <f>CE104-CD104</f>
        <v>27</v>
      </c>
      <c r="CF103" s="1698">
        <f>CF104-CE104</f>
        <v>36</v>
      </c>
      <c r="CG103" s="1698">
        <f>CG104-CF104</f>
        <v>58</v>
      </c>
      <c r="CH103" s="119"/>
      <c r="CI103" s="1698">
        <f>CI104-CG104</f>
        <v>33</v>
      </c>
      <c r="CJ103" s="1698">
        <f>CJ104-CI104</f>
        <v>41.904077079107537</v>
      </c>
      <c r="CK103" s="1698">
        <f>CK104-CJ104</f>
        <v>59.749180531284196</v>
      </c>
      <c r="CL103" s="1698">
        <f>CL104-CK104</f>
        <v>78.09692255647974</v>
      </c>
      <c r="CM103" s="119"/>
      <c r="CN103" s="1698">
        <f>CN104-CL104</f>
        <v>23.765701433135746</v>
      </c>
      <c r="CO103" s="1698">
        <f>CO104-CN104</f>
        <v>33.822239064438577</v>
      </c>
      <c r="CP103" s="1698">
        <f>CP104-CO104</f>
        <v>54.590872448708978</v>
      </c>
      <c r="CQ103" s="1698">
        <f>CQ104-CP104</f>
        <v>74.472605389011164</v>
      </c>
      <c r="CR103" s="119"/>
      <c r="CS103" s="1698">
        <f>CS104-CQ104</f>
        <v>24.064161736419578</v>
      </c>
      <c r="CT103" s="1698">
        <f>CT104-CS104</f>
        <v>36.069296410729066</v>
      </c>
      <c r="CU103" s="1698">
        <f>CU104-CT104</f>
        <v>60.902469559913015</v>
      </c>
      <c r="CV103" s="1698">
        <f>CV104-CU104</f>
        <v>84.3074794657648</v>
      </c>
      <c r="CW103" s="119"/>
      <c r="CZ103" s="126"/>
      <c r="DA103" s="117"/>
      <c r="DB103" s="117"/>
    </row>
    <row r="104" spans="1:106">
      <c r="A104" s="1388" t="s">
        <v>760</v>
      </c>
      <c r="B104" s="1357"/>
      <c r="C104" s="1357"/>
      <c r="D104" s="1357"/>
      <c r="E104" s="1357"/>
      <c r="F104" s="1358"/>
      <c r="G104" s="1357"/>
      <c r="H104" s="1357"/>
      <c r="I104" s="1357"/>
      <c r="J104" s="1357"/>
      <c r="K104" s="1357"/>
      <c r="L104" s="1357"/>
      <c r="M104" s="1357"/>
      <c r="N104" s="1357"/>
      <c r="O104" s="1357"/>
      <c r="P104" s="1357"/>
      <c r="Q104" s="1357"/>
      <c r="R104" s="1357"/>
      <c r="S104" s="1359"/>
      <c r="T104" s="1357"/>
      <c r="U104" s="1359"/>
      <c r="V104" s="1357"/>
      <c r="W104" s="1357"/>
      <c r="X104" s="1357"/>
      <c r="Y104" s="1357"/>
      <c r="Z104" s="1357"/>
      <c r="AA104" s="1357"/>
      <c r="AB104" s="1357"/>
      <c r="AC104" s="1357"/>
      <c r="AD104" s="1357"/>
      <c r="AE104" s="1357"/>
      <c r="AF104" s="1357"/>
      <c r="AG104" s="1357"/>
      <c r="AH104" s="1357"/>
      <c r="AI104" s="1357"/>
      <c r="AJ104" s="1357"/>
      <c r="AK104" s="1357"/>
      <c r="AL104" s="1357"/>
      <c r="AM104" s="1357"/>
      <c r="AN104" s="1357"/>
      <c r="AO104" s="1357"/>
      <c r="AP104" s="1357"/>
      <c r="AQ104" s="1357"/>
      <c r="AR104" s="1357"/>
      <c r="AS104" s="1357"/>
      <c r="AT104" s="1357"/>
      <c r="AU104" s="1357"/>
      <c r="AV104" s="1357"/>
      <c r="AW104" s="1357"/>
      <c r="AX104" s="1357"/>
      <c r="AY104" s="1357"/>
      <c r="AZ104" s="1357"/>
      <c r="BA104" s="1357"/>
      <c r="BB104" s="1357"/>
      <c r="BC104" s="1357"/>
      <c r="BD104" s="1362"/>
      <c r="BE104" s="1360"/>
      <c r="BF104" s="1361"/>
      <c r="BG104" s="1361"/>
      <c r="BH104" s="1361">
        <v>49</v>
      </c>
      <c r="BI104" s="1387">
        <f>BH104</f>
        <v>49</v>
      </c>
      <c r="BJ104" s="1361">
        <v>63</v>
      </c>
      <c r="BK104" s="1361">
        <v>82</v>
      </c>
      <c r="BL104" s="1361">
        <v>106</v>
      </c>
      <c r="BM104" s="1361">
        <v>143</v>
      </c>
      <c r="BN104" s="1387">
        <f>BM104</f>
        <v>143</v>
      </c>
      <c r="BO104" s="1361">
        <v>164</v>
      </c>
      <c r="BP104" s="1361">
        <v>183</v>
      </c>
      <c r="BQ104" s="1361">
        <v>217</v>
      </c>
      <c r="BR104" s="1361">
        <v>265</v>
      </c>
      <c r="BS104" s="1387">
        <f>BR104</f>
        <v>265</v>
      </c>
      <c r="BT104" s="1361">
        <v>297</v>
      </c>
      <c r="BU104" s="1361">
        <v>329</v>
      </c>
      <c r="BV104" s="1361">
        <v>357</v>
      </c>
      <c r="BW104" s="1361">
        <v>385</v>
      </c>
      <c r="BX104" s="1387">
        <f>BW104</f>
        <v>385</v>
      </c>
      <c r="BY104" s="1361">
        <v>393</v>
      </c>
      <c r="BZ104" s="1361">
        <v>415</v>
      </c>
      <c r="CA104" s="1361">
        <v>442</v>
      </c>
      <c r="CB104" s="1361">
        <v>472</v>
      </c>
      <c r="CC104" s="1387">
        <f>CB104</f>
        <v>472</v>
      </c>
      <c r="CD104" s="1361">
        <v>493</v>
      </c>
      <c r="CE104" s="1361">
        <v>520</v>
      </c>
      <c r="CF104" s="1361">
        <v>556</v>
      </c>
      <c r="CG104" s="1361">
        <v>614</v>
      </c>
      <c r="CH104" s="1387">
        <f>CG104</f>
        <v>614</v>
      </c>
      <c r="CI104" s="1361">
        <v>647</v>
      </c>
      <c r="CJ104" s="1361">
        <f>CI104*(1+CJ106)</f>
        <v>688.90407707910754</v>
      </c>
      <c r="CK104" s="1361">
        <f>CJ104*(1+CK106)</f>
        <v>748.65325761039173</v>
      </c>
      <c r="CL104" s="1361">
        <f>CK104*(1+CL106)</f>
        <v>826.75018016687147</v>
      </c>
      <c r="CM104" s="1387">
        <f>CL104</f>
        <v>826.75018016687147</v>
      </c>
      <c r="CN104" s="1361">
        <f>CL104*(1+CN106)</f>
        <v>850.51588160000722</v>
      </c>
      <c r="CO104" s="1361">
        <f>CN104*(1+CO106)</f>
        <v>884.3381206644458</v>
      </c>
      <c r="CP104" s="1361">
        <f>CO104*(1+CP106)</f>
        <v>938.92899311315477</v>
      </c>
      <c r="CQ104" s="1361">
        <f>CP104*(1+CQ106)</f>
        <v>1013.4015985021659</v>
      </c>
      <c r="CR104" s="1387">
        <f>CQ104</f>
        <v>1013.4015985021659</v>
      </c>
      <c r="CS104" s="1361">
        <f>CQ104*(1+CS106)</f>
        <v>1037.4657602385855</v>
      </c>
      <c r="CT104" s="1361">
        <f>CS104*(1+CT106)</f>
        <v>1073.5350566493146</v>
      </c>
      <c r="CU104" s="1361">
        <f>CT104*(1+CU106)</f>
        <v>1134.4375262092276</v>
      </c>
      <c r="CV104" s="1361">
        <f>CU104*(1+CV106)</f>
        <v>1218.7450056749924</v>
      </c>
      <c r="CW104" s="1387">
        <f>CV104</f>
        <v>1218.7450056749924</v>
      </c>
      <c r="CZ104" s="201"/>
      <c r="DA104" s="200"/>
      <c r="DB104" s="200"/>
    </row>
    <row r="105" spans="1:106" hidden="1">
      <c r="A105" s="1147" t="s">
        <v>761</v>
      </c>
      <c r="B105" s="192"/>
      <c r="C105" s="192"/>
      <c r="D105" s="192"/>
      <c r="E105" s="192"/>
      <c r="F105" s="137"/>
      <c r="G105" s="192"/>
      <c r="H105" s="192"/>
      <c r="I105" s="192"/>
      <c r="J105" s="192"/>
      <c r="K105" s="192"/>
      <c r="L105" s="192"/>
      <c r="M105" s="192"/>
      <c r="N105" s="192"/>
      <c r="O105" s="192"/>
      <c r="P105" s="192"/>
      <c r="Q105" s="192"/>
      <c r="R105" s="192"/>
      <c r="S105" s="843"/>
      <c r="T105" s="192"/>
      <c r="U105" s="843"/>
      <c r="V105" s="192"/>
      <c r="W105" s="192"/>
      <c r="X105" s="192"/>
      <c r="Y105" s="192"/>
      <c r="Z105" s="192"/>
      <c r="AA105" s="192"/>
      <c r="AB105" s="192"/>
      <c r="AC105" s="192"/>
      <c r="AD105" s="192"/>
      <c r="AE105" s="192"/>
      <c r="AF105" s="192"/>
      <c r="AG105" s="192"/>
      <c r="AH105" s="192"/>
      <c r="AI105" s="192"/>
      <c r="AJ105" s="192"/>
      <c r="AK105" s="192"/>
      <c r="AL105" s="192"/>
      <c r="AM105" s="192"/>
      <c r="AN105" s="192"/>
      <c r="AO105" s="192"/>
      <c r="AP105" s="192"/>
      <c r="AQ105" s="192"/>
      <c r="AR105" s="192"/>
      <c r="AS105" s="192"/>
      <c r="AT105" s="192"/>
      <c r="AU105" s="192"/>
      <c r="AV105" s="192"/>
      <c r="AW105" s="192"/>
      <c r="AX105" s="192"/>
      <c r="AY105" s="192"/>
      <c r="AZ105" s="192"/>
      <c r="BA105" s="192"/>
      <c r="BB105" s="192"/>
      <c r="BC105" s="192"/>
      <c r="BD105" s="191"/>
      <c r="BE105" s="1148"/>
      <c r="BF105" s="1353"/>
      <c r="BG105" s="1353"/>
      <c r="BH105" s="1353"/>
      <c r="BI105" s="1363"/>
      <c r="BJ105" s="1406">
        <v>15</v>
      </c>
      <c r="BK105" s="1406">
        <v>20</v>
      </c>
      <c r="BL105" s="1406">
        <v>20</v>
      </c>
      <c r="BM105" s="1406">
        <f>80-SUM(BJ105:BL105)</f>
        <v>25</v>
      </c>
      <c r="BN105" s="1363">
        <f>SUM(BJ105:BM105)</f>
        <v>80</v>
      </c>
      <c r="BO105" s="1354">
        <v>27.500000000000004</v>
      </c>
      <c r="BP105" s="1354">
        <v>30.250000000000007</v>
      </c>
      <c r="BQ105" s="1354">
        <f>BP105*1.1</f>
        <v>33.275000000000013</v>
      </c>
      <c r="BR105" s="1354">
        <f>BQ105*1.1</f>
        <v>36.60250000000002</v>
      </c>
      <c r="BS105" s="1363">
        <f>SUM(BO105:BR105)</f>
        <v>127.62750000000005</v>
      </c>
      <c r="BT105" s="1354">
        <f>BR105*1.1</f>
        <v>40.262750000000025</v>
      </c>
      <c r="BU105" s="1354">
        <f>BT105*1.1</f>
        <v>44.289025000000031</v>
      </c>
      <c r="BV105" s="1354">
        <f>BU105*1.1</f>
        <v>48.717927500000037</v>
      </c>
      <c r="BW105" s="1354">
        <f>BV105*1.1</f>
        <v>53.589720250000049</v>
      </c>
      <c r="BX105" s="1363">
        <f>SUM(BT105:BW105)</f>
        <v>186.85942275000014</v>
      </c>
      <c r="BY105" s="1354">
        <f>BW105*1.1</f>
        <v>58.948692275000056</v>
      </c>
      <c r="BZ105" s="1354">
        <f>BY105*1.1</f>
        <v>64.843561502500066</v>
      </c>
      <c r="CA105" s="1354">
        <f>BZ105*1.1</f>
        <v>71.327917652750074</v>
      </c>
      <c r="CB105" s="1354">
        <f>CA105*1.1</f>
        <v>78.46070941802509</v>
      </c>
      <c r="CC105" s="1363">
        <f>SUM(BY105:CB105)</f>
        <v>273.58088084827529</v>
      </c>
      <c r="CD105" s="1354">
        <f>CB105*1.1</f>
        <v>86.306780359827599</v>
      </c>
      <c r="CE105" s="1354">
        <f>CD105*1.1</f>
        <v>94.937458395810367</v>
      </c>
      <c r="CF105" s="1354">
        <f>CE105*1.1</f>
        <v>104.43120423539141</v>
      </c>
      <c r="CG105" s="1354">
        <f>CF105*1.1</f>
        <v>114.87432465893056</v>
      </c>
      <c r="CH105" s="1363">
        <f>SUM(CD105:CG105)</f>
        <v>400.54976764995996</v>
      </c>
      <c r="CI105" s="1354">
        <f>CG105*1.1</f>
        <v>126.36175712482363</v>
      </c>
      <c r="CJ105" s="1354">
        <f>CI105*1.1</f>
        <v>138.997932837306</v>
      </c>
      <c r="CK105" s="1354">
        <f>CJ105*1.1</f>
        <v>152.89772612103661</v>
      </c>
      <c r="CL105" s="1354">
        <f>CK105*1.1</f>
        <v>168.18749873314027</v>
      </c>
      <c r="CM105" s="1363">
        <f>SUM(CI105:CL105)</f>
        <v>586.44491481630644</v>
      </c>
      <c r="CN105" s="1354">
        <f>CL105*1.1</f>
        <v>185.00624860645431</v>
      </c>
      <c r="CO105" s="1354">
        <f>CN105*1.1</f>
        <v>203.50687346709975</v>
      </c>
      <c r="CP105" s="1354">
        <f>CO105*1.1</f>
        <v>223.85756081380976</v>
      </c>
      <c r="CQ105" s="1354">
        <f>CP105*1.1</f>
        <v>246.24331689519076</v>
      </c>
      <c r="CR105" s="1363">
        <f>SUM(CN105:CQ105)</f>
        <v>858.61399978255463</v>
      </c>
      <c r="CS105" s="1354">
        <f>CQ105*1.1</f>
        <v>270.86764858470985</v>
      </c>
      <c r="CT105" s="1354">
        <f>CS105*1.1</f>
        <v>297.95441344318084</v>
      </c>
      <c r="CU105" s="1354">
        <f>CT105*1.1</f>
        <v>327.74985478749898</v>
      </c>
      <c r="CV105" s="1354">
        <f>CU105*1.1</f>
        <v>360.52484026624893</v>
      </c>
      <c r="CW105" s="1363">
        <f>SUM(CS105:CV105)</f>
        <v>1257.0967570816388</v>
      </c>
      <c r="CZ105" s="201"/>
      <c r="DA105" s="200"/>
      <c r="DB105" s="200"/>
    </row>
    <row r="106" spans="1:106">
      <c r="A106" s="206" t="s">
        <v>861</v>
      </c>
      <c r="B106" s="192"/>
      <c r="C106" s="192"/>
      <c r="D106" s="192"/>
      <c r="E106" s="192"/>
      <c r="F106" s="137"/>
      <c r="G106" s="192"/>
      <c r="H106" s="192"/>
      <c r="I106" s="192"/>
      <c r="J106" s="192"/>
      <c r="K106" s="192"/>
      <c r="L106" s="192"/>
      <c r="M106" s="192"/>
      <c r="N106" s="192"/>
      <c r="O106" s="192"/>
      <c r="P106" s="192"/>
      <c r="Q106" s="192"/>
      <c r="R106" s="192"/>
      <c r="S106" s="843"/>
      <c r="T106" s="192"/>
      <c r="U106" s="843"/>
      <c r="V106" s="192"/>
      <c r="W106" s="192"/>
      <c r="X106" s="192"/>
      <c r="Y106" s="192"/>
      <c r="Z106" s="192"/>
      <c r="AA106" s="192"/>
      <c r="AB106" s="192"/>
      <c r="AC106" s="192"/>
      <c r="AD106" s="192"/>
      <c r="AE106" s="192"/>
      <c r="AF106" s="192"/>
      <c r="AG106" s="192"/>
      <c r="AH106" s="192"/>
      <c r="AI106" s="192"/>
      <c r="AJ106" s="192"/>
      <c r="AK106" s="192"/>
      <c r="AL106" s="192"/>
      <c r="AM106" s="192"/>
      <c r="AN106" s="192"/>
      <c r="AO106" s="192"/>
      <c r="AP106" s="192"/>
      <c r="AQ106" s="192"/>
      <c r="AR106" s="192"/>
      <c r="AS106" s="192"/>
      <c r="AT106" s="192"/>
      <c r="AU106" s="192"/>
      <c r="AV106" s="192"/>
      <c r="AW106" s="192"/>
      <c r="AX106" s="192"/>
      <c r="AY106" s="192"/>
      <c r="AZ106" s="192"/>
      <c r="BA106" s="192"/>
      <c r="BB106" s="192"/>
      <c r="BC106" s="192"/>
      <c r="BD106" s="191"/>
      <c r="BE106" s="1148"/>
      <c r="BF106" s="1353"/>
      <c r="BG106" s="1353"/>
      <c r="BH106" s="1353"/>
      <c r="BI106" s="1363"/>
      <c r="BJ106" s="1428">
        <f>BJ104/BH104-1</f>
        <v>0.28571428571428581</v>
      </c>
      <c r="BK106" s="1428">
        <f>BK104/BJ104-1</f>
        <v>0.30158730158730163</v>
      </c>
      <c r="BL106" s="1428">
        <f>BL104/BK104-1</f>
        <v>0.29268292682926833</v>
      </c>
      <c r="BM106" s="1428">
        <f>BM104/BL104-1</f>
        <v>0.34905660377358494</v>
      </c>
      <c r="BN106" s="1363">
        <f>BN104/BI104-1</f>
        <v>1.9183673469387754</v>
      </c>
      <c r="BO106" s="1428">
        <f>BO104/BM104-1</f>
        <v>0.14685314685314688</v>
      </c>
      <c r="BP106" s="1428">
        <f>BP104/BO104-1</f>
        <v>0.11585365853658547</v>
      </c>
      <c r="BQ106" s="1428">
        <f>BQ104/BP104-1</f>
        <v>0.18579234972677594</v>
      </c>
      <c r="BR106" s="1428">
        <f>BR104/BQ104-1</f>
        <v>0.22119815668202758</v>
      </c>
      <c r="BS106" s="782">
        <f>BS104/BN104-1</f>
        <v>0.85314685314685312</v>
      </c>
      <c r="BT106" s="1428">
        <f>BT104/BR104-1</f>
        <v>0.12075471698113205</v>
      </c>
      <c r="BU106" s="1428">
        <f>BU104/BT104-1</f>
        <v>0.1077441077441077</v>
      </c>
      <c r="BV106" s="1428">
        <f>BV104/BU104-1</f>
        <v>8.5106382978723305E-2</v>
      </c>
      <c r="BW106" s="1428">
        <f>BW104/BV104-1</f>
        <v>7.8431372549019551E-2</v>
      </c>
      <c r="BX106" s="782">
        <f>BX104/BS104-1</f>
        <v>0.45283018867924518</v>
      </c>
      <c r="BY106" s="1428">
        <f>BY104/BW104-1</f>
        <v>2.0779220779220786E-2</v>
      </c>
      <c r="BZ106" s="1428">
        <f>BZ104/BY104-1</f>
        <v>5.5979643765903253E-2</v>
      </c>
      <c r="CA106" s="1428">
        <f>CA104/BZ104-1</f>
        <v>6.5060240963855431E-2</v>
      </c>
      <c r="CB106" s="1428">
        <f>CB104/CA104-1</f>
        <v>6.7873303167420795E-2</v>
      </c>
      <c r="CC106" s="782">
        <f>CC104/BX104-1</f>
        <v>0.22597402597402594</v>
      </c>
      <c r="CD106" s="1428">
        <f>CD104/CB104-1</f>
        <v>4.4491525423728806E-2</v>
      </c>
      <c r="CE106" s="1428">
        <f>CE104/CD104-1</f>
        <v>5.476673427991896E-2</v>
      </c>
      <c r="CF106" s="1428">
        <f>CF104/CE104-1</f>
        <v>6.9230769230769207E-2</v>
      </c>
      <c r="CG106" s="1428">
        <f>CG104/CF104-1</f>
        <v>0.10431654676258995</v>
      </c>
      <c r="CH106" s="782">
        <f>CH104/CC104-1</f>
        <v>0.30084745762711873</v>
      </c>
      <c r="CI106" s="1428">
        <f>CI104/CG104-1</f>
        <v>5.3745928338762239E-2</v>
      </c>
      <c r="CJ106" s="1428">
        <f>CE106+0.01</f>
        <v>6.4766734279918955E-2</v>
      </c>
      <c r="CK106" s="1428">
        <f>CF106+0.0175</f>
        <v>8.6730769230769209E-2</v>
      </c>
      <c r="CL106" s="1428">
        <f>CG106+0</f>
        <v>0.10431654676258995</v>
      </c>
      <c r="CM106" s="782">
        <f>CM104/CH104-1</f>
        <v>0.34649866476689173</v>
      </c>
      <c r="CN106" s="1428">
        <f>CI106-0.025</f>
        <v>2.8745928338762237E-2</v>
      </c>
      <c r="CO106" s="1428">
        <f t="shared" ref="CO106:CQ106" si="72">CJ106-0.025</f>
        <v>3.9766734279918954E-2</v>
      </c>
      <c r="CP106" s="1428">
        <f t="shared" si="72"/>
        <v>6.1730769230769207E-2</v>
      </c>
      <c r="CQ106" s="1428">
        <f t="shared" si="72"/>
        <v>7.9316546762589951E-2</v>
      </c>
      <c r="CR106" s="782">
        <f>CR104/CM104-1</f>
        <v>0.22576519825810104</v>
      </c>
      <c r="CS106" s="1428">
        <f>CN106-0.005</f>
        <v>2.3745928338762236E-2</v>
      </c>
      <c r="CT106" s="1428">
        <f>CO106-0.005</f>
        <v>3.4766734279918957E-2</v>
      </c>
      <c r="CU106" s="1428">
        <f>CP106-0.005</f>
        <v>5.673076923076921E-2</v>
      </c>
      <c r="CV106" s="1428">
        <f>CQ106-0.005</f>
        <v>7.4316546762589947E-2</v>
      </c>
      <c r="CW106" s="782">
        <f>CW104/CR104-1</f>
        <v>0.20262786981620051</v>
      </c>
      <c r="CZ106" s="201"/>
      <c r="DA106" s="200"/>
      <c r="DB106" s="200"/>
    </row>
    <row r="107" spans="1:106">
      <c r="A107" s="206" t="s">
        <v>862</v>
      </c>
      <c r="B107" s="192"/>
      <c r="C107" s="192"/>
      <c r="D107" s="192"/>
      <c r="E107" s="192"/>
      <c r="F107" s="137"/>
      <c r="G107" s="192"/>
      <c r="H107" s="192"/>
      <c r="I107" s="192"/>
      <c r="J107" s="192"/>
      <c r="K107" s="192"/>
      <c r="L107" s="192"/>
      <c r="M107" s="192"/>
      <c r="N107" s="192"/>
      <c r="O107" s="192"/>
      <c r="P107" s="192"/>
      <c r="Q107" s="192"/>
      <c r="R107" s="192"/>
      <c r="S107" s="843"/>
      <c r="T107" s="192"/>
      <c r="U107" s="843"/>
      <c r="V107" s="192"/>
      <c r="W107" s="192"/>
      <c r="X107" s="192"/>
      <c r="Y107" s="192"/>
      <c r="Z107" s="192"/>
      <c r="AA107" s="192"/>
      <c r="AB107" s="192"/>
      <c r="AC107" s="192"/>
      <c r="AD107" s="192"/>
      <c r="AE107" s="192"/>
      <c r="AF107" s="192"/>
      <c r="AG107" s="192"/>
      <c r="AH107" s="192"/>
      <c r="AI107" s="192"/>
      <c r="AJ107" s="192"/>
      <c r="AK107" s="192"/>
      <c r="AL107" s="192"/>
      <c r="AM107" s="192"/>
      <c r="AN107" s="192"/>
      <c r="AO107" s="192"/>
      <c r="AP107" s="192"/>
      <c r="AQ107" s="192"/>
      <c r="AR107" s="192"/>
      <c r="AS107" s="192"/>
      <c r="AT107" s="192"/>
      <c r="AU107" s="192"/>
      <c r="AV107" s="192"/>
      <c r="AW107" s="192"/>
      <c r="AX107" s="192"/>
      <c r="AY107" s="192"/>
      <c r="AZ107" s="192"/>
      <c r="BA107" s="192"/>
      <c r="BB107" s="192"/>
      <c r="BC107" s="192"/>
      <c r="BD107" s="191"/>
      <c r="BE107" s="1148"/>
      <c r="BF107" s="1353"/>
      <c r="BG107" s="1353"/>
      <c r="BH107" s="1353"/>
      <c r="BI107" s="191"/>
      <c r="BJ107" s="1353"/>
      <c r="BK107" s="1353"/>
      <c r="BL107" s="1353"/>
      <c r="BM107" s="1353"/>
      <c r="BN107" s="191"/>
      <c r="BO107" s="1353"/>
      <c r="BP107" s="1353"/>
      <c r="BQ107" s="1353"/>
      <c r="BR107" s="1353"/>
      <c r="BS107" s="191"/>
      <c r="BT107" s="310">
        <f>BT104/BO104-1</f>
        <v>0.81097560975609762</v>
      </c>
      <c r="BU107" s="310">
        <f>BU104/BP104-1</f>
        <v>0.79781420765027322</v>
      </c>
      <c r="BV107" s="310">
        <f>BV104/BQ104-1</f>
        <v>0.64516129032258074</v>
      </c>
      <c r="BW107" s="310">
        <f>BW104/BR104-1</f>
        <v>0.45283018867924518</v>
      </c>
      <c r="BX107" s="191"/>
      <c r="BY107" s="310">
        <f>BY104/BT104-1</f>
        <v>0.32323232323232332</v>
      </c>
      <c r="BZ107" s="310">
        <f>BZ104/BU104-1</f>
        <v>0.2613981762917934</v>
      </c>
      <c r="CA107" s="310">
        <f>CA104/BV104-1</f>
        <v>0.23809523809523814</v>
      </c>
      <c r="CB107" s="310">
        <f>CB104/BW104-1</f>
        <v>0.22597402597402594</v>
      </c>
      <c r="CC107" s="191"/>
      <c r="CD107" s="310">
        <f>CD104/BY104-1</f>
        <v>0.25445292620865145</v>
      </c>
      <c r="CE107" s="310">
        <f>CE104/BZ104-1</f>
        <v>0.25301204819277112</v>
      </c>
      <c r="CF107" s="310">
        <f>CF104/CA104-1</f>
        <v>0.25791855203619907</v>
      </c>
      <c r="CG107" s="310">
        <f>CG104/CB104-1</f>
        <v>0.30084745762711873</v>
      </c>
      <c r="CH107" s="191"/>
      <c r="CI107" s="310">
        <f>CI104/CD104-1</f>
        <v>0.31237322515212984</v>
      </c>
      <c r="CJ107" s="310">
        <f>CJ104/CE104-1</f>
        <v>0.32481553284443754</v>
      </c>
      <c r="CK107" s="310">
        <f>CK104/CF104-1</f>
        <v>0.34649866476689151</v>
      </c>
      <c r="CL107" s="310">
        <f>CL104/CG104-1</f>
        <v>0.34649866476689173</v>
      </c>
      <c r="CM107" s="782"/>
      <c r="CN107" s="310">
        <f>CN104/CI104-1</f>
        <v>0.31455314003092316</v>
      </c>
      <c r="CO107" s="310">
        <f>CO104/CJ104-1</f>
        <v>0.28368832481578754</v>
      </c>
      <c r="CP107" s="310">
        <f>CP104/CK104-1</f>
        <v>0.25415735999079136</v>
      </c>
      <c r="CQ107" s="310">
        <f>CQ104/CL104-1</f>
        <v>0.22576519825810104</v>
      </c>
      <c r="CR107" s="782"/>
      <c r="CS107" s="310">
        <f>CS104/CN104-1</f>
        <v>0.21980762815020505</v>
      </c>
      <c r="CT107" s="310">
        <f>CT104/CO104-1</f>
        <v>0.2139418527414787</v>
      </c>
      <c r="CU107" s="310">
        <f>CU104/CP104-1</f>
        <v>0.20822504633479899</v>
      </c>
      <c r="CV107" s="310">
        <f>CV104/CQ104-1</f>
        <v>0.20262786981620051</v>
      </c>
      <c r="CW107" s="782"/>
      <c r="CZ107" s="201"/>
      <c r="DA107" s="200"/>
      <c r="DB107" s="200"/>
    </row>
    <row r="108" spans="1:106" hidden="1" outlineLevel="1">
      <c r="A108" s="206" t="s">
        <v>762</v>
      </c>
      <c r="B108" s="192"/>
      <c r="C108" s="192"/>
      <c r="D108" s="192"/>
      <c r="E108" s="192"/>
      <c r="F108" s="137"/>
      <c r="G108" s="192"/>
      <c r="H108" s="192"/>
      <c r="I108" s="192"/>
      <c r="J108" s="192"/>
      <c r="K108" s="192"/>
      <c r="L108" s="192"/>
      <c r="M108" s="192"/>
      <c r="N108" s="192"/>
      <c r="O108" s="192"/>
      <c r="P108" s="192"/>
      <c r="Q108" s="192"/>
      <c r="R108" s="192"/>
      <c r="S108" s="843"/>
      <c r="T108" s="192"/>
      <c r="U108" s="843"/>
      <c r="V108" s="192"/>
      <c r="W108" s="192"/>
      <c r="X108" s="192"/>
      <c r="Y108" s="192"/>
      <c r="Z108" s="192"/>
      <c r="AA108" s="192"/>
      <c r="AB108" s="192"/>
      <c r="AC108" s="192"/>
      <c r="AD108" s="192"/>
      <c r="AE108" s="192"/>
      <c r="AF108" s="192"/>
      <c r="AG108" s="192"/>
      <c r="AH108" s="192"/>
      <c r="AI108" s="192"/>
      <c r="AJ108" s="192"/>
      <c r="AK108" s="192"/>
      <c r="AL108" s="192"/>
      <c r="AM108" s="192"/>
      <c r="AN108" s="192"/>
      <c r="AO108" s="192"/>
      <c r="AP108" s="192"/>
      <c r="AQ108" s="192"/>
      <c r="AR108" s="192"/>
      <c r="AS108" s="192"/>
      <c r="AT108" s="192"/>
      <c r="AU108" s="192"/>
      <c r="AV108" s="192"/>
      <c r="AW108" s="192"/>
      <c r="AX108" s="192"/>
      <c r="AY108" s="192"/>
      <c r="AZ108" s="192"/>
      <c r="BA108" s="192"/>
      <c r="BB108" s="192"/>
      <c r="BC108" s="192"/>
      <c r="BD108" s="191"/>
      <c r="BE108" s="1389">
        <f>'Revenue Drivers'!BF10+BE105</f>
        <v>183.3</v>
      </c>
      <c r="BF108" s="1389">
        <f>'Revenue Drivers'!BG10+BF105</f>
        <v>206.7</v>
      </c>
      <c r="BG108" s="1389">
        <f>'Revenue Drivers'!BH10+BG105</f>
        <v>185.5</v>
      </c>
      <c r="BH108" s="1389">
        <f>'Revenue Drivers'!BI10+BH105</f>
        <v>210.2</v>
      </c>
      <c r="BI108" s="1363">
        <f>SUM(BE108:BH108)</f>
        <v>785.7</v>
      </c>
      <c r="BJ108" s="1389">
        <f>'Revenue Drivers'!BK10+BJ105</f>
        <v>203.2</v>
      </c>
      <c r="BK108" s="1389">
        <f>'Revenue Drivers'!BL10+BK105</f>
        <v>219.3</v>
      </c>
      <c r="BL108" s="1389">
        <f>'Revenue Drivers'!BM10+BL105</f>
        <v>202.7</v>
      </c>
      <c r="BM108" s="1389">
        <f>'Revenue Drivers'!BN10+BM105</f>
        <v>223.4</v>
      </c>
      <c r="BN108" s="1363">
        <f>SUM(BJ108:BM108)</f>
        <v>848.6</v>
      </c>
      <c r="BO108" s="1389">
        <f>'Revenue Drivers'!BP10+BO105</f>
        <v>221.6</v>
      </c>
      <c r="BP108" s="1389">
        <f>'Revenue Drivers'!BQ10+BP105</f>
        <v>226.55</v>
      </c>
      <c r="BQ108" s="1389">
        <f>'Revenue Drivers'!BR10+BQ105</f>
        <v>241.375</v>
      </c>
      <c r="BR108" s="1389">
        <f>'Revenue Drivers'!BS10+BR105</f>
        <v>233.70250000000001</v>
      </c>
      <c r="BS108" s="1363">
        <f>SUM(BO108:BR108)</f>
        <v>923.22749999999996</v>
      </c>
      <c r="BT108" s="1389">
        <f>'Revenue Drivers'!BU10+BT105</f>
        <v>233.66275000000002</v>
      </c>
      <c r="BU108" s="1389">
        <f>'Revenue Drivers'!BV10+BU105</f>
        <v>240.88902500000003</v>
      </c>
      <c r="BV108" s="1389">
        <f>'Revenue Drivers'!BW10+BV105</f>
        <v>242.31792750000002</v>
      </c>
      <c r="BW108" s="1389">
        <f>'Revenue Drivers'!BX10+BW105</f>
        <v>262.28972025000002</v>
      </c>
      <c r="BX108" s="1363">
        <f>SUM(BT108:BW108)</f>
        <v>979.15942274999998</v>
      </c>
      <c r="BY108" s="1389">
        <f>'Revenue Drivers'!BZ10+BY105</f>
        <v>257.74869227500005</v>
      </c>
      <c r="BZ108" s="1389">
        <f>'Revenue Drivers'!CA10+BZ105</f>
        <v>253.04356150250004</v>
      </c>
      <c r="CA108" s="1389">
        <f>'Revenue Drivers'!CB10+CA105</f>
        <v>258.62791765275006</v>
      </c>
      <c r="CB108" s="1389">
        <f>'Revenue Drivers'!CC10+CB105</f>
        <v>269.06070941802511</v>
      </c>
      <c r="CC108" s="1363">
        <f>SUM(BY108:CB108)</f>
        <v>1038.4808808482753</v>
      </c>
      <c r="CD108" s="1389">
        <f>'Revenue Drivers'!CE10+CD105</f>
        <v>282.20678035982758</v>
      </c>
      <c r="CE108" s="1389">
        <f>'Revenue Drivers'!CF10+CE105</f>
        <v>294.83745839581036</v>
      </c>
      <c r="CF108" s="1389">
        <f>'Revenue Drivers'!CG10+CF105</f>
        <v>310.73120423539143</v>
      </c>
      <c r="CG108" s="1389">
        <f>'Revenue Drivers'!CH10+CG105</f>
        <v>349.47432465893053</v>
      </c>
      <c r="CH108" s="1363">
        <f>SUM(CD108:CG108)</f>
        <v>1237.2497676499599</v>
      </c>
      <c r="CI108" s="1389">
        <f>'Revenue Drivers'!CJ10+CI105</f>
        <v>357.36175712482361</v>
      </c>
      <c r="CJ108" s="1389">
        <f>'Revenue Drivers'!CK10+CJ105</f>
        <v>373.46293283730597</v>
      </c>
      <c r="CK108" s="1389">
        <f>'Revenue Drivers'!CL10+CK105</f>
        <v>390.87970112103653</v>
      </c>
      <c r="CL108" s="1389">
        <f>'Revenue Drivers'!CM10+CL105</f>
        <v>409.73920335814023</v>
      </c>
      <c r="CM108" s="1363">
        <f>SUM(CI108:CL108)</f>
        <v>1531.4435944413065</v>
      </c>
      <c r="CN108" s="1389">
        <f>'Revenue Drivers'!CO10+CN105</f>
        <v>433.8045043702042</v>
      </c>
      <c r="CO108" s="1389">
        <f>'Revenue Drivers'!CP10+CO105</f>
        <v>459.7690769037622</v>
      </c>
      <c r="CP108" s="1389">
        <f>'Revenue Drivers'!CQ10+CP105</f>
        <v>487.80763035357211</v>
      </c>
      <c r="CQ108" s="1389">
        <f>'Revenue Drivers'!CR10+CQ105</f>
        <v>518.11188852114594</v>
      </c>
      <c r="CR108" s="1363">
        <f>SUM(CN108:CQ108)</f>
        <v>1899.4931001486843</v>
      </c>
      <c r="CS108" s="1389">
        <f>'Revenue Drivers'!CT10+CS105</f>
        <v>548.17359164318418</v>
      </c>
      <c r="CT108" s="1389">
        <f>'Revenue Drivers'!CU10+CT105</f>
        <v>580.80647536282459</v>
      </c>
      <c r="CU108" s="1389">
        <f>'Revenue Drivers'!CV10+CU105</f>
        <v>616.25895794553571</v>
      </c>
      <c r="CV108" s="1389">
        <f>'Revenue Drivers'!CW10+CV105</f>
        <v>654.8041254874463</v>
      </c>
      <c r="CW108" s="1363">
        <f>SUM(CS108:CV108)</f>
        <v>2400.0431504389908</v>
      </c>
      <c r="CZ108" s="201"/>
      <c r="DA108" s="200"/>
      <c r="DB108" s="200"/>
    </row>
    <row r="109" spans="1:106" hidden="1" outlineLevel="1">
      <c r="A109" s="206" t="s">
        <v>547</v>
      </c>
      <c r="B109" s="192"/>
      <c r="C109" s="192"/>
      <c r="D109" s="192"/>
      <c r="E109" s="192"/>
      <c r="F109" s="137"/>
      <c r="G109" s="192"/>
      <c r="H109" s="192"/>
      <c r="I109" s="192"/>
      <c r="J109" s="192"/>
      <c r="K109" s="192"/>
      <c r="L109" s="192"/>
      <c r="M109" s="192"/>
      <c r="N109" s="192"/>
      <c r="O109" s="192"/>
      <c r="P109" s="192"/>
      <c r="Q109" s="192"/>
      <c r="R109" s="192"/>
      <c r="S109" s="843"/>
      <c r="T109" s="192"/>
      <c r="U109" s="843"/>
      <c r="V109" s="192"/>
      <c r="W109" s="192"/>
      <c r="X109" s="192"/>
      <c r="Y109" s="192"/>
      <c r="Z109" s="192"/>
      <c r="AA109" s="192"/>
      <c r="AB109" s="192"/>
      <c r="AC109" s="192"/>
      <c r="AD109" s="192"/>
      <c r="AE109" s="192"/>
      <c r="AF109" s="192"/>
      <c r="AG109" s="192"/>
      <c r="AH109" s="192"/>
      <c r="AI109" s="192"/>
      <c r="AJ109" s="192"/>
      <c r="AK109" s="192"/>
      <c r="AL109" s="192"/>
      <c r="AM109" s="192"/>
      <c r="AN109" s="192"/>
      <c r="AO109" s="192"/>
      <c r="AP109" s="192"/>
      <c r="AQ109" s="192"/>
      <c r="AR109" s="192"/>
      <c r="AS109" s="192"/>
      <c r="AT109" s="192"/>
      <c r="AU109" s="192"/>
      <c r="AV109" s="192"/>
      <c r="AW109" s="192"/>
      <c r="AX109" s="192"/>
      <c r="AY109" s="192"/>
      <c r="AZ109" s="192"/>
      <c r="BA109" s="192"/>
      <c r="BB109" s="192"/>
      <c r="BC109" s="192"/>
      <c r="BD109" s="191"/>
      <c r="BE109" s="1389"/>
      <c r="BF109" s="1389"/>
      <c r="BG109" s="1389"/>
      <c r="BH109" s="1389"/>
      <c r="BI109" s="1363"/>
      <c r="BJ109" s="532">
        <f>BJ108/BE108-1</f>
        <v>0.10856519367157658</v>
      </c>
      <c r="BK109" s="532">
        <f t="shared" ref="BK109:BX109" si="73">BK108/BF108-1</f>
        <v>6.0957910014513894E-2</v>
      </c>
      <c r="BL109" s="532">
        <f t="shared" si="73"/>
        <v>9.2722371967654871E-2</v>
      </c>
      <c r="BM109" s="532">
        <f t="shared" si="73"/>
        <v>6.2797335870599547E-2</v>
      </c>
      <c r="BN109" s="1363">
        <f t="shared" si="73"/>
        <v>8.0056001018200318E-2</v>
      </c>
      <c r="BO109" s="532">
        <f t="shared" si="73"/>
        <v>9.0551181102362266E-2</v>
      </c>
      <c r="BP109" s="532">
        <f t="shared" si="73"/>
        <v>3.305973552211583E-2</v>
      </c>
      <c r="BQ109" s="532">
        <f t="shared" si="73"/>
        <v>0.19079921065614225</v>
      </c>
      <c r="BR109" s="532">
        <f t="shared" si="73"/>
        <v>4.6116830796777197E-2</v>
      </c>
      <c r="BS109" s="533">
        <f t="shared" si="73"/>
        <v>8.7941904312986097E-2</v>
      </c>
      <c r="BT109" s="532">
        <f t="shared" si="73"/>
        <v>5.4434792418772693E-2</v>
      </c>
      <c r="BU109" s="532">
        <f t="shared" si="73"/>
        <v>6.3292981681748017E-2</v>
      </c>
      <c r="BV109" s="532">
        <f t="shared" si="73"/>
        <v>3.906483687208695E-3</v>
      </c>
      <c r="BW109" s="532">
        <f t="shared" si="73"/>
        <v>0.12232312555492553</v>
      </c>
      <c r="BX109" s="533">
        <f t="shared" si="73"/>
        <v>6.0583033705126965E-2</v>
      </c>
      <c r="BY109" s="532">
        <f t="shared" ref="BY109:CM109" si="74">BY108/BT108-1</f>
        <v>0.10307994010598631</v>
      </c>
      <c r="BZ109" s="532">
        <f t="shared" si="74"/>
        <v>5.0456995716180897E-2</v>
      </c>
      <c r="CA109" s="532">
        <f t="shared" si="74"/>
        <v>6.7308227340092452E-2</v>
      </c>
      <c r="CB109" s="532">
        <f t="shared" si="74"/>
        <v>2.5814923900072673E-2</v>
      </c>
      <c r="CC109" s="533">
        <f t="shared" si="74"/>
        <v>6.0584064984708252E-2</v>
      </c>
      <c r="CD109" s="532">
        <f t="shared" si="74"/>
        <v>9.4891220859163239E-2</v>
      </c>
      <c r="CE109" s="532">
        <f t="shared" si="74"/>
        <v>0.16516483029700568</v>
      </c>
      <c r="CF109" s="532">
        <f t="shared" si="74"/>
        <v>0.20146041098547784</v>
      </c>
      <c r="CG109" s="532">
        <f t="shared" si="74"/>
        <v>0.2988679224656734</v>
      </c>
      <c r="CH109" s="533">
        <f t="shared" si="74"/>
        <v>0.19140351109721121</v>
      </c>
      <c r="CI109" s="532">
        <f t="shared" si="74"/>
        <v>0.26631173308157141</v>
      </c>
      <c r="CJ109" s="532">
        <f t="shared" si="74"/>
        <v>0.26667396629075291</v>
      </c>
      <c r="CK109" s="532">
        <f t="shared" si="74"/>
        <v>0.25793514070421253</v>
      </c>
      <c r="CL109" s="532">
        <f t="shared" si="74"/>
        <v>0.17244436700185406</v>
      </c>
      <c r="CM109" s="533">
        <f t="shared" si="74"/>
        <v>0.2377804663888845</v>
      </c>
      <c r="CN109" s="532">
        <f t="shared" ref="CN109:CW109" si="75">CN108/CI108-1</f>
        <v>0.21390858344889918</v>
      </c>
      <c r="CO109" s="532">
        <f t="shared" si="75"/>
        <v>0.23109694825872928</v>
      </c>
      <c r="CP109" s="532">
        <f t="shared" si="75"/>
        <v>0.24797381126353679</v>
      </c>
      <c r="CQ109" s="532">
        <f t="shared" si="75"/>
        <v>0.26449186281128334</v>
      </c>
      <c r="CR109" s="533">
        <f t="shared" si="75"/>
        <v>0.24032847637568255</v>
      </c>
      <c r="CS109" s="532">
        <f t="shared" si="75"/>
        <v>0.26364200030384799</v>
      </c>
      <c r="CT109" s="532">
        <f t="shared" si="75"/>
        <v>0.2632569360126793</v>
      </c>
      <c r="CU109" s="532">
        <f t="shared" si="75"/>
        <v>0.26332373583180657</v>
      </c>
      <c r="CV109" s="532">
        <f t="shared" si="75"/>
        <v>0.26382764031233275</v>
      </c>
      <c r="CW109" s="533">
        <f t="shared" si="75"/>
        <v>0.26351769861713392</v>
      </c>
      <c r="CZ109" s="201"/>
      <c r="DA109" s="200"/>
      <c r="DB109" s="200"/>
    </row>
    <row r="110" spans="1:106" hidden="1" outlineLevel="1">
      <c r="A110" s="206"/>
      <c r="B110" s="192"/>
      <c r="C110" s="192"/>
      <c r="D110" s="192"/>
      <c r="E110" s="192"/>
      <c r="F110" s="137"/>
      <c r="G110" s="192"/>
      <c r="H110" s="192"/>
      <c r="I110" s="192"/>
      <c r="J110" s="192"/>
      <c r="K110" s="192"/>
      <c r="L110" s="192"/>
      <c r="M110" s="192"/>
      <c r="N110" s="192"/>
      <c r="O110" s="192"/>
      <c r="P110" s="192"/>
      <c r="Q110" s="192"/>
      <c r="R110" s="192"/>
      <c r="S110" s="843"/>
      <c r="T110" s="192"/>
      <c r="U110" s="843"/>
      <c r="V110" s="192"/>
      <c r="W110" s="192"/>
      <c r="X110" s="192"/>
      <c r="Y110" s="192"/>
      <c r="Z110" s="192"/>
      <c r="AA110" s="192"/>
      <c r="AB110" s="192"/>
      <c r="AC110" s="192"/>
      <c r="AD110" s="192"/>
      <c r="AE110" s="192"/>
      <c r="AF110" s="192"/>
      <c r="AG110" s="192"/>
      <c r="AH110" s="192"/>
      <c r="AI110" s="192"/>
      <c r="AJ110" s="192"/>
      <c r="AK110" s="192"/>
      <c r="AL110" s="192"/>
      <c r="AM110" s="192"/>
      <c r="AN110" s="192"/>
      <c r="AO110" s="192"/>
      <c r="AP110" s="192"/>
      <c r="AQ110" s="192"/>
      <c r="AR110" s="192"/>
      <c r="AS110" s="192"/>
      <c r="AT110" s="192"/>
      <c r="AU110" s="192"/>
      <c r="AV110" s="192"/>
      <c r="AW110" s="192"/>
      <c r="AX110" s="192"/>
      <c r="AY110" s="192"/>
      <c r="AZ110" s="192"/>
      <c r="BA110" s="192"/>
      <c r="BB110" s="192"/>
      <c r="BC110" s="192"/>
      <c r="BD110" s="191"/>
      <c r="BE110" s="1389"/>
      <c r="BF110" s="1389"/>
      <c r="BG110" s="1389"/>
      <c r="BH110" s="1389"/>
      <c r="BI110" s="1363"/>
      <c r="BJ110" s="532"/>
      <c r="BK110" s="532"/>
      <c r="BL110" s="532"/>
      <c r="BM110" s="532"/>
      <c r="BN110" s="1363"/>
      <c r="BO110" s="532"/>
      <c r="BP110" s="532"/>
      <c r="BQ110" s="532"/>
      <c r="BR110" s="532"/>
      <c r="BS110" s="533"/>
      <c r="BT110" s="532"/>
      <c r="BU110" s="532"/>
      <c r="BV110" s="532"/>
      <c r="BW110" s="532"/>
      <c r="BX110" s="533"/>
      <c r="BY110" s="532"/>
      <c r="BZ110" s="532"/>
      <c r="CA110" s="532"/>
      <c r="CB110" s="532"/>
      <c r="CC110" s="1648"/>
      <c r="CD110" s="532"/>
      <c r="CE110" s="532"/>
      <c r="CF110" s="532"/>
      <c r="CG110" s="532"/>
      <c r="CH110" s="533"/>
      <c r="CI110" s="532"/>
      <c r="CJ110" s="532"/>
      <c r="CK110" s="532"/>
      <c r="CL110" s="532"/>
      <c r="CM110" s="533"/>
      <c r="CN110" s="532"/>
      <c r="CO110" s="532"/>
      <c r="CP110" s="532"/>
      <c r="CQ110" s="532"/>
      <c r="CR110" s="533"/>
      <c r="CS110" s="532"/>
      <c r="CT110" s="532"/>
      <c r="CU110" s="532"/>
      <c r="CV110" s="532"/>
      <c r="CW110" s="533"/>
      <c r="CZ110" s="201"/>
      <c r="DA110" s="200"/>
      <c r="DB110" s="200"/>
    </row>
    <row r="111" spans="1:106" collapsed="1">
      <c r="A111" s="1388" t="s">
        <v>377</v>
      </c>
      <c r="B111" s="1491"/>
      <c r="C111" s="1491"/>
      <c r="D111" s="1491"/>
      <c r="E111" s="1491"/>
      <c r="F111" s="1492"/>
      <c r="G111" s="1491"/>
      <c r="H111" s="1491"/>
      <c r="I111" s="1491"/>
      <c r="J111" s="1491"/>
      <c r="K111" s="1491"/>
      <c r="L111" s="1491"/>
      <c r="M111" s="1491"/>
      <c r="N111" s="1491"/>
      <c r="O111" s="1491"/>
      <c r="P111" s="1491"/>
      <c r="Q111" s="1491"/>
      <c r="R111" s="1491"/>
      <c r="S111" s="1493"/>
      <c r="T111" s="1491"/>
      <c r="U111" s="1493"/>
      <c r="V111" s="1491"/>
      <c r="W111" s="1491"/>
      <c r="X111" s="1491"/>
      <c r="Y111" s="1491"/>
      <c r="Z111" s="1491"/>
      <c r="AA111" s="1491"/>
      <c r="AB111" s="1491"/>
      <c r="AC111" s="1491"/>
      <c r="AD111" s="1491"/>
      <c r="AE111" s="1491"/>
      <c r="AF111" s="1491"/>
      <c r="AG111" s="1491"/>
      <c r="AH111" s="1491"/>
      <c r="AI111" s="1491"/>
      <c r="AJ111" s="1491"/>
      <c r="AK111" s="1491"/>
      <c r="AL111" s="1491"/>
      <c r="AM111" s="1491"/>
      <c r="AN111" s="1491"/>
      <c r="AO111" s="1491"/>
      <c r="AP111" s="1491"/>
      <c r="AQ111" s="1491"/>
      <c r="AR111" s="1491"/>
      <c r="AS111" s="1491"/>
      <c r="AT111" s="1491"/>
      <c r="AU111" s="1491"/>
      <c r="AV111" s="1491"/>
      <c r="AW111" s="1491"/>
      <c r="AX111" s="1491"/>
      <c r="AY111" s="1491"/>
      <c r="AZ111" s="1491"/>
      <c r="BA111" s="1491"/>
      <c r="BB111" s="1491"/>
      <c r="BC111" s="1491"/>
      <c r="BD111" s="1494"/>
      <c r="BE111" s="1495">
        <f>BE104+BE74</f>
        <v>0</v>
      </c>
      <c r="BF111" s="1496">
        <f>BF104+BF74</f>
        <v>43</v>
      </c>
      <c r="BG111" s="1496">
        <f>BG104+BG74</f>
        <v>92</v>
      </c>
      <c r="BH111" s="1496">
        <f>BH104+BH74</f>
        <v>204</v>
      </c>
      <c r="BI111" s="1497">
        <f>BH111</f>
        <v>204</v>
      </c>
      <c r="BJ111" s="1496">
        <f>BJ104+BJ74</f>
        <v>300</v>
      </c>
      <c r="BK111" s="1496">
        <f>BK104+BK74</f>
        <v>444</v>
      </c>
      <c r="BL111" s="1496">
        <f>BL104+BL74</f>
        <v>655</v>
      </c>
      <c r="BM111" s="1496">
        <f>BM104+BM74</f>
        <v>944</v>
      </c>
      <c r="BN111" s="1497">
        <f>BM111</f>
        <v>944</v>
      </c>
      <c r="BO111" s="1496">
        <f>BO104+BO74</f>
        <v>1151</v>
      </c>
      <c r="BP111" s="1496">
        <f>BP104+BP74</f>
        <v>1378</v>
      </c>
      <c r="BQ111" s="1496">
        <f>BQ104+BQ74</f>
        <v>1621</v>
      </c>
      <c r="BR111" s="1496">
        <v>1877</v>
      </c>
      <c r="BS111" s="1497">
        <f>BR111</f>
        <v>1877</v>
      </c>
      <c r="BT111" s="1496">
        <v>2092</v>
      </c>
      <c r="BU111" s="1496">
        <v>2356</v>
      </c>
      <c r="BV111" s="1496">
        <v>2646</v>
      </c>
      <c r="BW111" s="1496">
        <v>2882</v>
      </c>
      <c r="BX111" s="1497">
        <f>BW111</f>
        <v>2882</v>
      </c>
      <c r="BY111" s="1496">
        <v>3128</v>
      </c>
      <c r="BZ111" s="1496">
        <v>3413</v>
      </c>
      <c r="CA111" s="1496">
        <v>3698</v>
      </c>
      <c r="CB111" s="1496">
        <v>3987</v>
      </c>
      <c r="CC111" s="1497">
        <f>CB111</f>
        <v>3987</v>
      </c>
      <c r="CD111" s="1496">
        <v>4252</v>
      </c>
      <c r="CE111" s="1496">
        <f>CE104+CE74</f>
        <v>4564</v>
      </c>
      <c r="CF111" s="1496">
        <f>CF104+CF74</f>
        <v>4872</v>
      </c>
      <c r="CG111" s="1496">
        <f>CG104+CG74</f>
        <v>5385</v>
      </c>
      <c r="CH111" s="1497">
        <f>CG111</f>
        <v>5385</v>
      </c>
      <c r="CI111" s="1496">
        <f>CI104+CI74</f>
        <v>5721</v>
      </c>
      <c r="CJ111" s="1496">
        <f>CJ104+CJ74</f>
        <v>6065.6309157883989</v>
      </c>
      <c r="CK111" s="1496">
        <f>CK104+CK74</f>
        <v>6380.712206642519</v>
      </c>
      <c r="CL111" s="1496">
        <f>CL104+CL74</f>
        <v>6784.958463655691</v>
      </c>
      <c r="CM111" s="1497">
        <f>CL111</f>
        <v>6784.958463655691</v>
      </c>
      <c r="CN111" s="1496">
        <f>CN104+CN74</f>
        <v>7062.0107370634005</v>
      </c>
      <c r="CO111" s="1496">
        <f>CO104+CO74</f>
        <v>7443.4378310629254</v>
      </c>
      <c r="CP111" s="1496">
        <f>CP104+CP74</f>
        <v>7802.2105301798092</v>
      </c>
      <c r="CQ111" s="1496">
        <f>CQ104+CQ74</f>
        <v>8224.5795905039031</v>
      </c>
      <c r="CR111" s="1497">
        <f>CQ111</f>
        <v>8224.5795905039031</v>
      </c>
      <c r="CS111" s="1496">
        <f>CS104+CS74</f>
        <v>8522.0771521436345</v>
      </c>
      <c r="CT111" s="1496">
        <f>CT104+CT74</f>
        <v>8876.0804061662075</v>
      </c>
      <c r="CU111" s="1496">
        <f>CU104+CU74</f>
        <v>9261.442824720225</v>
      </c>
      <c r="CV111" s="1496">
        <f>CV104+CV74</f>
        <v>9676.7902445623531</v>
      </c>
      <c r="CW111" s="1497">
        <f>CV111</f>
        <v>9676.7902445623531</v>
      </c>
      <c r="CZ111" s="415"/>
      <c r="DA111" s="414"/>
      <c r="DB111" s="414"/>
    </row>
    <row r="112" spans="1:106">
      <c r="A112" s="1699" t="s">
        <v>857</v>
      </c>
      <c r="B112" s="192"/>
      <c r="C112" s="192"/>
      <c r="D112" s="192"/>
      <c r="E112" s="192"/>
      <c r="F112" s="137"/>
      <c r="G112" s="192"/>
      <c r="H112" s="192"/>
      <c r="I112" s="192"/>
      <c r="J112" s="192"/>
      <c r="K112" s="192"/>
      <c r="L112" s="192"/>
      <c r="M112" s="192"/>
      <c r="N112" s="192"/>
      <c r="O112" s="192"/>
      <c r="P112" s="192"/>
      <c r="Q112" s="192"/>
      <c r="R112" s="192"/>
      <c r="S112" s="843"/>
      <c r="T112" s="192"/>
      <c r="U112" s="843"/>
      <c r="V112" s="192"/>
      <c r="W112" s="192"/>
      <c r="X112" s="192"/>
      <c r="Y112" s="192"/>
      <c r="Z112" s="192"/>
      <c r="AA112" s="192"/>
      <c r="AB112" s="192"/>
      <c r="AC112" s="192"/>
      <c r="AD112" s="192"/>
      <c r="AE112" s="192"/>
      <c r="AF112" s="192"/>
      <c r="AG112" s="192"/>
      <c r="AH112" s="192"/>
      <c r="AI112" s="192"/>
      <c r="AJ112" s="192"/>
      <c r="AK112" s="192"/>
      <c r="AL112" s="192"/>
      <c r="AM112" s="192"/>
      <c r="AN112" s="192"/>
      <c r="AO112" s="192"/>
      <c r="AP112" s="192"/>
      <c r="AQ112" s="192"/>
      <c r="AR112" s="192"/>
      <c r="AS112" s="192"/>
      <c r="AT112" s="192"/>
      <c r="AU112" s="192"/>
      <c r="AV112" s="192"/>
      <c r="AW112" s="192"/>
      <c r="AX112" s="192"/>
      <c r="AY112" s="192"/>
      <c r="AZ112" s="192"/>
      <c r="BA112" s="192"/>
      <c r="BB112" s="192"/>
      <c r="BC112" s="192"/>
      <c r="BD112" s="191"/>
      <c r="BE112" s="1148"/>
      <c r="BF112" s="1353"/>
      <c r="BG112" s="1353"/>
      <c r="BH112" s="1353"/>
      <c r="BI112" s="1363"/>
      <c r="BJ112" s="1353"/>
      <c r="BK112" s="1353"/>
      <c r="BL112" s="1353"/>
      <c r="BM112" s="1353"/>
      <c r="BN112" s="1363"/>
      <c r="BO112" s="1654">
        <f>BO111/BN111-1</f>
        <v>0.21927966101694918</v>
      </c>
      <c r="BP112" s="1654">
        <f>BP111/BO111-1</f>
        <v>0.1972198088618593</v>
      </c>
      <c r="BQ112" s="1654">
        <f>BQ111/BP111-1</f>
        <v>0.17634252539912909</v>
      </c>
      <c r="BR112" s="1654">
        <f>BR111/BQ111-1</f>
        <v>0.15792720542874772</v>
      </c>
      <c r="BS112" s="782"/>
      <c r="BT112" s="1654">
        <f>BT111/BS111-1</f>
        <v>0.11454448588172617</v>
      </c>
      <c r="BU112" s="1654">
        <f>BU111/BT111-1</f>
        <v>0.12619502868068833</v>
      </c>
      <c r="BV112" s="1654">
        <f>BV111/BU111-1</f>
        <v>0.1230899830220713</v>
      </c>
      <c r="BW112" s="1654">
        <f>BW111/BV111-1</f>
        <v>8.919123204837498E-2</v>
      </c>
      <c r="BX112" s="1647"/>
      <c r="BY112" s="1654">
        <f>BY111/BW111-1</f>
        <v>8.5357390700902203E-2</v>
      </c>
      <c r="BZ112" s="1654">
        <f>BZ111/BY111-1</f>
        <v>9.1112531969309574E-2</v>
      </c>
      <c r="CA112" s="1654">
        <f>CA111/BZ111-1</f>
        <v>8.3504248461763853E-2</v>
      </c>
      <c r="CB112" s="1654">
        <f>CB111/CA111-1</f>
        <v>7.815035154137373E-2</v>
      </c>
      <c r="CC112" s="1499"/>
      <c r="CD112" s="1654">
        <f>CD111/CB111-1</f>
        <v>6.6466014547278629E-2</v>
      </c>
      <c r="CE112" s="1654">
        <f>CE111/CD111-1</f>
        <v>7.3377234242709255E-2</v>
      </c>
      <c r="CF112" s="1654">
        <f>CF111/CE111-1</f>
        <v>6.7484662576687171E-2</v>
      </c>
      <c r="CG112" s="1654">
        <f>CG111/CF111-1</f>
        <v>0.10529556650246308</v>
      </c>
      <c r="CH112" s="1499"/>
      <c r="CI112" s="1654">
        <f>CI111/CG111-1</f>
        <v>6.2395543175487456E-2</v>
      </c>
      <c r="CJ112" s="1654">
        <f>CJ111/CI111-1</f>
        <v>6.0239628699248149E-2</v>
      </c>
      <c r="CK112" s="1654">
        <f>CK111/CJ111-1</f>
        <v>5.1945345047946567E-2</v>
      </c>
      <c r="CL112" s="1654">
        <f>CL111/CK111-1</f>
        <v>6.3354409965761915E-2</v>
      </c>
      <c r="CM112" s="1499"/>
      <c r="CN112" s="1654">
        <f>CN111/CL111-1</f>
        <v>4.0833304270286641E-2</v>
      </c>
      <c r="CO112" s="1654">
        <f>CO111/CN111-1</f>
        <v>5.4011117824798616E-2</v>
      </c>
      <c r="CP112" s="1654">
        <f>CP111/CO111-1</f>
        <v>4.8199865070365E-2</v>
      </c>
      <c r="CQ112" s="1654">
        <f>CQ111/CP111-1</f>
        <v>5.4134537730086141E-2</v>
      </c>
      <c r="CR112" s="1499"/>
      <c r="CS112" s="1654">
        <f>CS111/CQ111-1</f>
        <v>3.6171765178517168E-2</v>
      </c>
      <c r="CT112" s="1654">
        <f>CT111/CS111-1</f>
        <v>4.1539550476086484E-2</v>
      </c>
      <c r="CU112" s="1654">
        <f>CU111/CT111-1</f>
        <v>4.3415832317867054E-2</v>
      </c>
      <c r="CV112" s="1654">
        <f>CV111/CU111-1</f>
        <v>4.4846945308942843E-2</v>
      </c>
      <c r="CW112" s="1499"/>
      <c r="CZ112" s="201"/>
      <c r="DA112" s="200"/>
      <c r="DB112" s="200"/>
    </row>
    <row r="113" spans="1:112">
      <c r="A113" s="206" t="s">
        <v>859</v>
      </c>
      <c r="B113" s="192"/>
      <c r="C113" s="192"/>
      <c r="D113" s="192"/>
      <c r="E113" s="192"/>
      <c r="F113" s="137"/>
      <c r="G113" s="192"/>
      <c r="H113" s="192"/>
      <c r="I113" s="192"/>
      <c r="J113" s="192"/>
      <c r="K113" s="192"/>
      <c r="L113" s="192"/>
      <c r="M113" s="192"/>
      <c r="N113" s="192"/>
      <c r="O113" s="192"/>
      <c r="P113" s="192"/>
      <c r="Q113" s="192"/>
      <c r="R113" s="192"/>
      <c r="S113" s="843"/>
      <c r="T113" s="192"/>
      <c r="U113" s="843"/>
      <c r="V113" s="192"/>
      <c r="W113" s="192"/>
      <c r="X113" s="192"/>
      <c r="Y113" s="192"/>
      <c r="Z113" s="192"/>
      <c r="AA113" s="192"/>
      <c r="AB113" s="192"/>
      <c r="AC113" s="192"/>
      <c r="AD113" s="192"/>
      <c r="AE113" s="192"/>
      <c r="AF113" s="192"/>
      <c r="AG113" s="192"/>
      <c r="AH113" s="192"/>
      <c r="AI113" s="192"/>
      <c r="AJ113" s="192"/>
      <c r="AK113" s="192"/>
      <c r="AL113" s="192"/>
      <c r="AM113" s="192"/>
      <c r="AN113" s="192"/>
      <c r="AO113" s="192"/>
      <c r="AP113" s="192"/>
      <c r="AQ113" s="192"/>
      <c r="AR113" s="192"/>
      <c r="AS113" s="192"/>
      <c r="AT113" s="192"/>
      <c r="AU113" s="192"/>
      <c r="AV113" s="192"/>
      <c r="AW113" s="192"/>
      <c r="AX113" s="192"/>
      <c r="AY113" s="192"/>
      <c r="AZ113" s="192"/>
      <c r="BA113" s="192"/>
      <c r="BB113" s="192"/>
      <c r="BC113" s="192"/>
      <c r="BD113" s="191"/>
      <c r="BE113" s="1148"/>
      <c r="BF113" s="1353"/>
      <c r="BG113" s="1353"/>
      <c r="BH113" s="1353"/>
      <c r="BI113" s="1363"/>
      <c r="BJ113" s="1353">
        <f>BJ111-BH111</f>
        <v>96</v>
      </c>
      <c r="BK113" s="1353">
        <f>BK111-BJ111</f>
        <v>144</v>
      </c>
      <c r="BL113" s="1353">
        <f>BL111-BK111</f>
        <v>211</v>
      </c>
      <c r="BM113" s="1353">
        <f>BM111-BL111</f>
        <v>289</v>
      </c>
      <c r="BN113" s="1363">
        <f>BN111-BI111</f>
        <v>740</v>
      </c>
      <c r="BO113" s="1353">
        <f>BO111-BM111</f>
        <v>207</v>
      </c>
      <c r="BP113" s="1353">
        <f>BP111-BO111</f>
        <v>227</v>
      </c>
      <c r="BQ113" s="1353">
        <f>BQ111-BP111</f>
        <v>243</v>
      </c>
      <c r="BR113" s="1353">
        <f>BR111-BQ111</f>
        <v>256</v>
      </c>
      <c r="BS113" s="1363">
        <f>BS111-BN111</f>
        <v>933</v>
      </c>
      <c r="BT113" s="1353">
        <f>BT111-BR111</f>
        <v>215</v>
      </c>
      <c r="BU113" s="1353">
        <f>BU111-BT111</f>
        <v>264</v>
      </c>
      <c r="BV113" s="1353">
        <f>BV111-BU111</f>
        <v>290</v>
      </c>
      <c r="BW113" s="1353">
        <f>BW111-BV111</f>
        <v>236</v>
      </c>
      <c r="BX113" s="1363">
        <f>BX111-BS111</f>
        <v>1005</v>
      </c>
      <c r="BY113" s="1353">
        <f>BY111-BW111</f>
        <v>246</v>
      </c>
      <c r="BZ113" s="1353">
        <f>BZ111-BY111</f>
        <v>285</v>
      </c>
      <c r="CA113" s="1353">
        <f>CA111-BZ111</f>
        <v>285</v>
      </c>
      <c r="CB113" s="1353">
        <f>CB111-CA111</f>
        <v>289</v>
      </c>
      <c r="CC113" s="1363">
        <f>CC111-BX111</f>
        <v>1105</v>
      </c>
      <c r="CD113" s="1353">
        <f>CD111-CB111</f>
        <v>265</v>
      </c>
      <c r="CE113" s="1353">
        <f>CE111-CD111</f>
        <v>312</v>
      </c>
      <c r="CF113" s="1353">
        <f>CF111-CE111</f>
        <v>308</v>
      </c>
      <c r="CG113" s="1353">
        <f>CG111-CF111</f>
        <v>513</v>
      </c>
      <c r="CH113" s="1363">
        <f>CH111-CC111</f>
        <v>1398</v>
      </c>
      <c r="CI113" s="1353">
        <f>CI111-CG111</f>
        <v>336</v>
      </c>
      <c r="CJ113" s="1353">
        <f>CJ111-CI111</f>
        <v>344.63091578839885</v>
      </c>
      <c r="CK113" s="1353">
        <f>CK111-CJ111</f>
        <v>315.0812908541202</v>
      </c>
      <c r="CL113" s="1353">
        <f>CL111-CK111</f>
        <v>404.246257013172</v>
      </c>
      <c r="CM113" s="1363">
        <f>CM111-CH111</f>
        <v>1399.958463655691</v>
      </c>
      <c r="CN113" s="1353">
        <f>CN111-CL111</f>
        <v>277.05227340770944</v>
      </c>
      <c r="CO113" s="1353">
        <f>CO111-CN111</f>
        <v>381.42709399952491</v>
      </c>
      <c r="CP113" s="1353">
        <f>CP111-CO111</f>
        <v>358.77269911688381</v>
      </c>
      <c r="CQ113" s="1353">
        <f>CQ111-CP111</f>
        <v>422.36906032409388</v>
      </c>
      <c r="CR113" s="1363">
        <f>CR111-CM111</f>
        <v>1439.621126848212</v>
      </c>
      <c r="CS113" s="1353">
        <f>CS111-CQ111</f>
        <v>297.49756163973143</v>
      </c>
      <c r="CT113" s="1353">
        <f>CT111-CS111</f>
        <v>354.00325402257295</v>
      </c>
      <c r="CU113" s="1353">
        <f>CU111-CT111</f>
        <v>385.36241855401749</v>
      </c>
      <c r="CV113" s="1353">
        <f>CV111-CU111</f>
        <v>415.34741984212815</v>
      </c>
      <c r="CW113" s="1363">
        <f>CW111-CR111</f>
        <v>1452.21065405845</v>
      </c>
      <c r="CZ113" s="201"/>
      <c r="DA113" s="200"/>
      <c r="DB113" s="200"/>
    </row>
    <row r="114" spans="1:112">
      <c r="A114" s="1419" t="s">
        <v>858</v>
      </c>
      <c r="B114" s="192"/>
      <c r="C114" s="192"/>
      <c r="D114" s="192"/>
      <c r="E114" s="192"/>
      <c r="F114" s="137"/>
      <c r="G114" s="192"/>
      <c r="H114" s="192"/>
      <c r="I114" s="192"/>
      <c r="J114" s="192"/>
      <c r="K114" s="192"/>
      <c r="L114" s="192"/>
      <c r="M114" s="192"/>
      <c r="N114" s="192"/>
      <c r="O114" s="192"/>
      <c r="P114" s="192"/>
      <c r="Q114" s="192"/>
      <c r="R114" s="192"/>
      <c r="S114" s="843"/>
      <c r="T114" s="192"/>
      <c r="U114" s="843"/>
      <c r="V114" s="192"/>
      <c r="W114" s="192"/>
      <c r="X114" s="192"/>
      <c r="Y114" s="192"/>
      <c r="Z114" s="192"/>
      <c r="AA114" s="192"/>
      <c r="AB114" s="192"/>
      <c r="AC114" s="192"/>
      <c r="AD114" s="192"/>
      <c r="AE114" s="192"/>
      <c r="AF114" s="192"/>
      <c r="AG114" s="192"/>
      <c r="AH114" s="192"/>
      <c r="AI114" s="192"/>
      <c r="AJ114" s="192"/>
      <c r="AK114" s="192"/>
      <c r="AL114" s="192"/>
      <c r="AM114" s="192"/>
      <c r="AN114" s="192"/>
      <c r="AO114" s="192"/>
      <c r="AP114" s="192"/>
      <c r="AQ114" s="192"/>
      <c r="AR114" s="192"/>
      <c r="AS114" s="192"/>
      <c r="AT114" s="192"/>
      <c r="AU114" s="192"/>
      <c r="AV114" s="192"/>
      <c r="AW114" s="192"/>
      <c r="AX114" s="192"/>
      <c r="AY114" s="192"/>
      <c r="AZ114" s="192"/>
      <c r="BA114" s="192"/>
      <c r="BB114" s="192"/>
      <c r="BC114" s="192"/>
      <c r="BD114" s="191"/>
      <c r="BE114" s="1148"/>
      <c r="BF114" s="1353"/>
      <c r="BG114" s="1353"/>
      <c r="BH114" s="1353"/>
      <c r="BI114" s="1363"/>
      <c r="BJ114" s="1353"/>
      <c r="BK114" s="1353"/>
      <c r="BL114" s="1353"/>
      <c r="BM114" s="1353"/>
      <c r="BN114" s="1363">
        <f t="shared" ref="BN114:CM114" si="76">BN111/BI111-1</f>
        <v>3.6274509803921573</v>
      </c>
      <c r="BO114" s="310">
        <f t="shared" si="76"/>
        <v>2.8366666666666664</v>
      </c>
      <c r="BP114" s="310">
        <f t="shared" si="76"/>
        <v>2.1036036036036037</v>
      </c>
      <c r="BQ114" s="310">
        <f t="shared" si="76"/>
        <v>1.4748091603053437</v>
      </c>
      <c r="BR114" s="310">
        <f t="shared" si="76"/>
        <v>0.98834745762711873</v>
      </c>
      <c r="BS114" s="782">
        <f t="shared" si="76"/>
        <v>0.98834745762711873</v>
      </c>
      <c r="BT114" s="310">
        <f t="shared" si="76"/>
        <v>0.81754995655951346</v>
      </c>
      <c r="BU114" s="310">
        <f t="shared" si="76"/>
        <v>0.70972423802612483</v>
      </c>
      <c r="BV114" s="310">
        <f t="shared" si="76"/>
        <v>0.63232572486119687</v>
      </c>
      <c r="BW114" s="310">
        <f t="shared" si="76"/>
        <v>0.53542887586574328</v>
      </c>
      <c r="BX114" s="782">
        <f t="shared" si="76"/>
        <v>0.53542887586574328</v>
      </c>
      <c r="BY114" s="310">
        <f t="shared" si="76"/>
        <v>0.4952198852772467</v>
      </c>
      <c r="BZ114" s="310">
        <f t="shared" si="76"/>
        <v>0.44864176570458403</v>
      </c>
      <c r="CA114" s="310">
        <f t="shared" si="76"/>
        <v>0.39758125472411177</v>
      </c>
      <c r="CB114" s="310">
        <f t="shared" si="76"/>
        <v>0.38341429562803619</v>
      </c>
      <c r="CC114" s="782">
        <f t="shared" si="76"/>
        <v>0.38341429562803619</v>
      </c>
      <c r="CD114" s="310">
        <f t="shared" si="76"/>
        <v>0.35933503836317127</v>
      </c>
      <c r="CE114" s="310">
        <f t="shared" si="76"/>
        <v>0.33723996484031638</v>
      </c>
      <c r="CF114" s="310">
        <f t="shared" si="76"/>
        <v>0.31746890210924827</v>
      </c>
      <c r="CG114" s="310">
        <f t="shared" si="76"/>
        <v>0.35063957863054918</v>
      </c>
      <c r="CH114" s="782">
        <f t="shared" si="76"/>
        <v>0.35063957863054918</v>
      </c>
      <c r="CI114" s="310">
        <f t="shared" si="76"/>
        <v>0.34548447789275638</v>
      </c>
      <c r="CJ114" s="310">
        <f t="shared" si="76"/>
        <v>0.32901641450227848</v>
      </c>
      <c r="CK114" s="310">
        <f t="shared" si="76"/>
        <v>0.3096699931532263</v>
      </c>
      <c r="CL114" s="310">
        <f t="shared" si="76"/>
        <v>0.25997371655630297</v>
      </c>
      <c r="CM114" s="782">
        <f t="shared" si="76"/>
        <v>0.25997371655630297</v>
      </c>
      <c r="CN114" s="310">
        <f t="shared" ref="CN114:CW114" si="77">CN111/CI111-1</f>
        <v>0.23440145727379846</v>
      </c>
      <c r="CO114" s="310">
        <f t="shared" si="77"/>
        <v>0.22714981086109187</v>
      </c>
      <c r="CP114" s="310">
        <f t="shared" si="77"/>
        <v>0.2227805106234797</v>
      </c>
      <c r="CQ114" s="310">
        <f t="shared" si="77"/>
        <v>0.21217832571263129</v>
      </c>
      <c r="CR114" s="782">
        <f t="shared" si="77"/>
        <v>0.21217832571263129</v>
      </c>
      <c r="CS114" s="310">
        <f t="shared" si="77"/>
        <v>0.20674939042748819</v>
      </c>
      <c r="CT114" s="310">
        <f t="shared" si="77"/>
        <v>0.19247055025093163</v>
      </c>
      <c r="CU114" s="310">
        <f t="shared" si="77"/>
        <v>0.18702805940649059</v>
      </c>
      <c r="CV114" s="310">
        <f t="shared" si="77"/>
        <v>0.17656959095333846</v>
      </c>
      <c r="CW114" s="782">
        <f t="shared" si="77"/>
        <v>0.17656959095333846</v>
      </c>
      <c r="CZ114" s="201"/>
      <c r="DA114" s="200"/>
      <c r="DB114" s="200"/>
    </row>
    <row r="115" spans="1:112">
      <c r="A115" s="1419" t="s">
        <v>808</v>
      </c>
      <c r="B115" s="192"/>
      <c r="C115" s="192"/>
      <c r="D115" s="192"/>
      <c r="E115" s="192"/>
      <c r="F115" s="137"/>
      <c r="G115" s="192"/>
      <c r="H115" s="192"/>
      <c r="I115" s="192"/>
      <c r="J115" s="192"/>
      <c r="K115" s="192"/>
      <c r="L115" s="192"/>
      <c r="M115" s="192"/>
      <c r="N115" s="192"/>
      <c r="O115" s="192"/>
      <c r="P115" s="192"/>
      <c r="Q115" s="192"/>
      <c r="R115" s="192"/>
      <c r="S115" s="843"/>
      <c r="T115" s="192"/>
      <c r="U115" s="843"/>
      <c r="V115" s="192"/>
      <c r="W115" s="192"/>
      <c r="X115" s="192"/>
      <c r="Y115" s="192"/>
      <c r="Z115" s="192"/>
      <c r="AA115" s="192"/>
      <c r="AB115" s="192"/>
      <c r="AC115" s="192"/>
      <c r="AD115" s="192"/>
      <c r="AE115" s="192"/>
      <c r="AF115" s="192"/>
      <c r="AG115" s="192"/>
      <c r="AH115" s="192"/>
      <c r="AI115" s="192"/>
      <c r="AJ115" s="192"/>
      <c r="AK115" s="192"/>
      <c r="AL115" s="192"/>
      <c r="AM115" s="192"/>
      <c r="AN115" s="192"/>
      <c r="AO115" s="192"/>
      <c r="AP115" s="192"/>
      <c r="AQ115" s="192"/>
      <c r="AR115" s="192"/>
      <c r="AS115" s="192"/>
      <c r="AT115" s="192"/>
      <c r="AU115" s="192"/>
      <c r="AV115" s="192"/>
      <c r="AW115" s="192"/>
      <c r="AX115" s="192"/>
      <c r="AY115" s="192"/>
      <c r="AZ115" s="192"/>
      <c r="BA115" s="192"/>
      <c r="BB115" s="192"/>
      <c r="BC115" s="192"/>
      <c r="BD115" s="191"/>
      <c r="BE115" s="1148"/>
      <c r="BF115" s="1353"/>
      <c r="BG115" s="1353"/>
      <c r="BH115" s="1353"/>
      <c r="BI115" s="1363"/>
      <c r="BJ115" s="1353"/>
      <c r="BK115" s="1353"/>
      <c r="BL115" s="1353"/>
      <c r="BM115" s="1353"/>
      <c r="BN115" s="1363"/>
      <c r="BO115" s="310">
        <f>BO111/BM111-1</f>
        <v>0.21927966101694918</v>
      </c>
      <c r="BP115" s="310">
        <f>BP111/BO111-1</f>
        <v>0.1972198088618593</v>
      </c>
      <c r="BQ115" s="310">
        <f>BQ111/BP111-1</f>
        <v>0.17634252539912909</v>
      </c>
      <c r="BR115" s="310">
        <f>BR111/BQ111-1</f>
        <v>0.15792720542874772</v>
      </c>
      <c r="BS115" s="782"/>
      <c r="BT115" s="1646">
        <f>BT113/BR113-1</f>
        <v>-0.16015625</v>
      </c>
      <c r="BU115" s="1646">
        <f>BU113/BT113-1</f>
        <v>0.22790697674418614</v>
      </c>
      <c r="BV115" s="1646">
        <f>BV113/BU113-1</f>
        <v>9.8484848484848397E-2</v>
      </c>
      <c r="BW115" s="1646">
        <f>BW113/BV113-1</f>
        <v>-0.18620689655172418</v>
      </c>
      <c r="BX115" s="1647"/>
      <c r="BY115" s="1646">
        <f>BY113/BW113-1</f>
        <v>4.2372881355932313E-2</v>
      </c>
      <c r="BZ115" s="1646">
        <f>BZ113/BY113-1</f>
        <v>0.15853658536585358</v>
      </c>
      <c r="CA115" s="1646">
        <f>CA113/BZ113-1</f>
        <v>0</v>
      </c>
      <c r="CB115" s="1646">
        <f>CB113/CA113-1</f>
        <v>1.4035087719298289E-2</v>
      </c>
      <c r="CC115" s="1499"/>
      <c r="CD115" s="1646">
        <f>CD113/CB113-1</f>
        <v>-8.3044982698961989E-2</v>
      </c>
      <c r="CE115" s="1646">
        <f>CE113/CD113-1</f>
        <v>0.1773584905660377</v>
      </c>
      <c r="CF115" s="1646">
        <f>CF113/CE113-1</f>
        <v>-1.2820512820512775E-2</v>
      </c>
      <c r="CG115" s="1646">
        <f>CG113/CF113-1</f>
        <v>0.6655844155844155</v>
      </c>
      <c r="CH115" s="1499"/>
      <c r="CI115" s="1646">
        <f>CI113/CG113-1</f>
        <v>-0.34502923976608191</v>
      </c>
      <c r="CJ115" s="1646">
        <f>CJ113/CI113-1</f>
        <v>2.5687249370234699E-2</v>
      </c>
      <c r="CK115" s="1646">
        <f>CK113/CJ113-1</f>
        <v>-8.574281522793481E-2</v>
      </c>
      <c r="CL115" s="1646">
        <f>CL113/CK113-1</f>
        <v>0.28299035438551123</v>
      </c>
      <c r="CM115" s="1499"/>
      <c r="CN115" s="310"/>
      <c r="CO115" s="310"/>
      <c r="CP115" s="310"/>
      <c r="CQ115" s="310"/>
      <c r="CR115" s="1499">
        <f>(CR111/CC111)^(1/3)-1</f>
        <v>0.2729826680547478</v>
      </c>
      <c r="CS115" s="310"/>
      <c r="CT115" s="310"/>
      <c r="CU115" s="310"/>
      <c r="CV115" s="310"/>
      <c r="CW115" s="1499">
        <f>(CW111/CH111)^(1/3)-1</f>
        <v>0.21576193000353538</v>
      </c>
      <c r="CZ115" s="201"/>
      <c r="DA115" s="200"/>
      <c r="DB115" s="200"/>
    </row>
    <row r="116" spans="1:112">
      <c r="A116" s="206" t="s">
        <v>786</v>
      </c>
      <c r="B116" s="192"/>
      <c r="C116" s="192"/>
      <c r="D116" s="192"/>
      <c r="E116" s="192"/>
      <c r="F116" s="137"/>
      <c r="G116" s="192"/>
      <c r="H116" s="192"/>
      <c r="I116" s="192"/>
      <c r="J116" s="192"/>
      <c r="K116" s="192"/>
      <c r="L116" s="192"/>
      <c r="M116" s="192"/>
      <c r="N116" s="192"/>
      <c r="O116" s="192"/>
      <c r="P116" s="192"/>
      <c r="Q116" s="192"/>
      <c r="R116" s="192"/>
      <c r="S116" s="843"/>
      <c r="T116" s="192"/>
      <c r="U116" s="843"/>
      <c r="V116" s="192"/>
      <c r="W116" s="192"/>
      <c r="X116" s="192"/>
      <c r="Y116" s="192"/>
      <c r="Z116" s="192"/>
      <c r="AA116" s="192"/>
      <c r="AB116" s="192"/>
      <c r="AC116" s="192"/>
      <c r="AD116" s="192"/>
      <c r="AE116" s="192"/>
      <c r="AF116" s="192"/>
      <c r="AG116" s="192"/>
      <c r="AH116" s="192"/>
      <c r="AI116" s="192"/>
      <c r="AJ116" s="192"/>
      <c r="AK116" s="192"/>
      <c r="AL116" s="192"/>
      <c r="AM116" s="192"/>
      <c r="AN116" s="192"/>
      <c r="AO116" s="192"/>
      <c r="AP116" s="192"/>
      <c r="AQ116" s="192"/>
      <c r="AR116" s="192"/>
      <c r="AS116" s="192"/>
      <c r="AT116" s="192"/>
      <c r="AU116" s="192"/>
      <c r="AV116" s="192"/>
      <c r="AW116" s="192"/>
      <c r="AX116" s="192"/>
      <c r="AY116" s="192"/>
      <c r="AZ116" s="192"/>
      <c r="BA116" s="192"/>
      <c r="BB116" s="192"/>
      <c r="BC116" s="192"/>
      <c r="BD116" s="191"/>
      <c r="BE116" s="1148"/>
      <c r="BF116" s="1353"/>
      <c r="BG116" s="1353"/>
      <c r="BH116" s="1353"/>
      <c r="BI116" s="1363"/>
      <c r="BJ116" s="1353"/>
      <c r="BK116" s="1353"/>
      <c r="BL116" s="1353"/>
      <c r="BM116" s="1353"/>
      <c r="BN116" s="1363"/>
      <c r="BO116" s="1353"/>
      <c r="BP116" s="1353"/>
      <c r="BQ116" s="1353"/>
      <c r="BR116" s="1353"/>
      <c r="BS116" s="1499">
        <f>BS104/BS111</f>
        <v>0.14118273841236015</v>
      </c>
      <c r="BT116" s="310"/>
      <c r="BX116" s="1499">
        <f>BX104/BX111</f>
        <v>0.13358778625954199</v>
      </c>
      <c r="CB116" s="1353"/>
      <c r="CC116" s="1499">
        <f>CC104/CC111</f>
        <v>0.11838475043892652</v>
      </c>
      <c r="CD116" s="1353"/>
      <c r="CE116" s="1353"/>
      <c r="CF116" s="1353"/>
      <c r="CG116" s="1353"/>
      <c r="CH116" s="1499">
        <f>CH104/CH111</f>
        <v>0.11402042711234912</v>
      </c>
      <c r="CI116" s="310">
        <f>AVERAGE(CD115,BY115,BT115)</f>
        <v>-6.6942783781009887E-2</v>
      </c>
      <c r="CJ116" s="310">
        <f>AVERAGE(CE115,BZ115,BU115)</f>
        <v>0.18793401755869246</v>
      </c>
      <c r="CK116" s="310">
        <f t="shared" ref="CK116:CL116" si="78">AVERAGE(CF115,CA115,BV115)</f>
        <v>2.8554778554778542E-2</v>
      </c>
      <c r="CL116" s="310">
        <f t="shared" si="78"/>
        <v>0.16447086891732987</v>
      </c>
      <c r="CM116" s="1499">
        <f>CM104/CM111</f>
        <v>0.1218504408826438</v>
      </c>
      <c r="CN116" s="1353"/>
      <c r="CO116" s="1353"/>
      <c r="CP116" s="1353"/>
      <c r="CQ116" s="1353"/>
      <c r="CR116" s="1499">
        <f>CR104/CR111</f>
        <v>0.12321621881709785</v>
      </c>
      <c r="CS116" s="1353"/>
      <c r="CT116" s="1353"/>
      <c r="CU116" s="1353"/>
      <c r="CV116" s="1353"/>
      <c r="CW116" s="1499">
        <f>CW104/CW111</f>
        <v>0.12594517137124447</v>
      </c>
      <c r="CZ116" s="201"/>
      <c r="DA116" s="200"/>
      <c r="DB116" s="200"/>
    </row>
    <row r="117" spans="1:112">
      <c r="A117" s="206" t="s">
        <v>860</v>
      </c>
      <c r="B117" s="192"/>
      <c r="C117" s="192"/>
      <c r="D117" s="192"/>
      <c r="E117" s="192"/>
      <c r="F117" s="137"/>
      <c r="G117" s="192"/>
      <c r="H117" s="192"/>
      <c r="I117" s="192"/>
      <c r="J117" s="192"/>
      <c r="K117" s="192"/>
      <c r="L117" s="192"/>
      <c r="M117" s="192"/>
      <c r="N117" s="192"/>
      <c r="O117" s="192"/>
      <c r="P117" s="192"/>
      <c r="Q117" s="192"/>
      <c r="R117" s="192"/>
      <c r="S117" s="843"/>
      <c r="T117" s="192"/>
      <c r="U117" s="843"/>
      <c r="V117" s="192"/>
      <c r="W117" s="192"/>
      <c r="X117" s="192"/>
      <c r="Y117" s="192"/>
      <c r="Z117" s="192"/>
      <c r="AA117" s="192"/>
      <c r="AB117" s="192"/>
      <c r="AC117" s="192"/>
      <c r="AD117" s="192"/>
      <c r="AE117" s="192"/>
      <c r="AF117" s="192"/>
      <c r="AG117" s="192"/>
      <c r="AH117" s="192"/>
      <c r="AI117" s="192"/>
      <c r="AJ117" s="192"/>
      <c r="AK117" s="192"/>
      <c r="AL117" s="192"/>
      <c r="AM117" s="192"/>
      <c r="AN117" s="192"/>
      <c r="AO117" s="192"/>
      <c r="AP117" s="192"/>
      <c r="AQ117" s="192"/>
      <c r="AR117" s="192"/>
      <c r="AS117" s="192"/>
      <c r="AT117" s="192"/>
      <c r="AU117" s="192"/>
      <c r="AV117" s="192"/>
      <c r="AW117" s="192"/>
      <c r="AX117" s="192"/>
      <c r="AY117" s="192"/>
      <c r="AZ117" s="192"/>
      <c r="BA117" s="192"/>
      <c r="BB117" s="192"/>
      <c r="BC117" s="192"/>
      <c r="BD117" s="191"/>
      <c r="BE117" s="1148"/>
      <c r="BF117" s="1353"/>
      <c r="BG117" s="1353"/>
      <c r="BH117" s="1353"/>
      <c r="BI117" s="1363"/>
      <c r="BJ117" s="1353"/>
      <c r="BK117" s="1353"/>
      <c r="BL117" s="1353"/>
      <c r="BM117" s="1353"/>
      <c r="BN117" s="1363"/>
      <c r="BO117" s="1353"/>
      <c r="BP117" s="1353"/>
      <c r="BQ117" s="1353"/>
      <c r="BR117" s="1353"/>
      <c r="BS117" s="1500">
        <v>72</v>
      </c>
      <c r="BT117" s="1353"/>
      <c r="BU117" s="1353"/>
      <c r="BV117" s="1353"/>
      <c r="BW117" s="1353"/>
      <c r="BX117" s="1499"/>
      <c r="BY117" s="1353"/>
      <c r="BZ117" s="1353"/>
      <c r="CA117" s="1353"/>
      <c r="CB117" s="1353"/>
      <c r="CC117" s="1499"/>
      <c r="CD117" s="1353"/>
      <c r="CE117" s="1353"/>
      <c r="CF117" s="1353"/>
      <c r="CG117" s="1353"/>
      <c r="CH117" s="1499"/>
      <c r="CI117" s="1353"/>
      <c r="CJ117" s="1353"/>
      <c r="CK117" s="1353"/>
      <c r="CL117" s="1353"/>
      <c r="CM117" s="1499"/>
      <c r="CN117" s="1353"/>
      <c r="CO117" s="1353"/>
      <c r="CP117" s="1353"/>
      <c r="CQ117" s="1353"/>
      <c r="CR117" s="1499"/>
      <c r="CS117" s="1353"/>
      <c r="CT117" s="1353"/>
      <c r="CU117" s="1353"/>
      <c r="CV117" s="1353"/>
      <c r="CW117" s="1499"/>
      <c r="CZ117" s="201"/>
      <c r="DA117" s="200"/>
      <c r="DB117" s="200"/>
    </row>
    <row r="118" spans="1:112">
      <c r="A118" s="1419" t="s">
        <v>787</v>
      </c>
      <c r="B118" s="192"/>
      <c r="C118" s="192"/>
      <c r="D118" s="192"/>
      <c r="E118" s="192"/>
      <c r="F118" s="137"/>
      <c r="G118" s="192"/>
      <c r="H118" s="192"/>
      <c r="I118" s="192"/>
      <c r="J118" s="192"/>
      <c r="K118" s="192"/>
      <c r="L118" s="192"/>
      <c r="M118" s="192"/>
      <c r="N118" s="192"/>
      <c r="O118" s="192"/>
      <c r="P118" s="192"/>
      <c r="Q118" s="192"/>
      <c r="R118" s="192"/>
      <c r="S118" s="843"/>
      <c r="T118" s="192"/>
      <c r="U118" s="843"/>
      <c r="V118" s="192"/>
      <c r="W118" s="192"/>
      <c r="X118" s="192"/>
      <c r="Y118" s="192"/>
      <c r="Z118" s="192"/>
      <c r="AA118" s="192"/>
      <c r="AB118" s="192"/>
      <c r="AC118" s="192"/>
      <c r="AD118" s="192"/>
      <c r="AE118" s="192"/>
      <c r="AF118" s="192"/>
      <c r="AG118" s="192"/>
      <c r="AH118" s="192"/>
      <c r="AI118" s="192"/>
      <c r="AJ118" s="192"/>
      <c r="AK118" s="192"/>
      <c r="AL118" s="192"/>
      <c r="AM118" s="192"/>
      <c r="AN118" s="192"/>
      <c r="AO118" s="192"/>
      <c r="AP118" s="192"/>
      <c r="AQ118" s="192"/>
      <c r="AR118" s="192"/>
      <c r="AS118" s="192"/>
      <c r="AT118" s="192"/>
      <c r="AU118" s="192"/>
      <c r="AV118" s="192"/>
      <c r="AW118" s="192"/>
      <c r="AX118" s="192"/>
      <c r="AY118" s="192"/>
      <c r="AZ118" s="192"/>
      <c r="BA118" s="192"/>
      <c r="BB118" s="192"/>
      <c r="BC118" s="192"/>
      <c r="BD118" s="191"/>
      <c r="BE118" s="1148"/>
      <c r="BF118" s="1353"/>
      <c r="BG118" s="1353"/>
      <c r="BH118" s="1353"/>
      <c r="BI118" s="1363"/>
      <c r="BJ118" s="1353"/>
      <c r="BK118" s="1353"/>
      <c r="BL118" s="1353"/>
      <c r="BM118" s="1353"/>
      <c r="BN118" s="1363"/>
      <c r="BO118" s="1353"/>
      <c r="BP118" s="1353"/>
      <c r="BQ118" s="1353"/>
      <c r="BR118" s="1353"/>
      <c r="BS118" s="1500">
        <f>BS111-BS117</f>
        <v>1805</v>
      </c>
      <c r="BT118" s="1353"/>
      <c r="BU118" s="1353"/>
      <c r="BV118" s="1353"/>
      <c r="BW118" s="1353"/>
      <c r="BX118" s="1500">
        <f>BX111-BX117</f>
        <v>2882</v>
      </c>
      <c r="BY118" s="1353"/>
      <c r="BZ118" s="1353"/>
      <c r="CA118" s="1353"/>
      <c r="CB118" s="1353">
        <f>CB111-4014</f>
        <v>-27</v>
      </c>
      <c r="CC118" s="1500">
        <f>CC111-CC117</f>
        <v>3987</v>
      </c>
      <c r="CD118" s="1353"/>
      <c r="CE118" s="1353"/>
      <c r="CF118" s="1353"/>
      <c r="CG118" s="1353">
        <f>CG111-5231</f>
        <v>154</v>
      </c>
      <c r="CH118" s="1499"/>
      <c r="CI118" s="32"/>
      <c r="CJ118" s="32"/>
      <c r="CK118" s="32"/>
      <c r="CL118" s="32"/>
      <c r="CM118" s="1499"/>
      <c r="CN118" s="1353"/>
      <c r="CO118" s="1353"/>
      <c r="CP118" s="1353"/>
      <c r="CQ118" s="1353"/>
      <c r="CR118" s="1499"/>
      <c r="CS118" s="1353"/>
      <c r="CT118" s="1353"/>
      <c r="CU118" s="1353"/>
      <c r="CV118" s="1353"/>
      <c r="CW118" s="1499"/>
      <c r="CZ118" s="201"/>
      <c r="DA118" s="200"/>
      <c r="DB118" s="200"/>
    </row>
    <row r="119" spans="1:112">
      <c r="A119" s="1501" t="s">
        <v>559</v>
      </c>
      <c r="B119" s="192"/>
      <c r="C119" s="192"/>
      <c r="D119" s="192"/>
      <c r="E119" s="192"/>
      <c r="F119" s="137"/>
      <c r="G119" s="192"/>
      <c r="H119" s="192"/>
      <c r="I119" s="192"/>
      <c r="J119" s="192"/>
      <c r="K119" s="192"/>
      <c r="L119" s="192"/>
      <c r="M119" s="192"/>
      <c r="N119" s="192"/>
      <c r="O119" s="192"/>
      <c r="P119" s="192"/>
      <c r="Q119" s="192"/>
      <c r="R119" s="192"/>
      <c r="S119" s="843"/>
      <c r="T119" s="192"/>
      <c r="U119" s="843"/>
      <c r="V119" s="192"/>
      <c r="W119" s="192"/>
      <c r="X119" s="192"/>
      <c r="Y119" s="192"/>
      <c r="Z119" s="192"/>
      <c r="AA119" s="192"/>
      <c r="AB119" s="192"/>
      <c r="AC119" s="192"/>
      <c r="AD119" s="192"/>
      <c r="AE119" s="192"/>
      <c r="AF119" s="192"/>
      <c r="AG119" s="192"/>
      <c r="AH119" s="192"/>
      <c r="AI119" s="192"/>
      <c r="AJ119" s="192"/>
      <c r="AK119" s="192"/>
      <c r="AL119" s="192"/>
      <c r="AM119" s="192"/>
      <c r="AN119" s="192"/>
      <c r="AO119" s="192"/>
      <c r="AP119" s="192"/>
      <c r="AQ119" s="192"/>
      <c r="AR119" s="192"/>
      <c r="AS119" s="192"/>
      <c r="AT119" s="192"/>
      <c r="AU119" s="192"/>
      <c r="AV119" s="192"/>
      <c r="AW119" s="192"/>
      <c r="AX119" s="192"/>
      <c r="AY119" s="192"/>
      <c r="AZ119" s="192"/>
      <c r="BA119" s="192"/>
      <c r="BB119" s="192"/>
      <c r="BC119" s="192"/>
      <c r="BD119" s="191"/>
      <c r="BE119" s="1148"/>
      <c r="BF119" s="1353"/>
      <c r="BG119" s="1353"/>
      <c r="BH119" s="1353"/>
      <c r="BI119" s="1363"/>
      <c r="BJ119" s="1353"/>
      <c r="BK119" s="1353"/>
      <c r="BL119" s="1353"/>
      <c r="BM119" s="1353"/>
      <c r="BN119" s="1363"/>
      <c r="BO119" s="1353"/>
      <c r="BP119" s="1353"/>
      <c r="BQ119" s="1353"/>
      <c r="BR119" s="1353"/>
      <c r="BS119" s="1499">
        <f>BS118/BN111-1</f>
        <v>0.91207627118644075</v>
      </c>
      <c r="BT119" s="532"/>
      <c r="BU119" s="1353"/>
      <c r="BV119" s="1353"/>
      <c r="BW119" s="1353"/>
      <c r="BX119" s="1499">
        <f>BX118/BS118-1</f>
        <v>0.59667590027700834</v>
      </c>
      <c r="BY119" s="1353"/>
      <c r="BZ119" s="1353"/>
      <c r="CA119" s="1353"/>
      <c r="CB119" s="1353"/>
      <c r="CC119" s="1499">
        <f>CC118/BX118-1</f>
        <v>0.38341429562803619</v>
      </c>
      <c r="CD119" s="1925"/>
      <c r="CE119" s="1925"/>
      <c r="CF119" s="1925"/>
      <c r="CG119" s="1925"/>
      <c r="CH119" s="1841"/>
      <c r="CI119" s="1925"/>
      <c r="CJ119" s="1925"/>
      <c r="CK119" s="1925"/>
      <c r="CL119" s="1925"/>
      <c r="CM119" s="1841"/>
      <c r="CN119" s="1353"/>
      <c r="CO119" s="1353"/>
      <c r="CP119" s="1353"/>
      <c r="CQ119" s="1353"/>
      <c r="CR119" s="1499"/>
      <c r="CS119" s="1353"/>
      <c r="CT119" s="1353"/>
      <c r="CU119" s="1353"/>
      <c r="CV119" s="1353"/>
      <c r="CW119" s="1499"/>
      <c r="CZ119" s="201"/>
      <c r="DA119" s="200"/>
      <c r="DB119" s="200"/>
    </row>
    <row r="120" spans="1:112">
      <c r="A120" s="1501"/>
      <c r="B120" s="192"/>
      <c r="C120" s="192"/>
      <c r="D120" s="192"/>
      <c r="E120" s="192"/>
      <c r="F120" s="137"/>
      <c r="G120" s="192"/>
      <c r="H120" s="192"/>
      <c r="I120" s="192"/>
      <c r="J120" s="192"/>
      <c r="K120" s="192"/>
      <c r="L120" s="192"/>
      <c r="M120" s="192"/>
      <c r="N120" s="192"/>
      <c r="O120" s="192"/>
      <c r="P120" s="192"/>
      <c r="Q120" s="192"/>
      <c r="R120" s="192"/>
      <c r="S120" s="843"/>
      <c r="T120" s="192"/>
      <c r="U120" s="843"/>
      <c r="V120" s="192"/>
      <c r="W120" s="192"/>
      <c r="X120" s="192"/>
      <c r="Y120" s="192"/>
      <c r="Z120" s="192"/>
      <c r="AA120" s="192"/>
      <c r="AB120" s="192"/>
      <c r="AC120" s="192"/>
      <c r="AD120" s="192"/>
      <c r="AE120" s="192"/>
      <c r="AF120" s="192"/>
      <c r="AG120" s="192"/>
      <c r="AH120" s="192"/>
      <c r="AI120" s="192"/>
      <c r="AJ120" s="192"/>
      <c r="AK120" s="192"/>
      <c r="AL120" s="192"/>
      <c r="AM120" s="192"/>
      <c r="AN120" s="192"/>
      <c r="AO120" s="192"/>
      <c r="AP120" s="192"/>
      <c r="AQ120" s="192"/>
      <c r="AR120" s="192"/>
      <c r="AS120" s="192"/>
      <c r="AT120" s="192"/>
      <c r="AU120" s="192"/>
      <c r="AV120" s="192"/>
      <c r="AW120" s="192"/>
      <c r="AX120" s="192"/>
      <c r="AY120" s="192"/>
      <c r="AZ120" s="192"/>
      <c r="BA120" s="192"/>
      <c r="BB120" s="192"/>
      <c r="BC120" s="192"/>
      <c r="BD120" s="191"/>
      <c r="BE120" s="1148"/>
      <c r="BF120" s="1353"/>
      <c r="BG120" s="1353"/>
      <c r="BH120" s="1353"/>
      <c r="BI120" s="1363"/>
      <c r="BJ120" s="1353"/>
      <c r="BK120" s="1353"/>
      <c r="BL120" s="1353"/>
      <c r="BM120" s="1353"/>
      <c r="BN120" s="1363"/>
      <c r="BO120" s="1353"/>
      <c r="BP120" s="1353"/>
      <c r="BQ120" s="1353"/>
      <c r="BR120" s="1353"/>
      <c r="BS120" s="1499"/>
      <c r="BT120" s="1353"/>
      <c r="BU120" s="1353"/>
      <c r="BV120" s="1353"/>
      <c r="BW120" s="1353"/>
      <c r="BX120" s="1499"/>
      <c r="BY120" s="1353"/>
      <c r="BZ120" s="1353"/>
      <c r="CA120" s="1353"/>
      <c r="CB120" s="1353"/>
      <c r="CC120" s="1499"/>
      <c r="CD120" s="310"/>
      <c r="CE120" s="310"/>
      <c r="CF120" s="310"/>
      <c r="CG120" s="310"/>
      <c r="CH120" s="1370"/>
      <c r="CI120" s="310"/>
      <c r="CJ120" s="310"/>
      <c r="CK120" s="310"/>
      <c r="CL120" s="310"/>
      <c r="CM120" s="1370"/>
      <c r="CN120" s="1353"/>
      <c r="CO120" s="1353"/>
      <c r="CP120" s="1353"/>
      <c r="CQ120" s="1353"/>
      <c r="CR120" s="1499"/>
      <c r="CS120" s="1353"/>
      <c r="CT120" s="1353"/>
      <c r="CU120" s="1353"/>
      <c r="CV120" s="1353"/>
      <c r="CW120" s="1499"/>
      <c r="CZ120" s="201"/>
      <c r="DA120" s="200"/>
      <c r="DB120" s="200"/>
    </row>
    <row r="121" spans="1:112" s="18" customFormat="1">
      <c r="A121" s="1761" t="s">
        <v>906</v>
      </c>
      <c r="B121" s="804"/>
      <c r="C121" s="804"/>
      <c r="D121" s="804"/>
      <c r="E121" s="804"/>
      <c r="F121" s="1367"/>
      <c r="G121" s="804"/>
      <c r="H121" s="804"/>
      <c r="I121" s="804"/>
      <c r="J121" s="804"/>
      <c r="K121" s="804"/>
      <c r="L121" s="804"/>
      <c r="M121" s="804"/>
      <c r="N121" s="804"/>
      <c r="O121" s="804"/>
      <c r="P121" s="804"/>
      <c r="Q121" s="804"/>
      <c r="R121" s="804"/>
      <c r="S121" s="805"/>
      <c r="T121" s="804"/>
      <c r="U121" s="805"/>
      <c r="V121" s="804"/>
      <c r="W121" s="804"/>
      <c r="X121" s="804"/>
      <c r="Y121" s="804"/>
      <c r="Z121" s="804"/>
      <c r="AA121" s="804"/>
      <c r="AB121" s="804"/>
      <c r="AC121" s="804"/>
      <c r="AD121" s="804"/>
      <c r="AE121" s="804"/>
      <c r="AF121" s="804"/>
      <c r="AG121" s="804"/>
      <c r="AH121" s="804"/>
      <c r="AI121" s="804"/>
      <c r="AJ121" s="804"/>
      <c r="AK121" s="804"/>
      <c r="AL121" s="804"/>
      <c r="AM121" s="804"/>
      <c r="AN121" s="804"/>
      <c r="AO121" s="804"/>
      <c r="AP121" s="804"/>
      <c r="AQ121" s="804"/>
      <c r="AR121" s="804"/>
      <c r="AS121" s="804"/>
      <c r="AT121" s="804"/>
      <c r="AU121" s="804"/>
      <c r="AV121" s="804"/>
      <c r="AW121" s="804"/>
      <c r="AX121" s="804"/>
      <c r="AY121" s="804"/>
      <c r="AZ121" s="804"/>
      <c r="BA121" s="804"/>
      <c r="BB121" s="804"/>
      <c r="BC121" s="804"/>
      <c r="BD121" s="806"/>
      <c r="BE121" s="804"/>
      <c r="BF121" s="804"/>
      <c r="BG121" s="1368"/>
      <c r="BH121" s="804"/>
      <c r="BI121" s="806"/>
      <c r="BJ121" s="804"/>
      <c r="BK121" s="804"/>
      <c r="BL121" s="804"/>
      <c r="BM121" s="804"/>
      <c r="BN121" s="806"/>
      <c r="BO121" s="804"/>
      <c r="BP121" s="804"/>
      <c r="BQ121" s="804"/>
      <c r="BR121" s="804"/>
      <c r="BS121" s="806">
        <v>2190</v>
      </c>
      <c r="BT121" s="804"/>
      <c r="BU121" s="804"/>
      <c r="BV121" s="804"/>
      <c r="BW121" s="804"/>
      <c r="BX121" s="806">
        <v>2890</v>
      </c>
      <c r="BY121" s="804"/>
      <c r="BZ121" s="804"/>
      <c r="CA121" s="804"/>
      <c r="CB121" s="1762"/>
      <c r="CC121" s="1370">
        <v>3400</v>
      </c>
      <c r="CD121" s="804"/>
      <c r="CE121" s="804"/>
      <c r="CF121" s="804"/>
      <c r="CG121" s="804"/>
      <c r="CH121" s="1370">
        <v>3900</v>
      </c>
      <c r="CI121" s="1369"/>
      <c r="CJ121" s="804"/>
      <c r="CK121" s="804"/>
      <c r="CL121" s="804"/>
      <c r="CM121" s="806"/>
      <c r="CN121" s="804"/>
      <c r="CO121" s="804"/>
      <c r="CP121" s="804"/>
      <c r="CQ121" s="804"/>
      <c r="CR121" s="806"/>
      <c r="CS121" s="804"/>
      <c r="CT121" s="804"/>
      <c r="CU121" s="804"/>
      <c r="CV121" s="804"/>
      <c r="CW121" s="806"/>
      <c r="CZ121" s="415"/>
      <c r="DA121" s="414"/>
      <c r="DB121" s="414"/>
      <c r="DC121"/>
      <c r="DD121"/>
      <c r="DE121"/>
      <c r="DF121"/>
      <c r="DG121"/>
      <c r="DH121"/>
    </row>
    <row r="122" spans="1:112">
      <c r="A122" s="1501"/>
      <c r="B122" s="192"/>
      <c r="C122" s="192"/>
      <c r="D122" s="192"/>
      <c r="E122" s="192"/>
      <c r="F122" s="137"/>
      <c r="G122" s="192"/>
      <c r="H122" s="192"/>
      <c r="I122" s="192"/>
      <c r="J122" s="192"/>
      <c r="K122" s="192"/>
      <c r="L122" s="192"/>
      <c r="M122" s="192"/>
      <c r="N122" s="192"/>
      <c r="O122" s="192"/>
      <c r="P122" s="192"/>
      <c r="Q122" s="192"/>
      <c r="R122" s="192"/>
      <c r="S122" s="843"/>
      <c r="T122" s="192"/>
      <c r="U122" s="843"/>
      <c r="V122" s="192"/>
      <c r="W122" s="192"/>
      <c r="X122" s="192"/>
      <c r="Y122" s="192"/>
      <c r="Z122" s="192"/>
      <c r="AA122" s="192"/>
      <c r="AB122" s="192"/>
      <c r="AC122" s="192"/>
      <c r="AD122" s="192"/>
      <c r="AE122" s="192"/>
      <c r="AF122" s="192"/>
      <c r="AG122" s="192"/>
      <c r="AH122" s="192"/>
      <c r="AI122" s="192"/>
      <c r="AJ122" s="192"/>
      <c r="AK122" s="192"/>
      <c r="AL122" s="192"/>
      <c r="AM122" s="192"/>
      <c r="AN122" s="192"/>
      <c r="AO122" s="192"/>
      <c r="AP122" s="192"/>
      <c r="AQ122" s="192"/>
      <c r="AR122" s="192"/>
      <c r="AS122" s="192"/>
      <c r="AT122" s="192"/>
      <c r="AU122" s="192"/>
      <c r="AV122" s="192"/>
      <c r="AW122" s="192"/>
      <c r="AX122" s="192"/>
      <c r="AY122" s="192"/>
      <c r="AZ122" s="192"/>
      <c r="BA122" s="192"/>
      <c r="BB122" s="192"/>
      <c r="BC122" s="192"/>
      <c r="BD122" s="191"/>
      <c r="BE122" s="1148"/>
      <c r="BF122" s="1353"/>
      <c r="BG122" s="1353"/>
      <c r="BH122" s="1353"/>
      <c r="BI122" s="1363"/>
      <c r="BJ122" s="1353"/>
      <c r="BK122" s="1353"/>
      <c r="BL122" s="1353"/>
      <c r="BM122" s="1353"/>
      <c r="BN122" s="1363"/>
      <c r="BO122" s="1353"/>
      <c r="BP122" s="1353"/>
      <c r="BQ122" s="1353"/>
      <c r="BR122" s="1353"/>
      <c r="BS122" s="1499"/>
      <c r="BT122" s="1353"/>
      <c r="BU122" s="1353"/>
      <c r="BV122" s="1353"/>
      <c r="BW122" s="1353"/>
      <c r="BX122" s="1841">
        <f>BX121-BS121+BS!BY28-BS!BT28+BS!BY39-BS!BT39+Model!BY24</f>
        <v>5825.4809999999998</v>
      </c>
      <c r="BY122" s="1353"/>
      <c r="BZ122" s="1353"/>
      <c r="CA122" s="1353"/>
      <c r="CB122" s="1353"/>
      <c r="CC122" s="1841">
        <f>CC121-BX121+BS!CD28-BS!BY28+BS!CD39-BS!BY39+Model!CD24</f>
        <v>6893.8860000000004</v>
      </c>
      <c r="CD122" s="1353"/>
      <c r="CE122" s="1353"/>
      <c r="CF122" s="1353"/>
      <c r="CG122" s="1353"/>
      <c r="CH122" s="1841">
        <f>CH121-CC121+BS!CI28-BS!CD28+BS!CI39-BS!CD39+Model!CI24</f>
        <v>8281.2970000000005</v>
      </c>
      <c r="CI122" s="1353"/>
      <c r="CJ122" s="1353"/>
      <c r="CK122" s="1353"/>
      <c r="CL122" s="1353"/>
      <c r="CM122" s="1499"/>
      <c r="CN122" s="1353"/>
      <c r="CO122" s="1353"/>
      <c r="CP122" s="1353"/>
      <c r="CQ122" s="1353"/>
      <c r="CR122" s="1499"/>
      <c r="CS122" s="1353"/>
      <c r="CT122" s="1353"/>
      <c r="CU122" s="1353"/>
      <c r="CV122" s="1353"/>
      <c r="CW122" s="1499"/>
      <c r="CZ122" s="201"/>
      <c r="DA122" s="200"/>
      <c r="DB122" s="200"/>
    </row>
    <row r="123" spans="1:112">
      <c r="A123" s="1501"/>
      <c r="B123" s="192"/>
      <c r="C123" s="192"/>
      <c r="D123" s="192"/>
      <c r="E123" s="192"/>
      <c r="F123" s="137"/>
      <c r="G123" s="192"/>
      <c r="H123" s="192"/>
      <c r="I123" s="192"/>
      <c r="J123" s="192"/>
      <c r="K123" s="192"/>
      <c r="L123" s="192"/>
      <c r="M123" s="192"/>
      <c r="N123" s="192"/>
      <c r="O123" s="192"/>
      <c r="P123" s="192"/>
      <c r="Q123" s="192"/>
      <c r="R123" s="192"/>
      <c r="S123" s="843"/>
      <c r="T123" s="192"/>
      <c r="U123" s="843"/>
      <c r="V123" s="192"/>
      <c r="W123" s="192"/>
      <c r="X123" s="192"/>
      <c r="Y123" s="192"/>
      <c r="Z123" s="192"/>
      <c r="AA123" s="192"/>
      <c r="AB123" s="192"/>
      <c r="AC123" s="192"/>
      <c r="AD123" s="192"/>
      <c r="AE123" s="192"/>
      <c r="AF123" s="192"/>
      <c r="AG123" s="192"/>
      <c r="AH123" s="192"/>
      <c r="AI123" s="192"/>
      <c r="AJ123" s="192"/>
      <c r="AK123" s="192"/>
      <c r="AL123" s="192"/>
      <c r="AM123" s="192"/>
      <c r="AN123" s="192"/>
      <c r="AO123" s="192"/>
      <c r="AP123" s="192"/>
      <c r="AQ123" s="192"/>
      <c r="AR123" s="192"/>
      <c r="AS123" s="192"/>
      <c r="AT123" s="192"/>
      <c r="AU123" s="192"/>
      <c r="AV123" s="192"/>
      <c r="AW123" s="192"/>
      <c r="AX123" s="192"/>
      <c r="AY123" s="192"/>
      <c r="AZ123" s="192"/>
      <c r="BA123" s="192"/>
      <c r="BB123" s="192"/>
      <c r="BC123" s="192"/>
      <c r="BD123" s="191"/>
      <c r="BE123" s="1148"/>
      <c r="BF123" s="1353"/>
      <c r="BG123" s="1353"/>
      <c r="BH123" s="1353"/>
      <c r="BI123" s="1363"/>
      <c r="BJ123" s="1353"/>
      <c r="BK123" s="1353"/>
      <c r="BL123" s="1353"/>
      <c r="BM123" s="1353"/>
      <c r="BN123" s="1363"/>
      <c r="BO123" s="1353"/>
      <c r="BP123" s="1353"/>
      <c r="BQ123" s="1353"/>
      <c r="BR123" s="1353"/>
      <c r="BS123" s="1499"/>
      <c r="BT123" s="1353"/>
      <c r="BU123" s="1353"/>
      <c r="BV123" s="1353"/>
      <c r="BW123" s="1353"/>
      <c r="BX123" s="1841"/>
      <c r="BY123" s="1353"/>
      <c r="BZ123" s="1353"/>
      <c r="CA123" s="1353"/>
      <c r="CB123" s="1353"/>
      <c r="CC123" s="533">
        <f>CC122/BX122-1</f>
        <v>0.18340202294025176</v>
      </c>
      <c r="CD123" s="192"/>
      <c r="CE123" s="192"/>
      <c r="CF123" s="192"/>
      <c r="CG123" s="192"/>
      <c r="CH123" s="533">
        <f>CH122/CC122-1</f>
        <v>0.20125238508440657</v>
      </c>
      <c r="CI123" s="1353"/>
      <c r="CJ123" s="1353"/>
      <c r="CK123" s="1353"/>
      <c r="CL123" s="1353"/>
      <c r="CM123" s="1499"/>
      <c r="CN123" s="1353"/>
      <c r="CO123" s="1353"/>
      <c r="CP123" s="1353"/>
      <c r="CQ123" s="1353"/>
      <c r="CR123" s="1499"/>
      <c r="CS123" s="1353"/>
      <c r="CT123" s="1353"/>
      <c r="CU123" s="1353"/>
      <c r="CV123" s="1353"/>
      <c r="CW123" s="1499"/>
      <c r="CZ123" s="201"/>
      <c r="DA123" s="200"/>
      <c r="DB123" s="200"/>
    </row>
    <row r="124" spans="1:112">
      <c r="A124" s="1147" t="s">
        <v>877</v>
      </c>
      <c r="B124" s="192"/>
      <c r="C124" s="192"/>
      <c r="D124" s="192"/>
      <c r="E124" s="192"/>
      <c r="F124" s="137"/>
      <c r="G124" s="192"/>
      <c r="H124" s="192"/>
      <c r="I124" s="192"/>
      <c r="J124" s="192"/>
      <c r="K124" s="192"/>
      <c r="L124" s="192"/>
      <c r="M124" s="192"/>
      <c r="N124" s="192"/>
      <c r="O124" s="192"/>
      <c r="P124" s="192"/>
      <c r="Q124" s="192"/>
      <c r="R124" s="192"/>
      <c r="S124" s="843"/>
      <c r="T124" s="192"/>
      <c r="U124" s="843"/>
      <c r="V124" s="192"/>
      <c r="W124" s="192"/>
      <c r="X124" s="192"/>
      <c r="Y124" s="192"/>
      <c r="Z124" s="192"/>
      <c r="AA124" s="192"/>
      <c r="AB124" s="192"/>
      <c r="AC124" s="192"/>
      <c r="AD124" s="192"/>
      <c r="AE124" s="192"/>
      <c r="AF124" s="192"/>
      <c r="AG124" s="192"/>
      <c r="AH124" s="192"/>
      <c r="AI124" s="192"/>
      <c r="AJ124" s="192"/>
      <c r="AK124" s="192"/>
      <c r="AL124" s="192"/>
      <c r="AM124" s="192"/>
      <c r="AN124" s="192"/>
      <c r="AO124" s="192"/>
      <c r="AP124" s="192"/>
      <c r="AQ124" s="192"/>
      <c r="AR124" s="192"/>
      <c r="AS124" s="192"/>
      <c r="AT124" s="192"/>
      <c r="AU124" s="192"/>
      <c r="AV124" s="192"/>
      <c r="AW124" s="192"/>
      <c r="AX124" s="192"/>
      <c r="AY124" s="192"/>
      <c r="AZ124" s="192"/>
      <c r="BA124" s="192"/>
      <c r="BB124" s="192"/>
      <c r="BC124" s="192"/>
      <c r="BD124" s="191"/>
      <c r="BE124" s="1148"/>
      <c r="BF124" s="1148"/>
      <c r="BG124" s="1353"/>
      <c r="BH124" s="192"/>
      <c r="BI124" s="191"/>
      <c r="BJ124" s="192"/>
      <c r="BK124" s="192"/>
      <c r="BL124" s="192"/>
      <c r="BM124" s="192"/>
      <c r="BN124" s="191"/>
      <c r="BO124" s="192"/>
      <c r="BP124" s="192"/>
      <c r="BQ124" s="192"/>
      <c r="BR124" s="192"/>
      <c r="BS124" s="191"/>
      <c r="BT124" s="192"/>
      <c r="BU124" s="192"/>
      <c r="BV124" s="192"/>
      <c r="BW124" s="192"/>
      <c r="BX124" s="191"/>
      <c r="BY124" s="192"/>
      <c r="BZ124" s="192"/>
      <c r="CA124" s="192"/>
      <c r="CB124" s="193"/>
      <c r="CC124" s="1521"/>
      <c r="CG124" s="193"/>
      <c r="CH124" s="1521"/>
      <c r="CJ124" s="192"/>
      <c r="CK124" s="192"/>
      <c r="CL124" s="192"/>
      <c r="CM124" s="191"/>
      <c r="CN124" s="192"/>
      <c r="CO124" s="192"/>
      <c r="CP124" s="192"/>
      <c r="CQ124" s="192"/>
      <c r="CR124" s="191"/>
      <c r="CS124" s="192"/>
      <c r="CT124" s="192"/>
      <c r="CU124" s="192"/>
      <c r="CV124" s="192"/>
      <c r="CW124" s="191"/>
      <c r="CZ124" s="201"/>
      <c r="DA124" s="200"/>
      <c r="DB124" s="200"/>
    </row>
    <row r="125" spans="1:112" s="1825" customFormat="1">
      <c r="A125" s="1822" t="s">
        <v>596</v>
      </c>
      <c r="B125" s="1369"/>
      <c r="C125" s="1369"/>
      <c r="D125" s="1369"/>
      <c r="E125" s="1369"/>
      <c r="F125" s="1823"/>
      <c r="G125" s="1369"/>
      <c r="H125" s="1369"/>
      <c r="I125" s="1369"/>
      <c r="J125" s="1369"/>
      <c r="K125" s="1369"/>
      <c r="L125" s="1369"/>
      <c r="M125" s="1369"/>
      <c r="N125" s="1369"/>
      <c r="O125" s="1369"/>
      <c r="P125" s="1369"/>
      <c r="Q125" s="1369"/>
      <c r="R125" s="1369"/>
      <c r="S125" s="1369"/>
      <c r="T125" s="1369"/>
      <c r="U125" s="1369"/>
      <c r="V125" s="1369"/>
      <c r="W125" s="1369"/>
      <c r="X125" s="1369"/>
      <c r="Y125" s="1369"/>
      <c r="Z125" s="1369"/>
      <c r="AA125" s="1369"/>
      <c r="AB125" s="1369"/>
      <c r="AC125" s="1369"/>
      <c r="AD125" s="1369"/>
      <c r="AE125" s="1369"/>
      <c r="AF125" s="1369"/>
      <c r="AG125" s="1369"/>
      <c r="AH125" s="1369"/>
      <c r="AI125" s="1369"/>
      <c r="AJ125" s="1369"/>
      <c r="AK125" s="1369"/>
      <c r="AL125" s="1369"/>
      <c r="AM125" s="1369"/>
      <c r="AN125" s="1369"/>
      <c r="AO125" s="1369"/>
      <c r="AP125" s="1369"/>
      <c r="AQ125" s="1369"/>
      <c r="AR125" s="1369"/>
      <c r="AS125" s="1369"/>
      <c r="AT125" s="1369"/>
      <c r="AU125" s="1369"/>
      <c r="AV125" s="1369"/>
      <c r="AW125" s="1369"/>
      <c r="AX125" s="1369"/>
      <c r="AY125" s="1369"/>
      <c r="AZ125" s="1369"/>
      <c r="BA125" s="1369"/>
      <c r="BB125" s="1369"/>
      <c r="BC125" s="1369"/>
      <c r="BD125" s="1370"/>
      <c r="BE125" s="1369"/>
      <c r="BF125" s="1369"/>
      <c r="BG125" s="1369"/>
      <c r="BH125" s="1369"/>
      <c r="BI125" s="1370"/>
      <c r="BJ125" s="1369">
        <v>69</v>
      </c>
      <c r="BK125" s="1369">
        <v>94.5</v>
      </c>
      <c r="BL125" s="1369">
        <v>129.6</v>
      </c>
      <c r="BM125" s="1369">
        <v>178.79999999999995</v>
      </c>
      <c r="BN125" s="1370">
        <f t="shared" ref="BN125:BN133" si="79">SUM(BJ125:BM125)</f>
        <v>471.9</v>
      </c>
      <c r="BO125" s="1369">
        <v>238</v>
      </c>
      <c r="BP125" s="1369">
        <v>282.8</v>
      </c>
      <c r="BQ125" s="1369">
        <v>342.1</v>
      </c>
      <c r="BR125" s="1369">
        <v>405.4</v>
      </c>
      <c r="BS125" s="1370">
        <f t="shared" ref="BS125:BS133" si="80">SUM(BO125:BR125)</f>
        <v>1268.3</v>
      </c>
      <c r="BT125" s="1369">
        <v>483.8</v>
      </c>
      <c r="BU125" s="1369">
        <v>534.20000000000005</v>
      </c>
      <c r="BV125" s="1369">
        <v>588.29999999999995</v>
      </c>
      <c r="BW125" s="1369">
        <v>658.39999999999986</v>
      </c>
      <c r="BX125" s="1370">
        <f t="shared" ref="BX125:BX133" si="81">SUM(BT125:BW125)</f>
        <v>2264.6999999999998</v>
      </c>
      <c r="BY125" s="1369">
        <v>781.9</v>
      </c>
      <c r="BZ125" s="1369">
        <v>797.8</v>
      </c>
      <c r="CA125" s="1369">
        <v>858.5</v>
      </c>
      <c r="CB125" s="1824">
        <v>932.60000000000036</v>
      </c>
      <c r="CC125" s="1370">
        <f t="shared" ref="CC125:CC133" si="82">SUM(BY125:CB125)</f>
        <v>3370.8</v>
      </c>
      <c r="CD125" s="1369">
        <v>1006.9</v>
      </c>
      <c r="CE125" s="1369">
        <v>1082.4000000000001</v>
      </c>
      <c r="CF125" s="1369">
        <v>1149.5</v>
      </c>
      <c r="CG125" s="1824">
        <f>4408.8-SUM(CD125:CF125)</f>
        <v>1170</v>
      </c>
      <c r="CH125" s="1824">
        <f>SUM(CD125:CG125)</f>
        <v>4408.8</v>
      </c>
      <c r="CI125" s="1369"/>
      <c r="CJ125" s="1369"/>
      <c r="CK125" s="1369"/>
      <c r="CL125" s="1369"/>
      <c r="CM125" s="1370"/>
      <c r="CN125" s="1369"/>
      <c r="CO125" s="1369"/>
      <c r="CP125" s="1369"/>
      <c r="CQ125" s="1369"/>
      <c r="CR125" s="1370"/>
      <c r="CS125" s="1369"/>
      <c r="CT125" s="1369"/>
      <c r="CU125" s="1369"/>
      <c r="CV125" s="1369"/>
      <c r="CW125" s="1370"/>
      <c r="CZ125" s="1826"/>
      <c r="DA125" s="1827"/>
      <c r="DB125" s="1827"/>
      <c r="DC125"/>
      <c r="DD125"/>
      <c r="DE125"/>
      <c r="DF125"/>
      <c r="DG125"/>
      <c r="DH125"/>
    </row>
    <row r="126" spans="1:112" s="1754" customFormat="1">
      <c r="A126" s="1757" t="s">
        <v>559</v>
      </c>
      <c r="B126" s="158"/>
      <c r="C126" s="158"/>
      <c r="D126" s="158"/>
      <c r="E126" s="158"/>
      <c r="F126" s="1750"/>
      <c r="G126" s="158"/>
      <c r="H126" s="158"/>
      <c r="I126" s="158"/>
      <c r="J126" s="158"/>
      <c r="K126" s="158"/>
      <c r="L126" s="158"/>
      <c r="M126" s="158"/>
      <c r="N126" s="158"/>
      <c r="O126" s="158"/>
      <c r="P126" s="158"/>
      <c r="Q126" s="158"/>
      <c r="R126" s="158"/>
      <c r="S126" s="1751"/>
      <c r="T126" s="158"/>
      <c r="U126" s="1751"/>
      <c r="V126" s="158"/>
      <c r="W126" s="158"/>
      <c r="X126" s="158"/>
      <c r="Y126" s="158"/>
      <c r="Z126" s="158"/>
      <c r="AA126" s="158"/>
      <c r="AB126" s="158"/>
      <c r="AC126" s="158"/>
      <c r="AD126" s="158"/>
      <c r="AE126" s="158"/>
      <c r="AF126" s="158"/>
      <c r="AG126" s="158"/>
      <c r="AH126" s="158"/>
      <c r="AI126" s="158"/>
      <c r="AJ126" s="158"/>
      <c r="AK126" s="158"/>
      <c r="AL126" s="158"/>
      <c r="AM126" s="158"/>
      <c r="AN126" s="158"/>
      <c r="AO126" s="158"/>
      <c r="AP126" s="158"/>
      <c r="AQ126" s="158"/>
      <c r="AR126" s="158"/>
      <c r="AS126" s="158"/>
      <c r="AT126" s="158"/>
      <c r="AU126" s="158"/>
      <c r="AV126" s="158"/>
      <c r="AW126" s="158"/>
      <c r="AX126" s="158"/>
      <c r="AY126" s="158"/>
      <c r="AZ126" s="158"/>
      <c r="BA126" s="158"/>
      <c r="BB126" s="158"/>
      <c r="BC126" s="158"/>
      <c r="BD126" s="160"/>
      <c r="BE126" s="158"/>
      <c r="BF126" s="158"/>
      <c r="BG126" s="1752"/>
      <c r="BH126" s="158"/>
      <c r="BI126" s="160"/>
      <c r="BJ126" s="158"/>
      <c r="BK126" s="158"/>
      <c r="BL126" s="158"/>
      <c r="BM126" s="158"/>
      <c r="BN126" s="160"/>
      <c r="BO126" s="282">
        <f>BO125/BJ125-1</f>
        <v>2.4492753623188408</v>
      </c>
      <c r="BP126" s="282">
        <f t="shared" ref="BP126:BS126" si="83">BP125/BK125-1</f>
        <v>1.9925925925925929</v>
      </c>
      <c r="BQ126" s="282">
        <f t="shared" si="83"/>
        <v>1.6396604938271606</v>
      </c>
      <c r="BR126" s="282">
        <f t="shared" si="83"/>
        <v>1.2673378076062645</v>
      </c>
      <c r="BS126" s="1753">
        <f t="shared" si="83"/>
        <v>1.6876456876456878</v>
      </c>
      <c r="BT126" s="282">
        <f t="shared" ref="BT126" si="84">BT125/BO125-1</f>
        <v>1.0327731092436974</v>
      </c>
      <c r="BU126" s="282">
        <f t="shared" ref="BU126" si="85">BU125/BP125-1</f>
        <v>0.88896746817538896</v>
      </c>
      <c r="BV126" s="282">
        <f t="shared" ref="BV126" si="86">BV125/BQ125-1</f>
        <v>0.71967261034785124</v>
      </c>
      <c r="BW126" s="282">
        <f t="shared" ref="BW126" si="87">BW125/BR125-1</f>
        <v>0.62407498766650193</v>
      </c>
      <c r="BX126" s="1753">
        <f t="shared" ref="BX126" si="88">BX125/BS125-1</f>
        <v>0.78561854450839697</v>
      </c>
      <c r="BY126" s="282">
        <f t="shared" ref="BY126" si="89">BY125/BT125-1</f>
        <v>0.61616370400992126</v>
      </c>
      <c r="BZ126" s="282">
        <f t="shared" ref="BZ126" si="90">BZ125/BU125-1</f>
        <v>0.49344814676151239</v>
      </c>
      <c r="CA126" s="282">
        <f t="shared" ref="CA126" si="91">CA125/BV125-1</f>
        <v>0.45928947815740284</v>
      </c>
      <c r="CB126" s="1755">
        <f t="shared" ref="CB126" si="92">CB125/BW125-1</f>
        <v>0.41646415552855487</v>
      </c>
      <c r="CC126" s="1753">
        <f t="shared" ref="CC126" si="93">CC125/BX125-1</f>
        <v>0.48840906080275559</v>
      </c>
      <c r="CD126" s="282">
        <f t="shared" ref="CD126" si="94">CD125/BY125-1</f>
        <v>0.28776058319478204</v>
      </c>
      <c r="CE126" s="282">
        <f t="shared" ref="CE126" si="95">CE125/BZ125-1</f>
        <v>0.35673101027826548</v>
      </c>
      <c r="CF126" s="282">
        <f t="shared" ref="CF126" si="96">CF125/CA125-1</f>
        <v>0.33896330809551545</v>
      </c>
      <c r="CG126" s="1755">
        <f t="shared" ref="CG126:CH126" si="97">CG125/CB125-1</f>
        <v>0.25455715204803719</v>
      </c>
      <c r="CH126" s="1755">
        <f t="shared" si="97"/>
        <v>0.30793876824492705</v>
      </c>
      <c r="CI126" s="158"/>
      <c r="CJ126" s="158"/>
      <c r="CK126" s="158"/>
      <c r="CL126" s="158"/>
      <c r="CM126" s="160"/>
      <c r="CN126" s="158"/>
      <c r="CO126" s="158"/>
      <c r="CP126" s="158"/>
      <c r="CQ126" s="158"/>
      <c r="CR126" s="160"/>
      <c r="CS126" s="158"/>
      <c r="CT126" s="158"/>
      <c r="CU126" s="158"/>
      <c r="CV126" s="158"/>
      <c r="CW126" s="160"/>
      <c r="CZ126" s="171"/>
      <c r="DA126" s="170"/>
      <c r="DB126" s="170"/>
      <c r="DC126"/>
      <c r="DD126"/>
      <c r="DE126"/>
      <c r="DF126"/>
      <c r="DG126"/>
      <c r="DH126"/>
    </row>
    <row r="127" spans="1:112" s="1754" customFormat="1">
      <c r="A127" s="1758" t="s">
        <v>808</v>
      </c>
      <c r="B127" s="282"/>
      <c r="C127" s="282"/>
      <c r="D127" s="282"/>
      <c r="E127" s="282"/>
      <c r="F127" s="162"/>
      <c r="G127" s="282"/>
      <c r="H127" s="282"/>
      <c r="I127" s="282"/>
      <c r="J127" s="282"/>
      <c r="K127" s="282"/>
      <c r="L127" s="282"/>
      <c r="M127" s="282"/>
      <c r="N127" s="282"/>
      <c r="O127" s="282"/>
      <c r="P127" s="282"/>
      <c r="Q127" s="282"/>
      <c r="R127" s="282"/>
      <c r="S127" s="282"/>
      <c r="T127" s="282"/>
      <c r="U127" s="282"/>
      <c r="V127" s="282"/>
      <c r="W127" s="282"/>
      <c r="X127" s="282"/>
      <c r="Y127" s="282"/>
      <c r="Z127" s="282"/>
      <c r="AA127" s="282"/>
      <c r="AB127" s="282"/>
      <c r="AC127" s="282"/>
      <c r="AD127" s="282"/>
      <c r="AE127" s="282"/>
      <c r="AF127" s="282"/>
      <c r="AG127" s="282"/>
      <c r="AH127" s="282"/>
      <c r="AI127" s="282"/>
      <c r="AJ127" s="282"/>
      <c r="AK127" s="282"/>
      <c r="AL127" s="282"/>
      <c r="AM127" s="282"/>
      <c r="AN127" s="282"/>
      <c r="AO127" s="282"/>
      <c r="AP127" s="282"/>
      <c r="AQ127" s="282"/>
      <c r="AR127" s="282"/>
      <c r="AS127" s="282"/>
      <c r="AT127" s="282"/>
      <c r="AU127" s="282"/>
      <c r="AV127" s="282"/>
      <c r="AW127" s="282"/>
      <c r="AX127" s="282"/>
      <c r="AY127" s="282"/>
      <c r="AZ127" s="282"/>
      <c r="BA127" s="282"/>
      <c r="BB127" s="282"/>
      <c r="BC127" s="282"/>
      <c r="BD127" s="1753"/>
      <c r="BE127" s="282"/>
      <c r="BF127" s="282"/>
      <c r="BG127" s="282"/>
      <c r="BH127" s="282"/>
      <c r="BI127" s="1753"/>
      <c r="BJ127" s="282"/>
      <c r="BK127" s="282">
        <f>BK125/BJ125-1</f>
        <v>0.36956521739130443</v>
      </c>
      <c r="BL127" s="282">
        <f t="shared" ref="BL127:BM127" si="98">BL125/BK125-1</f>
        <v>0.37142857142857144</v>
      </c>
      <c r="BM127" s="282">
        <f t="shared" si="98"/>
        <v>0.37962962962962932</v>
      </c>
      <c r="BN127" s="1753"/>
      <c r="BO127" s="282">
        <f>BO125/BM125-1</f>
        <v>0.33109619686800928</v>
      </c>
      <c r="BP127" s="282">
        <f>BP125/BO125-1</f>
        <v>0.18823529411764706</v>
      </c>
      <c r="BQ127" s="282">
        <f t="shared" ref="BQ127" si="99">BQ125/BP125-1</f>
        <v>0.20968882602545968</v>
      </c>
      <c r="BR127" s="282">
        <f t="shared" ref="BR127" si="100">BR125/BQ125-1</f>
        <v>0.18503361590178291</v>
      </c>
      <c r="BS127" s="1753"/>
      <c r="BT127" s="282">
        <f>BT125/BR125-1</f>
        <v>0.19338924518993594</v>
      </c>
      <c r="BU127" s="282">
        <f>BU125/BT125-1</f>
        <v>0.10417527904092605</v>
      </c>
      <c r="BV127" s="282">
        <f t="shared" ref="BV127" si="101">BV125/BU125-1</f>
        <v>0.10127293148633454</v>
      </c>
      <c r="BW127" s="282">
        <f t="shared" ref="BW127" si="102">BW125/BV125-1</f>
        <v>0.1191568927417983</v>
      </c>
      <c r="BX127" s="1753"/>
      <c r="BY127" s="282">
        <f>BY125/BW125-1</f>
        <v>0.18757594167679237</v>
      </c>
      <c r="BZ127" s="282">
        <f>BZ125/BY125-1</f>
        <v>2.0335081212431216E-2</v>
      </c>
      <c r="CA127" s="282">
        <f t="shared" ref="CA127" si="103">CA125/BZ125-1</f>
        <v>7.6084231637001842E-2</v>
      </c>
      <c r="CB127" s="1755">
        <f t="shared" ref="CB127" si="104">CB125/CA125-1</f>
        <v>8.6313337216074926E-2</v>
      </c>
      <c r="CC127" s="1753"/>
      <c r="CD127" s="282">
        <f>CD125/CB125-1</f>
        <v>7.9669740510400544E-2</v>
      </c>
      <c r="CE127" s="282">
        <f>CE125/CD125-1</f>
        <v>7.4982619922534521E-2</v>
      </c>
      <c r="CF127" s="282">
        <f t="shared" ref="CF127" si="105">CF125/CE125-1</f>
        <v>6.1991869918699205E-2</v>
      </c>
      <c r="CG127" s="1755">
        <f t="shared" ref="CG127" si="106">CG125/CF125-1</f>
        <v>1.7833840800348E-2</v>
      </c>
      <c r="CH127" s="1755"/>
      <c r="CI127" s="158"/>
      <c r="CJ127" s="158"/>
      <c r="CK127" s="158"/>
      <c r="CL127" s="158"/>
      <c r="CM127" s="160"/>
      <c r="CN127" s="158"/>
      <c r="CO127" s="158"/>
      <c r="CP127" s="158"/>
      <c r="CQ127" s="158"/>
      <c r="CR127" s="160"/>
      <c r="CS127" s="158"/>
      <c r="CT127" s="158"/>
      <c r="CU127" s="158"/>
      <c r="CV127" s="158"/>
      <c r="CW127" s="160"/>
      <c r="CZ127" s="171"/>
      <c r="DA127" s="170"/>
      <c r="DB127" s="170"/>
      <c r="DC127"/>
      <c r="DD127"/>
      <c r="DE127"/>
      <c r="DF127"/>
      <c r="DG127"/>
      <c r="DH127"/>
    </row>
    <row r="128" spans="1:112" s="1754" customFormat="1">
      <c r="A128" s="1758" t="s">
        <v>868</v>
      </c>
      <c r="B128" s="282"/>
      <c r="C128" s="282"/>
      <c r="D128" s="282"/>
      <c r="E128" s="282"/>
      <c r="F128" s="162"/>
      <c r="G128" s="282"/>
      <c r="H128" s="282"/>
      <c r="I128" s="282"/>
      <c r="J128" s="282"/>
      <c r="K128" s="282"/>
      <c r="L128" s="282"/>
      <c r="M128" s="282"/>
      <c r="N128" s="282"/>
      <c r="O128" s="282"/>
      <c r="P128" s="282"/>
      <c r="Q128" s="282"/>
      <c r="R128" s="282"/>
      <c r="S128" s="282"/>
      <c r="T128" s="282"/>
      <c r="U128" s="282"/>
      <c r="V128" s="282"/>
      <c r="W128" s="282"/>
      <c r="X128" s="282"/>
      <c r="Y128" s="282"/>
      <c r="Z128" s="282"/>
      <c r="AA128" s="282"/>
      <c r="AB128" s="282"/>
      <c r="AC128" s="282"/>
      <c r="AD128" s="282"/>
      <c r="AE128" s="282"/>
      <c r="AF128" s="282"/>
      <c r="AG128" s="282"/>
      <c r="AH128" s="282"/>
      <c r="AI128" s="282"/>
      <c r="AJ128" s="282"/>
      <c r="AK128" s="282"/>
      <c r="AL128" s="282"/>
      <c r="AM128" s="282"/>
      <c r="AN128" s="282"/>
      <c r="AO128" s="282"/>
      <c r="AP128" s="282"/>
      <c r="AQ128" s="282"/>
      <c r="AR128" s="282"/>
      <c r="AS128" s="282"/>
      <c r="AT128" s="282"/>
      <c r="AU128" s="282"/>
      <c r="AV128" s="282"/>
      <c r="AW128" s="282"/>
      <c r="AX128" s="282"/>
      <c r="AY128" s="282"/>
      <c r="AZ128" s="282"/>
      <c r="BA128" s="282"/>
      <c r="BB128" s="282"/>
      <c r="BC128" s="282"/>
      <c r="BD128" s="1753"/>
      <c r="BE128" s="282"/>
      <c r="BF128" s="282"/>
      <c r="BG128" s="282"/>
      <c r="BH128" s="282"/>
      <c r="BI128" s="1753"/>
      <c r="BJ128" s="282">
        <f t="shared" ref="BJ128:CF128" si="107">BJ125/BJ137</f>
        <v>0.30762371823450735</v>
      </c>
      <c r="BK128" s="282">
        <f t="shared" si="107"/>
        <v>0.37131630648330061</v>
      </c>
      <c r="BL128" s="282">
        <f t="shared" si="107"/>
        <v>0.43301035750083527</v>
      </c>
      <c r="BM128" s="282">
        <f t="shared" si="107"/>
        <v>0.49694274596998317</v>
      </c>
      <c r="BN128" s="1753">
        <f t="shared" si="107"/>
        <v>0.41471131030846292</v>
      </c>
      <c r="BO128" s="282">
        <f t="shared" si="107"/>
        <v>0.56185080264400378</v>
      </c>
      <c r="BP128" s="282">
        <f t="shared" si="107"/>
        <v>0.59324522760646103</v>
      </c>
      <c r="BQ128" s="282">
        <f t="shared" si="107"/>
        <v>0.62495432955791019</v>
      </c>
      <c r="BR128" s="282">
        <f t="shared" si="107"/>
        <v>0.64461758626172683</v>
      </c>
      <c r="BS128" s="1753">
        <f t="shared" si="107"/>
        <v>0.61075796975825869</v>
      </c>
      <c r="BT128" s="282">
        <f t="shared" si="107"/>
        <v>0.67816091954022983</v>
      </c>
      <c r="BU128" s="282">
        <f t="shared" si="107"/>
        <v>0.6901808785529715</v>
      </c>
      <c r="BV128" s="282">
        <f t="shared" si="107"/>
        <v>0.70956458810758649</v>
      </c>
      <c r="BW128" s="282">
        <f t="shared" si="107"/>
        <v>0.72558959664976852</v>
      </c>
      <c r="BX128" s="1753">
        <f t="shared" si="107"/>
        <v>0.70247216104717891</v>
      </c>
      <c r="BY128" s="282">
        <f t="shared" si="107"/>
        <v>0.73061110072883573</v>
      </c>
      <c r="BZ128" s="282">
        <f t="shared" si="107"/>
        <v>0.73618160007382127</v>
      </c>
      <c r="CA128" s="282">
        <f t="shared" si="107"/>
        <v>0.73463973985966124</v>
      </c>
      <c r="CB128" s="1755">
        <f t="shared" si="107"/>
        <v>0.73881010853204454</v>
      </c>
      <c r="CC128" s="1753">
        <f t="shared" si="107"/>
        <v>0.73521200488570915</v>
      </c>
      <c r="CD128" s="282">
        <f t="shared" si="107"/>
        <v>0.72763405116346291</v>
      </c>
      <c r="CE128" s="282">
        <f t="shared" si="107"/>
        <v>0.72952753252005131</v>
      </c>
      <c r="CF128" s="282">
        <f t="shared" si="107"/>
        <v>0.73202572756798068</v>
      </c>
      <c r="CG128" s="1755">
        <f t="shared" ref="CG128:CH128" si="108">CG125/CG137</f>
        <v>0.72035463612855566</v>
      </c>
      <c r="CH128" s="1753">
        <f t="shared" si="108"/>
        <v>0.7272847245133619</v>
      </c>
      <c r="CI128" s="158"/>
      <c r="CJ128" s="158"/>
      <c r="CK128" s="158"/>
      <c r="CL128" s="158"/>
      <c r="CM128" s="160"/>
      <c r="CN128" s="158"/>
      <c r="CO128" s="158"/>
      <c r="CP128" s="158"/>
      <c r="CQ128" s="158"/>
      <c r="CR128" s="160"/>
      <c r="CS128" s="158"/>
      <c r="CT128" s="158"/>
      <c r="CU128" s="158"/>
      <c r="CV128" s="158"/>
      <c r="CW128" s="160"/>
      <c r="CZ128" s="171"/>
      <c r="DA128" s="170"/>
      <c r="DB128" s="170"/>
      <c r="DC128"/>
      <c r="DD128"/>
      <c r="DE128"/>
      <c r="DF128"/>
      <c r="DG128"/>
      <c r="DH128"/>
    </row>
    <row r="129" spans="1:112" s="1825" customFormat="1">
      <c r="A129" s="1822" t="s">
        <v>874</v>
      </c>
      <c r="B129" s="1369"/>
      <c r="C129" s="1369"/>
      <c r="D129" s="1369"/>
      <c r="E129" s="1369"/>
      <c r="F129" s="1823"/>
      <c r="G129" s="1369"/>
      <c r="H129" s="1369"/>
      <c r="I129" s="1369"/>
      <c r="J129" s="1369"/>
      <c r="K129" s="1369"/>
      <c r="L129" s="1369"/>
      <c r="M129" s="1369"/>
      <c r="N129" s="1369"/>
      <c r="O129" s="1369"/>
      <c r="P129" s="1369"/>
      <c r="Q129" s="1369"/>
      <c r="R129" s="1369"/>
      <c r="S129" s="1369"/>
      <c r="T129" s="1369"/>
      <c r="U129" s="1369"/>
      <c r="V129" s="1369"/>
      <c r="W129" s="1369"/>
      <c r="X129" s="1369"/>
      <c r="Y129" s="1369"/>
      <c r="Z129" s="1369"/>
      <c r="AA129" s="1369"/>
      <c r="AB129" s="1369"/>
      <c r="AC129" s="1369"/>
      <c r="AD129" s="1369"/>
      <c r="AE129" s="1369"/>
      <c r="AF129" s="1369"/>
      <c r="AG129" s="1369"/>
      <c r="AH129" s="1369"/>
      <c r="AI129" s="1369"/>
      <c r="AJ129" s="1369"/>
      <c r="AK129" s="1369"/>
      <c r="AL129" s="1369"/>
      <c r="AM129" s="1369"/>
      <c r="AN129" s="1369"/>
      <c r="AO129" s="1369"/>
      <c r="AP129" s="1369"/>
      <c r="AQ129" s="1369"/>
      <c r="AR129" s="1369"/>
      <c r="AS129" s="1369"/>
      <c r="AT129" s="1369"/>
      <c r="AU129" s="1369"/>
      <c r="AV129" s="1369"/>
      <c r="AW129" s="1369"/>
      <c r="AX129" s="1369"/>
      <c r="AY129" s="1369"/>
      <c r="AZ129" s="1369"/>
      <c r="BA129" s="1369"/>
      <c r="BB129" s="1369"/>
      <c r="BC129" s="1369"/>
      <c r="BD129" s="1370"/>
      <c r="BE129" s="1369"/>
      <c r="BF129" s="1369"/>
      <c r="BG129" s="1369"/>
      <c r="BH129" s="1369"/>
      <c r="BI129" s="1370"/>
      <c r="BJ129" s="1369">
        <v>154.9</v>
      </c>
      <c r="BK129" s="1369">
        <v>159.5</v>
      </c>
      <c r="BL129" s="1369">
        <v>169</v>
      </c>
      <c r="BM129" s="1369">
        <v>179.70000000000005</v>
      </c>
      <c r="BN129" s="1370">
        <f t="shared" si="79"/>
        <v>663.1</v>
      </c>
      <c r="BO129" s="1369">
        <v>183.8</v>
      </c>
      <c r="BP129" s="1369">
        <v>191.8</v>
      </c>
      <c r="BQ129" s="1369">
        <v>202.4</v>
      </c>
      <c r="BR129" s="1369">
        <v>219.5</v>
      </c>
      <c r="BS129" s="1370">
        <f t="shared" si="80"/>
        <v>797.5</v>
      </c>
      <c r="BT129" s="1369">
        <v>224.9</v>
      </c>
      <c r="BU129" s="1369">
        <v>234.6</v>
      </c>
      <c r="BV129" s="1369">
        <v>235.2</v>
      </c>
      <c r="BW129" s="1369">
        <v>242.29999999999995</v>
      </c>
      <c r="BX129" s="1370">
        <f t="shared" si="81"/>
        <v>937</v>
      </c>
      <c r="BY129" s="1369">
        <v>280.89999999999998</v>
      </c>
      <c r="BZ129" s="1369">
        <v>277.89999999999998</v>
      </c>
      <c r="CA129" s="1369">
        <v>301.8</v>
      </c>
      <c r="CB129" s="1824">
        <v>319.80000000000018</v>
      </c>
      <c r="CC129" s="1370">
        <f t="shared" si="82"/>
        <v>1180.4000000000001</v>
      </c>
      <c r="CD129" s="1369">
        <v>367.1</v>
      </c>
      <c r="CE129" s="1369">
        <v>390.8</v>
      </c>
      <c r="CF129" s="1369">
        <v>409.6</v>
      </c>
      <c r="CG129" s="1824">
        <f>1609.6-SUM(CD129:CF129)</f>
        <v>442.09999999999991</v>
      </c>
      <c r="CH129" s="1370">
        <f>SUM(CD129:CG129)</f>
        <v>1609.6</v>
      </c>
      <c r="CI129" s="1369"/>
      <c r="CJ129" s="1369"/>
      <c r="CK129" s="1369"/>
      <c r="CL129" s="1369"/>
      <c r="CM129" s="1370"/>
      <c r="CN129" s="1369"/>
      <c r="CO129" s="1369"/>
      <c r="CP129" s="1369"/>
      <c r="CQ129" s="1369"/>
      <c r="CR129" s="1370"/>
      <c r="CS129" s="1369"/>
      <c r="CT129" s="1369"/>
      <c r="CU129" s="1369"/>
      <c r="CV129" s="1369"/>
      <c r="CW129" s="1370"/>
      <c r="CZ129" s="1826"/>
      <c r="DA129" s="1827"/>
      <c r="DB129" s="1827"/>
      <c r="DC129"/>
      <c r="DD129"/>
      <c r="DE129"/>
      <c r="DF129"/>
      <c r="DG129"/>
      <c r="DH129"/>
    </row>
    <row r="130" spans="1:112" s="1754" customFormat="1">
      <c r="A130" s="1757" t="s">
        <v>559</v>
      </c>
      <c r="B130" s="158"/>
      <c r="C130" s="158"/>
      <c r="D130" s="158"/>
      <c r="E130" s="158"/>
      <c r="F130" s="1750"/>
      <c r="G130" s="158"/>
      <c r="H130" s="158"/>
      <c r="I130" s="158"/>
      <c r="J130" s="158"/>
      <c r="K130" s="158"/>
      <c r="L130" s="158"/>
      <c r="M130" s="158"/>
      <c r="N130" s="158"/>
      <c r="O130" s="158"/>
      <c r="P130" s="158"/>
      <c r="Q130" s="158"/>
      <c r="R130" s="158"/>
      <c r="S130" s="1751"/>
      <c r="T130" s="158"/>
      <c r="U130" s="1751"/>
      <c r="V130" s="158"/>
      <c r="W130" s="158"/>
      <c r="X130" s="158"/>
      <c r="Y130" s="158"/>
      <c r="Z130" s="158"/>
      <c r="AA130" s="158"/>
      <c r="AB130" s="158"/>
      <c r="AC130" s="158"/>
      <c r="AD130" s="158"/>
      <c r="AE130" s="158"/>
      <c r="AF130" s="158"/>
      <c r="AG130" s="158"/>
      <c r="AH130" s="158"/>
      <c r="AI130" s="158"/>
      <c r="AJ130" s="158"/>
      <c r="AK130" s="158"/>
      <c r="AL130" s="158"/>
      <c r="AM130" s="158"/>
      <c r="AN130" s="158"/>
      <c r="AO130" s="158"/>
      <c r="AP130" s="158"/>
      <c r="AQ130" s="158"/>
      <c r="AR130" s="158"/>
      <c r="AS130" s="158"/>
      <c r="AT130" s="158"/>
      <c r="AU130" s="158"/>
      <c r="AV130" s="158"/>
      <c r="AW130" s="158"/>
      <c r="AX130" s="158"/>
      <c r="AY130" s="158"/>
      <c r="AZ130" s="158"/>
      <c r="BA130" s="158"/>
      <c r="BB130" s="158"/>
      <c r="BC130" s="158"/>
      <c r="BD130" s="160"/>
      <c r="BE130" s="158"/>
      <c r="BF130" s="158"/>
      <c r="BG130" s="1752"/>
      <c r="BH130" s="158"/>
      <c r="BI130" s="160"/>
      <c r="BJ130" s="158"/>
      <c r="BK130" s="158"/>
      <c r="BL130" s="158"/>
      <c r="BM130" s="158"/>
      <c r="BN130" s="160"/>
      <c r="BO130" s="282">
        <f>BO129/BJ129-1</f>
        <v>0.18657198192382185</v>
      </c>
      <c r="BP130" s="282">
        <f t="shared" ref="BP130" si="109">BP129/BK129-1</f>
        <v>0.20250783699059571</v>
      </c>
      <c r="BQ130" s="282">
        <f t="shared" ref="BQ130" si="110">BQ129/BL129-1</f>
        <v>0.19763313609467459</v>
      </c>
      <c r="BR130" s="282">
        <f t="shared" ref="BR130" si="111">BR129/BM129-1</f>
        <v>0.2214802448525317</v>
      </c>
      <c r="BS130" s="1753">
        <f t="shared" ref="BS130" si="112">BS129/BN129-1</f>
        <v>0.20268436133313217</v>
      </c>
      <c r="BT130" s="282">
        <f t="shared" ref="BT130" si="113">BT129/BO129-1</f>
        <v>0.22361262241566915</v>
      </c>
      <c r="BU130" s="282">
        <f t="shared" ref="BU130" si="114">BU129/BP129-1</f>
        <v>0.22314911366006251</v>
      </c>
      <c r="BV130" s="282">
        <f t="shared" ref="BV130" si="115">BV129/BQ129-1</f>
        <v>0.1620553359683794</v>
      </c>
      <c r="BW130" s="282">
        <f t="shared" ref="BW130" si="116">BW129/BR129-1</f>
        <v>0.10387243735763074</v>
      </c>
      <c r="BX130" s="1753">
        <f t="shared" ref="BX130" si="117">BX129/BS129-1</f>
        <v>0.17492163009404393</v>
      </c>
      <c r="BY130" s="282">
        <f t="shared" ref="BY130" si="118">BY129/BT129-1</f>
        <v>0.24899955535793672</v>
      </c>
      <c r="BZ130" s="282">
        <f t="shared" ref="BZ130" si="119">BZ129/BU129-1</f>
        <v>0.18456947996589923</v>
      </c>
      <c r="CA130" s="282">
        <f t="shared" ref="CA130" si="120">CA129/BV129-1</f>
        <v>0.28316326530612246</v>
      </c>
      <c r="CB130" s="1755">
        <f t="shared" ref="CB130" si="121">CB129/BW129-1</f>
        <v>0.31985142385472654</v>
      </c>
      <c r="CC130" s="1753">
        <f t="shared" ref="CC130" si="122">CC129/BX129-1</f>
        <v>0.25976520811099268</v>
      </c>
      <c r="CD130" s="282">
        <f t="shared" ref="CD130" si="123">CD129/BY129-1</f>
        <v>0.3068707725169102</v>
      </c>
      <c r="CE130" s="282">
        <f t="shared" ref="CE130" si="124">CE129/BZ129-1</f>
        <v>0.4062612450521772</v>
      </c>
      <c r="CF130" s="282">
        <f t="shared" ref="CF130:CH130" si="125">CF129/CA129-1</f>
        <v>0.35719019218025183</v>
      </c>
      <c r="CG130" s="1755">
        <f t="shared" si="125"/>
        <v>0.38242651657285687</v>
      </c>
      <c r="CH130" s="1753">
        <f t="shared" si="125"/>
        <v>0.36360555743815648</v>
      </c>
      <c r="CI130" s="158"/>
      <c r="CJ130" s="158"/>
      <c r="CK130" s="158"/>
      <c r="CL130" s="158"/>
      <c r="CM130" s="160"/>
      <c r="CN130" s="158"/>
      <c r="CO130" s="158"/>
      <c r="CP130" s="158"/>
      <c r="CQ130" s="158"/>
      <c r="CR130" s="160"/>
      <c r="CS130" s="158"/>
      <c r="CT130" s="158"/>
      <c r="CU130" s="158"/>
      <c r="CV130" s="158"/>
      <c r="CW130" s="160"/>
      <c r="CZ130" s="171"/>
      <c r="DA130" s="170"/>
      <c r="DB130" s="170"/>
      <c r="DC130"/>
      <c r="DD130"/>
      <c r="DE130"/>
      <c r="DF130"/>
      <c r="DG130"/>
      <c r="DH130"/>
    </row>
    <row r="131" spans="1:112" s="1754" customFormat="1">
      <c r="A131" s="1758" t="s">
        <v>808</v>
      </c>
      <c r="B131" s="282"/>
      <c r="C131" s="282"/>
      <c r="D131" s="282"/>
      <c r="E131" s="282"/>
      <c r="F131" s="162"/>
      <c r="G131" s="282"/>
      <c r="H131" s="282"/>
      <c r="I131" s="282"/>
      <c r="J131" s="282"/>
      <c r="K131" s="282"/>
      <c r="L131" s="282"/>
      <c r="M131" s="282"/>
      <c r="N131" s="282"/>
      <c r="O131" s="282"/>
      <c r="P131" s="282"/>
      <c r="Q131" s="282"/>
      <c r="R131" s="282"/>
      <c r="S131" s="282"/>
      <c r="T131" s="282"/>
      <c r="U131" s="282"/>
      <c r="V131" s="282"/>
      <c r="W131" s="282"/>
      <c r="X131" s="282"/>
      <c r="Y131" s="282"/>
      <c r="Z131" s="282"/>
      <c r="AA131" s="282"/>
      <c r="AB131" s="282"/>
      <c r="AC131" s="282"/>
      <c r="AD131" s="282"/>
      <c r="AE131" s="282"/>
      <c r="AF131" s="282"/>
      <c r="AG131" s="282"/>
      <c r="AH131" s="282"/>
      <c r="AI131" s="282"/>
      <c r="AJ131" s="282"/>
      <c r="AK131" s="282"/>
      <c r="AL131" s="282"/>
      <c r="AM131" s="282"/>
      <c r="AN131" s="282"/>
      <c r="AO131" s="282"/>
      <c r="AP131" s="282"/>
      <c r="AQ131" s="282"/>
      <c r="AR131" s="282"/>
      <c r="AS131" s="282"/>
      <c r="AT131" s="282"/>
      <c r="AU131" s="282"/>
      <c r="AV131" s="282"/>
      <c r="AW131" s="282"/>
      <c r="AX131" s="282"/>
      <c r="AY131" s="282"/>
      <c r="AZ131" s="282"/>
      <c r="BA131" s="282"/>
      <c r="BB131" s="282"/>
      <c r="BC131" s="282"/>
      <c r="BD131" s="1753"/>
      <c r="BE131" s="282"/>
      <c r="BF131" s="282"/>
      <c r="BG131" s="282"/>
      <c r="BH131" s="282"/>
      <c r="BI131" s="1753"/>
      <c r="BJ131" s="282"/>
      <c r="BK131" s="282">
        <f>BK129/BJ129-1</f>
        <v>2.9696578437701682E-2</v>
      </c>
      <c r="BL131" s="282">
        <f t="shared" ref="BL131" si="126">BL129/BK129-1</f>
        <v>5.9561128526645746E-2</v>
      </c>
      <c r="BM131" s="282">
        <f t="shared" ref="BM131" si="127">BM129/BL129-1</f>
        <v>6.3313609467455789E-2</v>
      </c>
      <c r="BN131" s="1753"/>
      <c r="BO131" s="282">
        <f>BO129/BM129-1</f>
        <v>2.2815804117974237E-2</v>
      </c>
      <c r="BP131" s="282">
        <f>BP129/BO129-1</f>
        <v>4.3525571273123065E-2</v>
      </c>
      <c r="BQ131" s="282">
        <f t="shared" ref="BQ131" si="128">BQ129/BP129-1</f>
        <v>5.5265901981230492E-2</v>
      </c>
      <c r="BR131" s="282">
        <f t="shared" ref="BR131" si="129">BR129/BQ129-1</f>
        <v>8.4486166007905039E-2</v>
      </c>
      <c r="BS131" s="1753"/>
      <c r="BT131" s="282">
        <f>BT129/BR129-1</f>
        <v>2.4601366742596831E-2</v>
      </c>
      <c r="BU131" s="282">
        <f>BU129/BT129-1</f>
        <v>4.3130280124499709E-2</v>
      </c>
      <c r="BV131" s="282">
        <f t="shared" ref="BV131" si="130">BV129/BU129-1</f>
        <v>2.5575447570331811E-3</v>
      </c>
      <c r="BW131" s="282">
        <f t="shared" ref="BW131" si="131">BW129/BV129-1</f>
        <v>3.018707482993177E-2</v>
      </c>
      <c r="BX131" s="1753"/>
      <c r="BY131" s="282">
        <f>BY129/BW129-1</f>
        <v>0.15930664465538591</v>
      </c>
      <c r="BZ131" s="282">
        <f>BZ129/BY129-1</f>
        <v>-1.0679957280170904E-2</v>
      </c>
      <c r="CA131" s="282">
        <f t="shared" ref="CA131" si="132">CA129/BZ129-1</f>
        <v>8.6002159050018179E-2</v>
      </c>
      <c r="CB131" s="1755">
        <f t="shared" ref="CB131" si="133">CB129/CA129-1</f>
        <v>5.9642147117296762E-2</v>
      </c>
      <c r="CC131" s="1753"/>
      <c r="CD131" s="282">
        <f>CD129/CB129-1</f>
        <v>0.14790494058786674</v>
      </c>
      <c r="CE131" s="282">
        <f>CE129/CD129-1</f>
        <v>6.4560065377281317E-2</v>
      </c>
      <c r="CF131" s="282">
        <f t="shared" ref="CF131:CG131" si="134">CF129/CE129-1</f>
        <v>4.8106448311156624E-2</v>
      </c>
      <c r="CG131" s="1755">
        <f t="shared" si="134"/>
        <v>7.9345703124999778E-2</v>
      </c>
      <c r="CH131" s="1753"/>
      <c r="CI131" s="158"/>
      <c r="CJ131" s="158"/>
      <c r="CK131" s="158"/>
      <c r="CL131" s="158"/>
      <c r="CM131" s="160"/>
      <c r="CN131" s="158"/>
      <c r="CO131" s="158"/>
      <c r="CP131" s="158"/>
      <c r="CQ131" s="158"/>
      <c r="CR131" s="160"/>
      <c r="CS131" s="158"/>
      <c r="CT131" s="158"/>
      <c r="CU131" s="158"/>
      <c r="CV131" s="158"/>
      <c r="CW131" s="160"/>
      <c r="CZ131" s="171"/>
      <c r="DA131" s="170"/>
      <c r="DB131" s="170"/>
      <c r="DC131"/>
      <c r="DD131"/>
      <c r="DE131"/>
      <c r="DF131"/>
      <c r="DG131"/>
      <c r="DH131"/>
    </row>
    <row r="132" spans="1:112" s="1754" customFormat="1">
      <c r="A132" s="1758" t="s">
        <v>868</v>
      </c>
      <c r="B132" s="282"/>
      <c r="C132" s="282"/>
      <c r="D132" s="282"/>
      <c r="E132" s="282"/>
      <c r="F132" s="162"/>
      <c r="G132" s="282"/>
      <c r="H132" s="282"/>
      <c r="I132" s="282"/>
      <c r="J132" s="282"/>
      <c r="K132" s="282"/>
      <c r="L132" s="282"/>
      <c r="M132" s="282"/>
      <c r="N132" s="282"/>
      <c r="O132" s="282"/>
      <c r="P132" s="282"/>
      <c r="Q132" s="282"/>
      <c r="R132" s="282"/>
      <c r="S132" s="282"/>
      <c r="T132" s="282"/>
      <c r="U132" s="282"/>
      <c r="V132" s="282"/>
      <c r="W132" s="282"/>
      <c r="X132" s="282"/>
      <c r="Y132" s="282"/>
      <c r="Z132" s="282"/>
      <c r="AA132" s="282"/>
      <c r="AB132" s="282"/>
      <c r="AC132" s="282"/>
      <c r="AD132" s="282"/>
      <c r="AE132" s="282"/>
      <c r="AF132" s="282"/>
      <c r="AG132" s="282"/>
      <c r="AH132" s="282"/>
      <c r="AI132" s="282"/>
      <c r="AJ132" s="282"/>
      <c r="AK132" s="282"/>
      <c r="AL132" s="282"/>
      <c r="AM132" s="282"/>
      <c r="AN132" s="282"/>
      <c r="AO132" s="282"/>
      <c r="AP132" s="282"/>
      <c r="AQ132" s="282"/>
      <c r="AR132" s="282"/>
      <c r="AS132" s="282"/>
      <c r="AT132" s="282"/>
      <c r="AU132" s="282"/>
      <c r="AV132" s="282"/>
      <c r="AW132" s="282"/>
      <c r="AX132" s="282"/>
      <c r="AY132" s="282"/>
      <c r="AZ132" s="282"/>
      <c r="BA132" s="282"/>
      <c r="BB132" s="282"/>
      <c r="BC132" s="282"/>
      <c r="BD132" s="1753"/>
      <c r="BE132" s="282"/>
      <c r="BF132" s="282"/>
      <c r="BG132" s="282"/>
      <c r="BH132" s="282"/>
      <c r="BI132" s="1753"/>
      <c r="BJ132" s="282">
        <f t="shared" ref="BJ132:CF132" si="135">BJ129/BJ137</f>
        <v>0.69059295586268388</v>
      </c>
      <c r="BK132" s="282">
        <f t="shared" si="135"/>
        <v>0.62671905697445973</v>
      </c>
      <c r="BL132" s="282">
        <f t="shared" si="135"/>
        <v>0.56465085198797194</v>
      </c>
      <c r="BM132" s="282">
        <f t="shared" si="135"/>
        <v>0.49944413563090617</v>
      </c>
      <c r="BN132" s="1753">
        <f t="shared" si="135"/>
        <v>0.58274013533702429</v>
      </c>
      <c r="BO132" s="282">
        <f t="shared" si="135"/>
        <v>0.43389990557129365</v>
      </c>
      <c r="BP132" s="282">
        <f t="shared" si="135"/>
        <v>0.40234948604992654</v>
      </c>
      <c r="BQ132" s="282">
        <f t="shared" si="135"/>
        <v>0.36974789915966388</v>
      </c>
      <c r="BR132" s="282">
        <f t="shared" si="135"/>
        <v>0.34902210208300211</v>
      </c>
      <c r="BS132" s="1753">
        <f t="shared" si="135"/>
        <v>0.38404122122700568</v>
      </c>
      <c r="BT132" s="282">
        <f t="shared" si="135"/>
        <v>0.31525091112980091</v>
      </c>
      <c r="BU132" s="282">
        <f t="shared" si="135"/>
        <v>0.30310077519379841</v>
      </c>
      <c r="BV132" s="282">
        <f t="shared" si="135"/>
        <v>0.28368109998793872</v>
      </c>
      <c r="BW132" s="282">
        <f t="shared" si="135"/>
        <v>0.26702666960546617</v>
      </c>
      <c r="BX132" s="1753">
        <f t="shared" si="135"/>
        <v>0.29064176928564783</v>
      </c>
      <c r="BY132" s="282">
        <f t="shared" si="135"/>
        <v>0.26247430386843579</v>
      </c>
      <c r="BZ132" s="282">
        <f t="shared" si="135"/>
        <v>0.25643628310418015</v>
      </c>
      <c r="CA132" s="282">
        <f t="shared" si="135"/>
        <v>0.2582577443094301</v>
      </c>
      <c r="CB132" s="1755">
        <f t="shared" si="135"/>
        <v>0.25334706488156539</v>
      </c>
      <c r="CC132" s="1753">
        <f t="shared" si="135"/>
        <v>0.25745943116384573</v>
      </c>
      <c r="CD132" s="282">
        <f t="shared" si="135"/>
        <v>0.26528400057811824</v>
      </c>
      <c r="CE132" s="282">
        <f t="shared" si="135"/>
        <v>0.26339556514120105</v>
      </c>
      <c r="CF132" s="282">
        <f t="shared" si="135"/>
        <v>0.26084187734827741</v>
      </c>
      <c r="CG132" s="1755">
        <f t="shared" ref="CG132:CH132" si="136">CG129/CG137</f>
        <v>0.27219554242088412</v>
      </c>
      <c r="CH132" s="1753">
        <f t="shared" si="136"/>
        <v>0.26552292972616298</v>
      </c>
      <c r="CI132" s="158"/>
      <c r="CJ132" s="158"/>
      <c r="CK132" s="158"/>
      <c r="CL132" s="158"/>
      <c r="CM132" s="160"/>
      <c r="CN132" s="158"/>
      <c r="CO132" s="158"/>
      <c r="CP132" s="158"/>
      <c r="CQ132" s="158"/>
      <c r="CR132" s="160"/>
      <c r="CS132" s="158"/>
      <c r="CT132" s="158"/>
      <c r="CU132" s="158"/>
      <c r="CV132" s="158"/>
      <c r="CW132" s="160"/>
      <c r="CZ132" s="171"/>
      <c r="DA132" s="170"/>
      <c r="DB132" s="170"/>
      <c r="DC132"/>
      <c r="DD132"/>
      <c r="DE132"/>
      <c r="DF132"/>
      <c r="DG132"/>
      <c r="DH132"/>
    </row>
    <row r="133" spans="1:112" s="1825" customFormat="1">
      <c r="A133" s="1822" t="s">
        <v>875</v>
      </c>
      <c r="B133" s="1369"/>
      <c r="C133" s="1369"/>
      <c r="D133" s="1369"/>
      <c r="E133" s="1369"/>
      <c r="F133" s="1823"/>
      <c r="G133" s="1369"/>
      <c r="H133" s="1369"/>
      <c r="I133" s="1369"/>
      <c r="J133" s="1369"/>
      <c r="K133" s="1369"/>
      <c r="L133" s="1369"/>
      <c r="M133" s="1369"/>
      <c r="N133" s="1369"/>
      <c r="O133" s="1369"/>
      <c r="P133" s="1369"/>
      <c r="Q133" s="1369"/>
      <c r="R133" s="1369"/>
      <c r="S133" s="1369"/>
      <c r="T133" s="1369"/>
      <c r="U133" s="1369"/>
      <c r="V133" s="1369"/>
      <c r="W133" s="1369"/>
      <c r="X133" s="1369"/>
      <c r="Y133" s="1369"/>
      <c r="Z133" s="1369"/>
      <c r="AA133" s="1369"/>
      <c r="AB133" s="1369"/>
      <c r="AC133" s="1369"/>
      <c r="AD133" s="1369"/>
      <c r="AE133" s="1369"/>
      <c r="AF133" s="1369"/>
      <c r="AG133" s="1369"/>
      <c r="AH133" s="1369"/>
      <c r="AI133" s="1369"/>
      <c r="AJ133" s="1369"/>
      <c r="AK133" s="1369"/>
      <c r="AL133" s="1369"/>
      <c r="AM133" s="1369"/>
      <c r="AN133" s="1369"/>
      <c r="AO133" s="1369"/>
      <c r="AP133" s="1369"/>
      <c r="AQ133" s="1369"/>
      <c r="AR133" s="1369"/>
      <c r="AS133" s="1369"/>
      <c r="AT133" s="1369"/>
      <c r="AU133" s="1369"/>
      <c r="AV133" s="1369"/>
      <c r="AW133" s="1369"/>
      <c r="AX133" s="1369"/>
      <c r="AY133" s="1369"/>
      <c r="AZ133" s="1369"/>
      <c r="BA133" s="1369"/>
      <c r="BB133" s="1369"/>
      <c r="BC133" s="1369"/>
      <c r="BD133" s="1370"/>
      <c r="BE133" s="1369"/>
      <c r="BF133" s="1369"/>
      <c r="BG133" s="1369"/>
      <c r="BH133" s="1369"/>
      <c r="BI133" s="1370"/>
      <c r="BJ133" s="1369">
        <v>0.4</v>
      </c>
      <c r="BK133" s="1369">
        <v>0.5</v>
      </c>
      <c r="BL133" s="1369">
        <v>0.7</v>
      </c>
      <c r="BM133" s="1369">
        <v>1.2999999999999998</v>
      </c>
      <c r="BN133" s="1370">
        <f t="shared" si="79"/>
        <v>2.9</v>
      </c>
      <c r="BO133" s="1369">
        <v>1.8</v>
      </c>
      <c r="BP133" s="1369">
        <v>2.1</v>
      </c>
      <c r="BQ133" s="1369">
        <v>2.9</v>
      </c>
      <c r="BR133" s="1369">
        <v>4</v>
      </c>
      <c r="BS133" s="1370">
        <f t="shared" si="80"/>
        <v>10.8</v>
      </c>
      <c r="BT133" s="1369">
        <v>4.7</v>
      </c>
      <c r="BU133" s="1369">
        <v>5.2</v>
      </c>
      <c r="BV133" s="1369">
        <v>5.6</v>
      </c>
      <c r="BW133" s="1369">
        <v>6.6999999999999993</v>
      </c>
      <c r="BX133" s="1370">
        <f t="shared" si="81"/>
        <v>22.2</v>
      </c>
      <c r="BY133" s="1369">
        <v>7.4</v>
      </c>
      <c r="BZ133" s="1369">
        <v>8</v>
      </c>
      <c r="CA133" s="1369">
        <v>8.3000000000000007</v>
      </c>
      <c r="CB133" s="1824">
        <v>9.8999999999999986</v>
      </c>
      <c r="CC133" s="1370">
        <f t="shared" si="82"/>
        <v>33.6</v>
      </c>
      <c r="CD133" s="1369">
        <v>9.8000000000000007</v>
      </c>
      <c r="CE133" s="1369">
        <v>10.5</v>
      </c>
      <c r="CF133" s="1369">
        <v>11.2</v>
      </c>
      <c r="CG133" s="1824">
        <f>43.6-SUM(CD133:CF133)</f>
        <v>12.100000000000001</v>
      </c>
      <c r="CH133" s="1370">
        <f>SUM(CD133:CG133)</f>
        <v>43.6</v>
      </c>
      <c r="CI133" s="1369"/>
      <c r="CJ133" s="1369"/>
      <c r="CK133" s="1369"/>
      <c r="CL133" s="1369"/>
      <c r="CM133" s="1370"/>
      <c r="CN133" s="1369"/>
      <c r="CO133" s="1369"/>
      <c r="CP133" s="1369"/>
      <c r="CQ133" s="1369"/>
      <c r="CR133" s="1370"/>
      <c r="CS133" s="1369"/>
      <c r="CT133" s="1369"/>
      <c r="CU133" s="1369"/>
      <c r="CV133" s="1369"/>
      <c r="CW133" s="1370"/>
      <c r="CZ133" s="1826"/>
      <c r="DA133" s="1827"/>
      <c r="DB133" s="1827"/>
      <c r="DC133"/>
      <c r="DD133"/>
      <c r="DE133"/>
      <c r="DF133"/>
      <c r="DG133"/>
      <c r="DH133"/>
    </row>
    <row r="134" spans="1:112" s="1754" customFormat="1">
      <c r="A134" s="1757" t="s">
        <v>559</v>
      </c>
      <c r="B134" s="158"/>
      <c r="C134" s="158"/>
      <c r="D134" s="158"/>
      <c r="E134" s="158"/>
      <c r="F134" s="1750"/>
      <c r="G134" s="158"/>
      <c r="H134" s="158"/>
      <c r="I134" s="158"/>
      <c r="J134" s="158"/>
      <c r="K134" s="158"/>
      <c r="L134" s="158"/>
      <c r="M134" s="158"/>
      <c r="N134" s="158"/>
      <c r="O134" s="158"/>
      <c r="P134" s="158"/>
      <c r="Q134" s="158"/>
      <c r="R134" s="158"/>
      <c r="S134" s="1751"/>
      <c r="T134" s="158"/>
      <c r="U134" s="1751"/>
      <c r="V134" s="158"/>
      <c r="W134" s="158"/>
      <c r="X134" s="158"/>
      <c r="Y134" s="158"/>
      <c r="Z134" s="158"/>
      <c r="AA134" s="158"/>
      <c r="AB134" s="158"/>
      <c r="AC134" s="158"/>
      <c r="AD134" s="158"/>
      <c r="AE134" s="158"/>
      <c r="AF134" s="158"/>
      <c r="AG134" s="158"/>
      <c r="AH134" s="158"/>
      <c r="AI134" s="158"/>
      <c r="AJ134" s="158"/>
      <c r="AK134" s="158"/>
      <c r="AL134" s="158"/>
      <c r="AM134" s="158"/>
      <c r="AN134" s="158"/>
      <c r="AO134" s="158"/>
      <c r="AP134" s="158"/>
      <c r="AQ134" s="158"/>
      <c r="AR134" s="158"/>
      <c r="AS134" s="158"/>
      <c r="AT134" s="158"/>
      <c r="AU134" s="158"/>
      <c r="AV134" s="158"/>
      <c r="AW134" s="158"/>
      <c r="AX134" s="158"/>
      <c r="AY134" s="158"/>
      <c r="AZ134" s="158"/>
      <c r="BA134" s="158"/>
      <c r="BB134" s="158"/>
      <c r="BC134" s="158"/>
      <c r="BD134" s="160"/>
      <c r="BE134" s="158"/>
      <c r="BF134" s="158"/>
      <c r="BG134" s="1752"/>
      <c r="BH134" s="158"/>
      <c r="BI134" s="160"/>
      <c r="BJ134" s="158"/>
      <c r="BK134" s="158"/>
      <c r="BL134" s="158"/>
      <c r="BM134" s="158"/>
      <c r="BN134" s="160"/>
      <c r="BO134" s="282">
        <f>BO133/BJ133-1</f>
        <v>3.5</v>
      </c>
      <c r="BP134" s="282">
        <f t="shared" ref="BP134" si="137">BP133/BK133-1</f>
        <v>3.2</v>
      </c>
      <c r="BQ134" s="282">
        <f t="shared" ref="BQ134" si="138">BQ133/BL133-1</f>
        <v>3.1428571428571432</v>
      </c>
      <c r="BR134" s="282">
        <f t="shared" ref="BR134" si="139">BR133/BM133-1</f>
        <v>2.0769230769230775</v>
      </c>
      <c r="BS134" s="1753">
        <f t="shared" ref="BS134" si="140">BS133/BN133-1</f>
        <v>2.7241379310344831</v>
      </c>
      <c r="BT134" s="282">
        <f t="shared" ref="BT134" si="141">BT133/BO133-1</f>
        <v>1.6111111111111112</v>
      </c>
      <c r="BU134" s="282">
        <f t="shared" ref="BU134" si="142">BU133/BP133-1</f>
        <v>1.4761904761904763</v>
      </c>
      <c r="BV134" s="282">
        <f t="shared" ref="BV134" si="143">BV133/BQ133-1</f>
        <v>0.93103448275862055</v>
      </c>
      <c r="BW134" s="282">
        <f t="shared" ref="BW134" si="144">BW133/BR133-1</f>
        <v>0.67499999999999982</v>
      </c>
      <c r="BX134" s="1753">
        <f t="shared" ref="BX134" si="145">BX133/BS133-1</f>
        <v>1.0555555555555554</v>
      </c>
      <c r="BY134" s="282">
        <f t="shared" ref="BY134" si="146">BY133/BT133-1</f>
        <v>0.57446808510638303</v>
      </c>
      <c r="BZ134" s="282">
        <f t="shared" ref="BZ134" si="147">BZ133/BU133-1</f>
        <v>0.53846153846153832</v>
      </c>
      <c r="CA134" s="282">
        <f t="shared" ref="CA134" si="148">CA133/BV133-1</f>
        <v>0.48214285714285743</v>
      </c>
      <c r="CB134" s="1755">
        <f t="shared" ref="CB134" si="149">CB133/BW133-1</f>
        <v>0.47761194029850751</v>
      </c>
      <c r="CC134" s="1753">
        <f t="shared" ref="CC134" si="150">CC133/BX133-1</f>
        <v>0.5135135135135136</v>
      </c>
      <c r="CD134" s="282">
        <f t="shared" ref="CD134" si="151">CD133/BY133-1</f>
        <v>0.32432432432432434</v>
      </c>
      <c r="CE134" s="282">
        <f t="shared" ref="CE134" si="152">CE133/BZ133-1</f>
        <v>0.3125</v>
      </c>
      <c r="CF134" s="282">
        <f t="shared" ref="CF134:CH134" si="153">CF133/CA133-1</f>
        <v>0.34939759036144569</v>
      </c>
      <c r="CG134" s="1755">
        <f t="shared" si="153"/>
        <v>0.22222222222222254</v>
      </c>
      <c r="CH134" s="1753">
        <f t="shared" si="153"/>
        <v>0.29761904761904767</v>
      </c>
      <c r="CI134" s="158"/>
      <c r="CJ134" s="158"/>
      <c r="CK134" s="158"/>
      <c r="CL134" s="158"/>
      <c r="CM134" s="160"/>
      <c r="CN134" s="158"/>
      <c r="CO134" s="158"/>
      <c r="CP134" s="158"/>
      <c r="CQ134" s="158"/>
      <c r="CR134" s="160"/>
      <c r="CS134" s="158"/>
      <c r="CT134" s="158"/>
      <c r="CU134" s="158"/>
      <c r="CV134" s="158"/>
      <c r="CW134" s="160"/>
      <c r="CZ134" s="171"/>
      <c r="DA134" s="170"/>
      <c r="DB134" s="170"/>
      <c r="DC134"/>
      <c r="DD134"/>
      <c r="DE134"/>
      <c r="DF134"/>
      <c r="DG134"/>
      <c r="DH134"/>
    </row>
    <row r="135" spans="1:112" s="1754" customFormat="1">
      <c r="A135" s="1758" t="s">
        <v>808</v>
      </c>
      <c r="B135" s="282"/>
      <c r="C135" s="282"/>
      <c r="D135" s="282"/>
      <c r="E135" s="282"/>
      <c r="F135" s="162"/>
      <c r="G135" s="282"/>
      <c r="H135" s="282"/>
      <c r="I135" s="282"/>
      <c r="J135" s="282"/>
      <c r="K135" s="282"/>
      <c r="L135" s="282"/>
      <c r="M135" s="282"/>
      <c r="N135" s="282"/>
      <c r="O135" s="282"/>
      <c r="P135" s="282"/>
      <c r="Q135" s="282"/>
      <c r="R135" s="282"/>
      <c r="S135" s="282"/>
      <c r="T135" s="282"/>
      <c r="U135" s="282"/>
      <c r="V135" s="282"/>
      <c r="W135" s="282"/>
      <c r="X135" s="282"/>
      <c r="Y135" s="282"/>
      <c r="Z135" s="282"/>
      <c r="AA135" s="282"/>
      <c r="AB135" s="282"/>
      <c r="AC135" s="282"/>
      <c r="AD135" s="282"/>
      <c r="AE135" s="282"/>
      <c r="AF135" s="282"/>
      <c r="AG135" s="282"/>
      <c r="AH135" s="282"/>
      <c r="AI135" s="282"/>
      <c r="AJ135" s="282"/>
      <c r="AK135" s="282"/>
      <c r="AL135" s="282"/>
      <c r="AM135" s="282"/>
      <c r="AN135" s="282"/>
      <c r="AO135" s="282"/>
      <c r="AP135" s="282"/>
      <c r="AQ135" s="282"/>
      <c r="AR135" s="282"/>
      <c r="AS135" s="282"/>
      <c r="AT135" s="282"/>
      <c r="AU135" s="282"/>
      <c r="AV135" s="282"/>
      <c r="AW135" s="282"/>
      <c r="AX135" s="282"/>
      <c r="AY135" s="282"/>
      <c r="AZ135" s="282"/>
      <c r="BA135" s="282"/>
      <c r="BB135" s="282"/>
      <c r="BC135" s="282"/>
      <c r="BD135" s="1753"/>
      <c r="BE135" s="282"/>
      <c r="BF135" s="282"/>
      <c r="BG135" s="282"/>
      <c r="BH135" s="282"/>
      <c r="BI135" s="1753"/>
      <c r="BJ135" s="282"/>
      <c r="BK135" s="282">
        <f>BK133/BJ133-1</f>
        <v>0.25</v>
      </c>
      <c r="BL135" s="282">
        <f t="shared" ref="BL135" si="154">BL133/BK133-1</f>
        <v>0.39999999999999991</v>
      </c>
      <c r="BM135" s="282">
        <f t="shared" ref="BM135" si="155">BM133/BL133-1</f>
        <v>0.85714285714285698</v>
      </c>
      <c r="BN135" s="1753"/>
      <c r="BO135" s="282">
        <f>BO133/BM133-1</f>
        <v>0.3846153846153848</v>
      </c>
      <c r="BP135" s="282">
        <f>BP133/BO133-1</f>
        <v>0.16666666666666674</v>
      </c>
      <c r="BQ135" s="282">
        <f t="shared" ref="BQ135" si="156">BQ133/BP133-1</f>
        <v>0.38095238095238093</v>
      </c>
      <c r="BR135" s="282">
        <f t="shared" ref="BR135" si="157">BR133/BQ133-1</f>
        <v>0.3793103448275863</v>
      </c>
      <c r="BS135" s="1753"/>
      <c r="BT135" s="282">
        <f>BT133/BR133-1</f>
        <v>0.17500000000000004</v>
      </c>
      <c r="BU135" s="282">
        <f>BU133/BT133-1</f>
        <v>0.1063829787234043</v>
      </c>
      <c r="BV135" s="282">
        <f t="shared" ref="BV135" si="158">BV133/BU133-1</f>
        <v>7.6923076923076872E-2</v>
      </c>
      <c r="BW135" s="282">
        <f t="shared" ref="BW135" si="159">BW133/BV133-1</f>
        <v>0.1964285714285714</v>
      </c>
      <c r="BX135" s="1753"/>
      <c r="BY135" s="282">
        <f>BY133/BW133-1</f>
        <v>0.10447761194029859</v>
      </c>
      <c r="BZ135" s="282">
        <f>BZ133/BY133-1</f>
        <v>8.1081081081080919E-2</v>
      </c>
      <c r="CA135" s="282">
        <f t="shared" ref="CA135" si="160">CA133/BZ133-1</f>
        <v>3.7500000000000089E-2</v>
      </c>
      <c r="CB135" s="1755">
        <f t="shared" ref="CB135" si="161">CB133/CA133-1</f>
        <v>0.19277108433734913</v>
      </c>
      <c r="CC135" s="1753"/>
      <c r="CD135" s="282">
        <f>CD133/CB133-1</f>
        <v>-1.0101010101009833E-2</v>
      </c>
      <c r="CE135" s="282">
        <f>CE133/CD133-1</f>
        <v>7.1428571428571397E-2</v>
      </c>
      <c r="CF135" s="282">
        <f t="shared" ref="CF135:CG135" si="162">CF133/CE133-1</f>
        <v>6.6666666666666652E-2</v>
      </c>
      <c r="CG135" s="1755">
        <f t="shared" si="162"/>
        <v>8.0357142857143016E-2</v>
      </c>
      <c r="CH135" s="1753"/>
      <c r="CI135" s="158"/>
      <c r="CJ135" s="158"/>
      <c r="CK135" s="158"/>
      <c r="CL135" s="158"/>
      <c r="CM135" s="160"/>
      <c r="CN135" s="158"/>
      <c r="CO135" s="158"/>
      <c r="CP135" s="158"/>
      <c r="CQ135" s="158"/>
      <c r="CR135" s="160"/>
      <c r="CS135" s="158"/>
      <c r="CT135" s="158"/>
      <c r="CU135" s="158"/>
      <c r="CV135" s="158"/>
      <c r="CW135" s="160"/>
      <c r="CZ135" s="171"/>
      <c r="DA135" s="170"/>
      <c r="DB135" s="170"/>
      <c r="DC135"/>
      <c r="DD135"/>
      <c r="DE135"/>
      <c r="DF135"/>
      <c r="DG135"/>
      <c r="DH135"/>
    </row>
    <row r="136" spans="1:112" s="1838" customFormat="1">
      <c r="A136" s="1834" t="s">
        <v>868</v>
      </c>
      <c r="B136" s="1835"/>
      <c r="C136" s="1835"/>
      <c r="D136" s="1835"/>
      <c r="E136" s="1835"/>
      <c r="F136" s="546"/>
      <c r="G136" s="1835"/>
      <c r="H136" s="1835"/>
      <c r="I136" s="1835"/>
      <c r="J136" s="1835"/>
      <c r="K136" s="1835"/>
      <c r="L136" s="1835"/>
      <c r="M136" s="1835"/>
      <c r="N136" s="1835"/>
      <c r="O136" s="1835"/>
      <c r="P136" s="1835"/>
      <c r="Q136" s="1835"/>
      <c r="R136" s="1835"/>
      <c r="S136" s="1835"/>
      <c r="T136" s="1835"/>
      <c r="U136" s="1835"/>
      <c r="V136" s="1835"/>
      <c r="W136" s="1835"/>
      <c r="X136" s="1835"/>
      <c r="Y136" s="1835"/>
      <c r="Z136" s="1835"/>
      <c r="AA136" s="1835"/>
      <c r="AB136" s="1835"/>
      <c r="AC136" s="1835"/>
      <c r="AD136" s="1835"/>
      <c r="AE136" s="1835"/>
      <c r="AF136" s="1835"/>
      <c r="AG136" s="1835"/>
      <c r="AH136" s="1835"/>
      <c r="AI136" s="1835"/>
      <c r="AJ136" s="1835"/>
      <c r="AK136" s="1835"/>
      <c r="AL136" s="1835"/>
      <c r="AM136" s="1835"/>
      <c r="AN136" s="1835"/>
      <c r="AO136" s="1835"/>
      <c r="AP136" s="1835"/>
      <c r="AQ136" s="1835"/>
      <c r="AR136" s="1835"/>
      <c r="AS136" s="1835"/>
      <c r="AT136" s="1835"/>
      <c r="AU136" s="1835"/>
      <c r="AV136" s="1835"/>
      <c r="AW136" s="1835"/>
      <c r="AX136" s="1835"/>
      <c r="AY136" s="1835"/>
      <c r="AZ136" s="1835"/>
      <c r="BA136" s="1835"/>
      <c r="BB136" s="1835"/>
      <c r="BC136" s="1835"/>
      <c r="BD136" s="1836"/>
      <c r="BE136" s="1835"/>
      <c r="BF136" s="1835"/>
      <c r="BG136" s="1835"/>
      <c r="BH136" s="1835"/>
      <c r="BI136" s="1836"/>
      <c r="BJ136" s="1835">
        <f t="shared" ref="BJ136:CF136" si="163">BJ133/BJ137</f>
        <v>1.7833259028087382E-3</v>
      </c>
      <c r="BK136" s="1835">
        <f t="shared" si="163"/>
        <v>1.9646365422396855E-3</v>
      </c>
      <c r="BL136" s="1835">
        <f t="shared" si="163"/>
        <v>2.3387905111927829E-3</v>
      </c>
      <c r="BM136" s="1835">
        <f t="shared" si="163"/>
        <v>3.6131183991106163E-3</v>
      </c>
      <c r="BN136" s="1836">
        <f t="shared" si="163"/>
        <v>2.5485543545126985E-3</v>
      </c>
      <c r="BO136" s="1835">
        <f t="shared" si="163"/>
        <v>4.2492917847025491E-3</v>
      </c>
      <c r="BP136" s="1835">
        <f t="shared" si="163"/>
        <v>4.4052863436123343E-3</v>
      </c>
      <c r="BQ136" s="1835">
        <f t="shared" si="163"/>
        <v>5.2977712824260137E-3</v>
      </c>
      <c r="BR136" s="1835">
        <f t="shared" si="163"/>
        <v>6.3603116552711086E-3</v>
      </c>
      <c r="BS136" s="1836">
        <f t="shared" si="163"/>
        <v>5.2008090147356257E-3</v>
      </c>
      <c r="BT136" s="1835">
        <f t="shared" si="163"/>
        <v>6.588169329969161E-3</v>
      </c>
      <c r="BU136" s="1835">
        <f t="shared" si="163"/>
        <v>6.7183462532299735E-3</v>
      </c>
      <c r="BV136" s="1835">
        <f t="shared" si="163"/>
        <v>6.754311904474731E-3</v>
      </c>
      <c r="BW136" s="1835">
        <f t="shared" si="163"/>
        <v>7.3837337447652633E-3</v>
      </c>
      <c r="BX136" s="1836">
        <f t="shared" si="163"/>
        <v>6.8860696671733E-3</v>
      </c>
      <c r="BY136" s="1835">
        <f t="shared" si="163"/>
        <v>6.9145954027284616E-3</v>
      </c>
      <c r="BZ136" s="1835">
        <f t="shared" si="163"/>
        <v>7.3821168219987097E-3</v>
      </c>
      <c r="CA136" s="1835">
        <f t="shared" si="163"/>
        <v>7.1025158309087812E-3</v>
      </c>
      <c r="CB136" s="1837">
        <f t="shared" si="163"/>
        <v>7.8428265863899182E-3</v>
      </c>
      <c r="CC136" s="1837">
        <f t="shared" si="163"/>
        <v>7.3285639504449473E-3</v>
      </c>
      <c r="CD136" s="1835">
        <f t="shared" si="163"/>
        <v>7.0819482584188473E-3</v>
      </c>
      <c r="CE136" s="1835">
        <f t="shared" si="163"/>
        <v>7.0769023387477247E-3</v>
      </c>
      <c r="CF136" s="1835">
        <f t="shared" si="163"/>
        <v>7.1323950837419601E-3</v>
      </c>
      <c r="CG136" s="1910">
        <f t="shared" ref="CG136:CH136" si="164">CG133/CG137</f>
        <v>7.4498214505602772E-3</v>
      </c>
      <c r="CH136" s="1911">
        <f t="shared" si="164"/>
        <v>7.192345760475091E-3</v>
      </c>
      <c r="CI136" s="1835"/>
      <c r="CJ136" s="1835"/>
      <c r="CK136" s="1835"/>
      <c r="CL136" s="1835"/>
      <c r="CM136" s="1836"/>
      <c r="CN136" s="1835"/>
      <c r="CO136" s="1835"/>
      <c r="CP136" s="1835"/>
      <c r="CQ136" s="1835"/>
      <c r="CR136" s="1836"/>
      <c r="CS136" s="1835"/>
      <c r="CT136" s="1835"/>
      <c r="CU136" s="1835"/>
      <c r="CV136" s="1835"/>
      <c r="CW136" s="1836"/>
      <c r="CZ136" s="1839"/>
      <c r="DA136" s="1840"/>
      <c r="DB136" s="1840"/>
      <c r="DC136"/>
      <c r="DD136"/>
      <c r="DE136"/>
      <c r="DF136"/>
      <c r="DG136"/>
      <c r="DH136"/>
    </row>
    <row r="137" spans="1:112" s="1825" customFormat="1">
      <c r="A137" s="1828" t="s">
        <v>867</v>
      </c>
      <c r="B137" s="1496"/>
      <c r="C137" s="1496"/>
      <c r="D137" s="1496"/>
      <c r="E137" s="1496"/>
      <c r="F137" s="1829"/>
      <c r="G137" s="1496"/>
      <c r="H137" s="1496"/>
      <c r="I137" s="1496"/>
      <c r="J137" s="1496"/>
      <c r="K137" s="1496"/>
      <c r="L137" s="1496"/>
      <c r="M137" s="1496"/>
      <c r="N137" s="1496"/>
      <c r="O137" s="1496"/>
      <c r="P137" s="1496"/>
      <c r="Q137" s="1496"/>
      <c r="R137" s="1496"/>
      <c r="S137" s="1496"/>
      <c r="T137" s="1496"/>
      <c r="U137" s="1496"/>
      <c r="V137" s="1496"/>
      <c r="W137" s="1496"/>
      <c r="X137" s="1496"/>
      <c r="Y137" s="1496"/>
      <c r="Z137" s="1496"/>
      <c r="AA137" s="1496"/>
      <c r="AB137" s="1496"/>
      <c r="AC137" s="1496"/>
      <c r="AD137" s="1496"/>
      <c r="AE137" s="1496"/>
      <c r="AF137" s="1496"/>
      <c r="AG137" s="1496"/>
      <c r="AH137" s="1496"/>
      <c r="AI137" s="1496"/>
      <c r="AJ137" s="1496"/>
      <c r="AK137" s="1496"/>
      <c r="AL137" s="1496"/>
      <c r="AM137" s="1496"/>
      <c r="AN137" s="1496"/>
      <c r="AO137" s="1496"/>
      <c r="AP137" s="1496"/>
      <c r="AQ137" s="1496"/>
      <c r="AR137" s="1496"/>
      <c r="AS137" s="1496"/>
      <c r="AT137" s="1496"/>
      <c r="AU137" s="1496"/>
      <c r="AV137" s="1496"/>
      <c r="AW137" s="1496"/>
      <c r="AX137" s="1496"/>
      <c r="AY137" s="1496"/>
      <c r="AZ137" s="1496"/>
      <c r="BA137" s="1496"/>
      <c r="BB137" s="1496"/>
      <c r="BC137" s="1496"/>
      <c r="BD137" s="1497"/>
      <c r="BE137" s="1496"/>
      <c r="BF137" s="1496"/>
      <c r="BG137" s="1496"/>
      <c r="BH137" s="1496"/>
      <c r="BI137" s="1497"/>
      <c r="BJ137" s="1496">
        <f>SUM(BJ125,BJ129,BJ133)</f>
        <v>224.3</v>
      </c>
      <c r="BK137" s="1496">
        <f>SUM(BK125,BK129,BK133)</f>
        <v>254.5</v>
      </c>
      <c r="BL137" s="1496">
        <f>SUM(BL125,BL129,BL133)</f>
        <v>299.3</v>
      </c>
      <c r="BM137" s="1496">
        <f>SUM(BM125,BM129,BM133)</f>
        <v>359.8</v>
      </c>
      <c r="BN137" s="1497">
        <f>SUM(BJ137:BM137)</f>
        <v>1137.9000000000001</v>
      </c>
      <c r="BO137" s="1496">
        <f>SUM(BO125,BO129,BO133)</f>
        <v>423.6</v>
      </c>
      <c r="BP137" s="1496">
        <f>SUM(BP125,BP129,BP133)</f>
        <v>476.70000000000005</v>
      </c>
      <c r="BQ137" s="1496">
        <f>SUM(BQ125,BQ129,BQ133)</f>
        <v>547.4</v>
      </c>
      <c r="BR137" s="1496">
        <f>SUM(BR125,BR129,BR133)</f>
        <v>628.9</v>
      </c>
      <c r="BS137" s="1497">
        <f>SUM(BO137:BR137)</f>
        <v>2076.6</v>
      </c>
      <c r="BT137" s="1496">
        <f>SUM(BT125,BT129,BT133)</f>
        <v>713.40000000000009</v>
      </c>
      <c r="BU137" s="1496">
        <f>SUM(BU125,BU129,BU133)</f>
        <v>774.00000000000011</v>
      </c>
      <c r="BV137" s="1496">
        <f>SUM(BV125,BV129,BV133)</f>
        <v>829.1</v>
      </c>
      <c r="BW137" s="1496">
        <f>SUM(BW125,BW129,BW133)</f>
        <v>907.39999999999986</v>
      </c>
      <c r="BX137" s="1497">
        <f>SUM(BT137:BW137)</f>
        <v>3223.8999999999996</v>
      </c>
      <c r="BY137" s="1496">
        <f>SUM(BY125,BY129,BY133)</f>
        <v>1070.2</v>
      </c>
      <c r="BZ137" s="1496">
        <f>SUM(BZ125,BZ129,BZ133)</f>
        <v>1083.6999999999998</v>
      </c>
      <c r="CA137" s="1496">
        <f t="shared" ref="CA137:CF137" si="165">SUM(CA125,CA129,CA133)</f>
        <v>1168.5999999999999</v>
      </c>
      <c r="CB137" s="1830">
        <f t="shared" si="165"/>
        <v>1262.3000000000006</v>
      </c>
      <c r="CC137" s="1497">
        <f t="shared" si="165"/>
        <v>4584.8000000000011</v>
      </c>
      <c r="CD137" s="1496">
        <f t="shared" si="165"/>
        <v>1383.8</v>
      </c>
      <c r="CE137" s="1496">
        <f t="shared" si="165"/>
        <v>1483.7</v>
      </c>
      <c r="CF137" s="1496">
        <f t="shared" si="165"/>
        <v>1570.3</v>
      </c>
      <c r="CG137" s="1830">
        <f t="shared" ref="CG137:CH137" si="166">SUM(CG125,CG129,CG133)</f>
        <v>1624.1999999999998</v>
      </c>
      <c r="CH137" s="1497">
        <f t="shared" si="166"/>
        <v>6062</v>
      </c>
      <c r="CI137" s="1496"/>
      <c r="CJ137" s="1496"/>
      <c r="CK137" s="1496"/>
      <c r="CL137" s="1496"/>
      <c r="CM137" s="1497"/>
      <c r="CN137" s="1496"/>
      <c r="CO137" s="1496"/>
      <c r="CP137" s="1496"/>
      <c r="CQ137" s="1496"/>
      <c r="CR137" s="1497"/>
      <c r="CS137" s="1496"/>
      <c r="CT137" s="1496"/>
      <c r="CU137" s="1496"/>
      <c r="CV137" s="1496"/>
      <c r="CW137" s="1497"/>
      <c r="CZ137" s="1826"/>
      <c r="DA137" s="1827"/>
      <c r="DB137" s="1827"/>
      <c r="DC137"/>
      <c r="DD137"/>
      <c r="DE137"/>
      <c r="DF137"/>
      <c r="DG137"/>
      <c r="DH137"/>
    </row>
    <row r="138" spans="1:112" s="1754" customFormat="1">
      <c r="A138" s="1757" t="s">
        <v>559</v>
      </c>
      <c r="B138" s="158"/>
      <c r="C138" s="158"/>
      <c r="D138" s="158"/>
      <c r="E138" s="158"/>
      <c r="F138" s="1750"/>
      <c r="G138" s="158"/>
      <c r="H138" s="158"/>
      <c r="I138" s="158"/>
      <c r="J138" s="158"/>
      <c r="K138" s="158"/>
      <c r="L138" s="158"/>
      <c r="M138" s="158"/>
      <c r="N138" s="158"/>
      <c r="O138" s="158"/>
      <c r="P138" s="158"/>
      <c r="Q138" s="158"/>
      <c r="R138" s="158"/>
      <c r="S138" s="1751"/>
      <c r="T138" s="158"/>
      <c r="U138" s="1751"/>
      <c r="V138" s="158"/>
      <c r="W138" s="158"/>
      <c r="X138" s="158"/>
      <c r="Y138" s="158"/>
      <c r="Z138" s="158"/>
      <c r="AA138" s="158"/>
      <c r="AB138" s="158"/>
      <c r="AC138" s="158"/>
      <c r="AD138" s="158"/>
      <c r="AE138" s="158"/>
      <c r="AF138" s="158"/>
      <c r="AG138" s="158"/>
      <c r="AH138" s="158"/>
      <c r="AI138" s="158"/>
      <c r="AJ138" s="158"/>
      <c r="AK138" s="158"/>
      <c r="AL138" s="158"/>
      <c r="AM138" s="158"/>
      <c r="AN138" s="158"/>
      <c r="AO138" s="158"/>
      <c r="AP138" s="158"/>
      <c r="AQ138" s="158"/>
      <c r="AR138" s="158"/>
      <c r="AS138" s="158"/>
      <c r="AT138" s="158"/>
      <c r="AU138" s="158"/>
      <c r="AV138" s="158"/>
      <c r="AW138" s="158"/>
      <c r="AX138" s="158"/>
      <c r="AY138" s="158"/>
      <c r="AZ138" s="158"/>
      <c r="BA138" s="158"/>
      <c r="BB138" s="158"/>
      <c r="BC138" s="158"/>
      <c r="BD138" s="160"/>
      <c r="BE138" s="158"/>
      <c r="BF138" s="158"/>
      <c r="BG138" s="1752"/>
      <c r="BH138" s="158"/>
      <c r="BI138" s="160"/>
      <c r="BJ138" s="158"/>
      <c r="BK138" s="158"/>
      <c r="BL138" s="158"/>
      <c r="BM138" s="158"/>
      <c r="BN138" s="160"/>
      <c r="BO138" s="282">
        <f>BO137/BJ137-1</f>
        <v>0.8885421310744539</v>
      </c>
      <c r="BP138" s="282">
        <f t="shared" ref="BP138" si="167">BP137/BK137-1</f>
        <v>0.87308447937131639</v>
      </c>
      <c r="BQ138" s="282">
        <f t="shared" ref="BQ138" si="168">BQ137/BL137-1</f>
        <v>0.82893417975275629</v>
      </c>
      <c r="BR138" s="282">
        <f t="shared" ref="BR138" si="169">BR137/BM137-1</f>
        <v>0.74791550861589751</v>
      </c>
      <c r="BS138" s="1753">
        <f t="shared" ref="BS138" si="170">BS137/BN137-1</f>
        <v>0.82494068020036893</v>
      </c>
      <c r="BT138" s="282">
        <f t="shared" ref="BT138" si="171">BT137/BO137-1</f>
        <v>0.68413597733711051</v>
      </c>
      <c r="BU138" s="282">
        <f t="shared" ref="BU138" si="172">BU137/BP137-1</f>
        <v>0.62366268093140342</v>
      </c>
      <c r="BV138" s="282">
        <f t="shared" ref="BV138" si="173">BV137/BQ137-1</f>
        <v>0.51461454146876151</v>
      </c>
      <c r="BW138" s="282">
        <f t="shared" ref="BW138" si="174">BW137/BR137-1</f>
        <v>0.44283669899825084</v>
      </c>
      <c r="BX138" s="1753">
        <f t="shared" ref="BX138" si="175">BX137/BS137-1</f>
        <v>0.55248964653760946</v>
      </c>
      <c r="BY138" s="282">
        <f t="shared" ref="BY138" si="176">BY137/BT137-1</f>
        <v>0.50014017381553111</v>
      </c>
      <c r="BZ138" s="282">
        <f t="shared" ref="BZ138" si="177">BZ137/BU137-1</f>
        <v>0.40012919896640775</v>
      </c>
      <c r="CA138" s="282">
        <f t="shared" ref="CA138" si="178">CA137/BV137-1</f>
        <v>0.40948015920878045</v>
      </c>
      <c r="CB138" s="1755">
        <f t="shared" ref="CB138" si="179">CB137/BW137-1</f>
        <v>0.39111747851002954</v>
      </c>
      <c r="CC138" s="1753">
        <f t="shared" ref="CC138" si="180">CC137/BX137-1</f>
        <v>0.42212847793045749</v>
      </c>
      <c r="CD138" s="282">
        <f t="shared" ref="CD138" si="181">CD137/BY137-1</f>
        <v>0.29302934031022221</v>
      </c>
      <c r="CE138" s="282">
        <f t="shared" ref="CE138" si="182">CE137/BZ137-1</f>
        <v>0.36910584109993572</v>
      </c>
      <c r="CF138" s="282">
        <f t="shared" ref="CF138:CG138" si="183">CF137/CA137-1</f>
        <v>0.3437446517200069</v>
      </c>
      <c r="CG138" s="1755">
        <f t="shared" si="183"/>
        <v>0.28669888299136415</v>
      </c>
      <c r="CH138" s="159"/>
      <c r="CI138" s="158"/>
      <c r="CJ138" s="158"/>
      <c r="CK138" s="158"/>
      <c r="CL138" s="158"/>
      <c r="CM138" s="160"/>
      <c r="CN138" s="158"/>
      <c r="CO138" s="158"/>
      <c r="CP138" s="158"/>
      <c r="CQ138" s="158"/>
      <c r="CR138" s="160"/>
      <c r="CS138" s="158"/>
      <c r="CT138" s="158"/>
      <c r="CU138" s="158"/>
      <c r="CV138" s="158"/>
      <c r="CW138" s="160"/>
      <c r="CZ138" s="171"/>
      <c r="DA138" s="170"/>
      <c r="DB138" s="170"/>
      <c r="DC138"/>
      <c r="DD138"/>
      <c r="DE138"/>
      <c r="DF138"/>
      <c r="DG138"/>
      <c r="DH138"/>
    </row>
    <row r="139" spans="1:112" s="1754" customFormat="1">
      <c r="A139" s="1758" t="s">
        <v>808</v>
      </c>
      <c r="B139" s="282"/>
      <c r="C139" s="282"/>
      <c r="D139" s="282"/>
      <c r="E139" s="282"/>
      <c r="F139" s="162"/>
      <c r="G139" s="282"/>
      <c r="H139" s="282"/>
      <c r="I139" s="282"/>
      <c r="J139" s="282"/>
      <c r="K139" s="282"/>
      <c r="L139" s="282"/>
      <c r="M139" s="282"/>
      <c r="N139" s="282"/>
      <c r="O139" s="282"/>
      <c r="P139" s="282"/>
      <c r="Q139" s="282"/>
      <c r="R139" s="282"/>
      <c r="S139" s="282"/>
      <c r="T139" s="282"/>
      <c r="U139" s="282"/>
      <c r="V139" s="282"/>
      <c r="W139" s="282"/>
      <c r="X139" s="282"/>
      <c r="Y139" s="282"/>
      <c r="Z139" s="282"/>
      <c r="AA139" s="282"/>
      <c r="AB139" s="282"/>
      <c r="AC139" s="282"/>
      <c r="AD139" s="282"/>
      <c r="AE139" s="282"/>
      <c r="AF139" s="282"/>
      <c r="AG139" s="282"/>
      <c r="AH139" s="282"/>
      <c r="AI139" s="282"/>
      <c r="AJ139" s="282"/>
      <c r="AK139" s="282"/>
      <c r="AL139" s="282"/>
      <c r="AM139" s="282"/>
      <c r="AN139" s="282"/>
      <c r="AO139" s="282"/>
      <c r="AP139" s="282"/>
      <c r="AQ139" s="282"/>
      <c r="AR139" s="282"/>
      <c r="AS139" s="282"/>
      <c r="AT139" s="282"/>
      <c r="AU139" s="282"/>
      <c r="AV139" s="282"/>
      <c r="AW139" s="282"/>
      <c r="AX139" s="282"/>
      <c r="AY139" s="282"/>
      <c r="AZ139" s="282"/>
      <c r="BA139" s="282"/>
      <c r="BB139" s="282"/>
      <c r="BC139" s="282"/>
      <c r="BD139" s="1753"/>
      <c r="BE139" s="282"/>
      <c r="BF139" s="282"/>
      <c r="BG139" s="282"/>
      <c r="BH139" s="282"/>
      <c r="BI139" s="1753"/>
      <c r="BJ139" s="282"/>
      <c r="BK139" s="282">
        <f>BK137/BJ137-1</f>
        <v>0.13464110566205978</v>
      </c>
      <c r="BL139" s="282">
        <f t="shared" ref="BL139" si="184">BL137/BK137-1</f>
        <v>0.17603143418467582</v>
      </c>
      <c r="BM139" s="282">
        <f t="shared" ref="BM139" si="185">BM137/BL137-1</f>
        <v>0.20213832275309063</v>
      </c>
      <c r="BN139" s="1753"/>
      <c r="BO139" s="282">
        <f>BO137/BM137-1</f>
        <v>0.17732073374096724</v>
      </c>
      <c r="BP139" s="282">
        <f>BP137/BO137-1</f>
        <v>0.12535410764872523</v>
      </c>
      <c r="BQ139" s="282">
        <f t="shared" ref="BQ139" si="186">BQ137/BP137-1</f>
        <v>0.14831130690161509</v>
      </c>
      <c r="BR139" s="282">
        <f t="shared" ref="BR139" si="187">BR137/BQ137-1</f>
        <v>0.14888564121300685</v>
      </c>
      <c r="BS139" s="1753"/>
      <c r="BT139" s="282">
        <f>BT137/BR137-1</f>
        <v>0.13436158371760243</v>
      </c>
      <c r="BU139" s="282">
        <f>BU137/BT137-1</f>
        <v>8.4945332211942892E-2</v>
      </c>
      <c r="BV139" s="282">
        <f t="shared" ref="BV139" si="188">BV137/BU137-1</f>
        <v>7.1188630490955918E-2</v>
      </c>
      <c r="BW139" s="282">
        <f t="shared" ref="BW139" si="189">BW137/BV137-1</f>
        <v>9.4439753950066097E-2</v>
      </c>
      <c r="BX139" s="1753"/>
      <c r="BY139" s="282">
        <f>BY137/BW137-1</f>
        <v>0.1794137094996695</v>
      </c>
      <c r="BZ139" s="282">
        <f>BZ137/BY137-1</f>
        <v>1.2614464586058416E-2</v>
      </c>
      <c r="CA139" s="282">
        <f t="shared" ref="CA139" si="190">CA137/BZ137-1</f>
        <v>7.8342714773461442E-2</v>
      </c>
      <c r="CB139" s="1755">
        <f t="shared" ref="CB139" si="191">CB137/CA137-1</f>
        <v>8.0181413657368417E-2</v>
      </c>
      <c r="CC139" s="1753"/>
      <c r="CD139" s="282">
        <f>CD137/CB137-1</f>
        <v>9.6252871742057655E-2</v>
      </c>
      <c r="CE139" s="282">
        <f>CE137/CD137-1</f>
        <v>7.2192513368984024E-2</v>
      </c>
      <c r="CF139" s="282">
        <f t="shared" ref="CF139:CG139" si="192">CF137/CE137-1</f>
        <v>5.8367594527195532E-2</v>
      </c>
      <c r="CG139" s="1755">
        <f t="shared" si="192"/>
        <v>3.4324651340507994E-2</v>
      </c>
      <c r="CH139" s="159"/>
      <c r="CI139" s="158"/>
      <c r="CJ139" s="158"/>
      <c r="CK139" s="158"/>
      <c r="CL139" s="158"/>
      <c r="CM139" s="160"/>
      <c r="CN139" s="158"/>
      <c r="CO139" s="158"/>
      <c r="CP139" s="158"/>
      <c r="CQ139" s="158"/>
      <c r="CR139" s="160"/>
      <c r="CS139" s="158"/>
      <c r="CT139" s="158"/>
      <c r="CU139" s="158"/>
      <c r="CV139" s="158"/>
      <c r="CW139" s="160"/>
      <c r="CZ139" s="171"/>
      <c r="DA139" s="170"/>
      <c r="DB139" s="170"/>
      <c r="DC139"/>
      <c r="DD139"/>
      <c r="DE139"/>
      <c r="DF139"/>
      <c r="DG139"/>
      <c r="DH139"/>
    </row>
    <row r="140" spans="1:112" s="1754" customFormat="1">
      <c r="A140" s="1758" t="s">
        <v>277</v>
      </c>
      <c r="B140" s="282"/>
      <c r="C140" s="282"/>
      <c r="D140" s="282"/>
      <c r="E140" s="282"/>
      <c r="F140" s="162"/>
      <c r="G140" s="282"/>
      <c r="H140" s="282"/>
      <c r="I140" s="282"/>
      <c r="J140" s="282"/>
      <c r="K140" s="282"/>
      <c r="L140" s="282"/>
      <c r="M140" s="282"/>
      <c r="N140" s="282"/>
      <c r="O140" s="282"/>
      <c r="P140" s="282"/>
      <c r="Q140" s="282"/>
      <c r="R140" s="282"/>
      <c r="S140" s="282"/>
      <c r="T140" s="282"/>
      <c r="U140" s="282"/>
      <c r="V140" s="282"/>
      <c r="W140" s="282"/>
      <c r="X140" s="282"/>
      <c r="Y140" s="282"/>
      <c r="Z140" s="282"/>
      <c r="AA140" s="282"/>
      <c r="AB140" s="282"/>
      <c r="AC140" s="282"/>
      <c r="AD140" s="282"/>
      <c r="AE140" s="282"/>
      <c r="AF140" s="282"/>
      <c r="AG140" s="282"/>
      <c r="AH140" s="282"/>
      <c r="AI140" s="282"/>
      <c r="AJ140" s="282"/>
      <c r="AK140" s="282"/>
      <c r="AL140" s="282"/>
      <c r="AM140" s="282"/>
      <c r="AN140" s="282"/>
      <c r="AO140" s="282"/>
      <c r="AP140" s="282"/>
      <c r="AQ140" s="282"/>
      <c r="AR140" s="282"/>
      <c r="AS140" s="282"/>
      <c r="AT140" s="282"/>
      <c r="AU140" s="282"/>
      <c r="AV140" s="282"/>
      <c r="AW140" s="282"/>
      <c r="AX140" s="282"/>
      <c r="AY140" s="282"/>
      <c r="AZ140" s="282"/>
      <c r="BA140" s="282"/>
      <c r="BB140" s="282"/>
      <c r="BC140" s="282"/>
      <c r="BD140" s="1753"/>
      <c r="BE140" s="282"/>
      <c r="BF140" s="282"/>
      <c r="BG140" s="282"/>
      <c r="BH140" s="282"/>
      <c r="BI140" s="1753"/>
      <c r="BJ140" s="282"/>
      <c r="BK140" s="282"/>
      <c r="BL140" s="282"/>
      <c r="BM140" s="282"/>
      <c r="BN140" s="1753"/>
      <c r="BO140" s="282"/>
      <c r="BP140" s="282"/>
      <c r="BQ140" s="282"/>
      <c r="BR140" s="282"/>
      <c r="BS140" s="1753"/>
      <c r="BT140" s="282"/>
      <c r="BU140" s="282"/>
      <c r="BV140" s="282"/>
      <c r="BW140" s="282"/>
      <c r="BX140" s="1753"/>
      <c r="BY140" s="282">
        <f>BY137/Model!BZ24</f>
        <v>0.77363762212334686</v>
      </c>
      <c r="BZ140" s="282">
        <f>BZ137/Model!CA24</f>
        <v>0.77478589184741053</v>
      </c>
      <c r="CA140" s="282">
        <f>CA137/Model!CB24</f>
        <v>0.79824203687651418</v>
      </c>
      <c r="CB140" s="282">
        <f>CB137/Model!CC24</f>
        <v>0.78480793872740917</v>
      </c>
      <c r="CC140" s="1753"/>
      <c r="CD140" s="282">
        <f>CD137/Model!CE24</f>
        <v>0.822884245554653</v>
      </c>
      <c r="CE140" s="282">
        <f>CE137/Model!CF24</f>
        <v>0.83721271421235877</v>
      </c>
      <c r="CF140" s="282">
        <f>CF137/Model!CG24</f>
        <v>0.85292606380840741</v>
      </c>
      <c r="CG140" s="1755">
        <f>CG137/Model!CH24</f>
        <v>0.8094309016019674</v>
      </c>
      <c r="CH140" s="159"/>
      <c r="CI140" s="158"/>
      <c r="CJ140" s="158"/>
      <c r="CK140" s="158"/>
      <c r="CL140" s="158"/>
      <c r="CM140" s="160"/>
      <c r="CN140" s="158"/>
      <c r="CO140" s="158"/>
      <c r="CP140" s="158"/>
      <c r="CQ140" s="158"/>
      <c r="CR140" s="160"/>
      <c r="CS140" s="158"/>
      <c r="CT140" s="158"/>
      <c r="CU140" s="158"/>
      <c r="CV140" s="158"/>
      <c r="CW140" s="160"/>
      <c r="CZ140" s="171"/>
      <c r="DA140" s="170"/>
      <c r="DB140" s="170"/>
      <c r="DC140"/>
      <c r="DD140"/>
      <c r="DE140"/>
      <c r="DF140"/>
      <c r="DG140"/>
      <c r="DH140"/>
    </row>
    <row r="141" spans="1:112" s="1754" customFormat="1">
      <c r="A141" s="1758"/>
      <c r="B141" s="282"/>
      <c r="C141" s="282"/>
      <c r="D141" s="282"/>
      <c r="E141" s="282"/>
      <c r="F141" s="162"/>
      <c r="G141" s="282"/>
      <c r="H141" s="282"/>
      <c r="I141" s="282"/>
      <c r="J141" s="282"/>
      <c r="K141" s="282"/>
      <c r="L141" s="282"/>
      <c r="M141" s="282"/>
      <c r="N141" s="282"/>
      <c r="O141" s="282"/>
      <c r="P141" s="282"/>
      <c r="Q141" s="282"/>
      <c r="R141" s="282"/>
      <c r="S141" s="282"/>
      <c r="T141" s="282"/>
      <c r="U141" s="282"/>
      <c r="V141" s="282"/>
      <c r="W141" s="282"/>
      <c r="X141" s="282"/>
      <c r="Y141" s="282"/>
      <c r="Z141" s="282"/>
      <c r="AA141" s="282"/>
      <c r="AB141" s="282"/>
      <c r="AC141" s="282"/>
      <c r="AD141" s="282"/>
      <c r="AE141" s="282"/>
      <c r="AF141" s="282"/>
      <c r="AG141" s="282"/>
      <c r="AH141" s="282"/>
      <c r="AI141" s="282"/>
      <c r="AJ141" s="282"/>
      <c r="AK141" s="282"/>
      <c r="AL141" s="282"/>
      <c r="AM141" s="282"/>
      <c r="AN141" s="282"/>
      <c r="AO141" s="282"/>
      <c r="AP141" s="282"/>
      <c r="AQ141" s="282"/>
      <c r="AR141" s="282"/>
      <c r="AS141" s="282"/>
      <c r="AT141" s="282"/>
      <c r="AU141" s="282"/>
      <c r="AV141" s="282"/>
      <c r="AW141" s="282"/>
      <c r="AX141" s="282"/>
      <c r="AY141" s="282"/>
      <c r="AZ141" s="282"/>
      <c r="BA141" s="282"/>
      <c r="BB141" s="282"/>
      <c r="BC141" s="282"/>
      <c r="BD141" s="1753"/>
      <c r="BE141" s="282"/>
      <c r="BF141" s="282"/>
      <c r="BG141" s="282"/>
      <c r="BH141" s="282"/>
      <c r="BI141" s="1753"/>
      <c r="BJ141" s="282"/>
      <c r="BK141" s="282"/>
      <c r="BL141" s="282"/>
      <c r="BM141" s="282"/>
      <c r="BN141" s="1753"/>
      <c r="BO141" s="282"/>
      <c r="BP141" s="282"/>
      <c r="BQ141" s="282"/>
      <c r="BR141" s="282"/>
      <c r="BS141" s="1753"/>
      <c r="BT141" s="282"/>
      <c r="BU141" s="282"/>
      <c r="BV141" s="282"/>
      <c r="BW141" s="282"/>
      <c r="BX141" s="1753"/>
      <c r="BY141" s="282"/>
      <c r="BZ141" s="282"/>
      <c r="CA141" s="282"/>
      <c r="CB141" s="1755"/>
      <c r="CC141" s="1753"/>
      <c r="CD141" s="282"/>
      <c r="CE141" s="282"/>
      <c r="CF141" s="282"/>
      <c r="CG141" s="158"/>
      <c r="CH141" s="160"/>
      <c r="CI141" s="158"/>
      <c r="CJ141" s="158"/>
      <c r="CK141" s="158"/>
      <c r="CL141" s="158"/>
      <c r="CM141" s="160"/>
      <c r="CN141" s="158"/>
      <c r="CO141" s="158"/>
      <c r="CP141" s="158"/>
      <c r="CQ141" s="158"/>
      <c r="CR141" s="160"/>
      <c r="CS141" s="158"/>
      <c r="CT141" s="158"/>
      <c r="CU141" s="158"/>
      <c r="CV141" s="158"/>
      <c r="CW141" s="160"/>
      <c r="CZ141" s="171"/>
      <c r="DA141" s="170"/>
      <c r="DB141" s="170"/>
      <c r="DC141"/>
      <c r="DD141"/>
      <c r="DE141"/>
      <c r="DF141"/>
      <c r="DG141"/>
      <c r="DH141"/>
    </row>
    <row r="142" spans="1:112" s="1825" customFormat="1">
      <c r="A142" s="1828" t="s">
        <v>876</v>
      </c>
      <c r="B142" s="1496"/>
      <c r="C142" s="1496"/>
      <c r="D142" s="1496"/>
      <c r="E142" s="1496"/>
      <c r="F142" s="1829"/>
      <c r="G142" s="1496"/>
      <c r="H142" s="1496"/>
      <c r="I142" s="1496"/>
      <c r="J142" s="1496"/>
      <c r="K142" s="1496"/>
      <c r="L142" s="1496"/>
      <c r="M142" s="1496"/>
      <c r="N142" s="1496"/>
      <c r="O142" s="1496"/>
      <c r="P142" s="1496"/>
      <c r="Q142" s="1496"/>
      <c r="R142" s="1496"/>
      <c r="S142" s="1496"/>
      <c r="T142" s="1496"/>
      <c r="U142" s="1496"/>
      <c r="V142" s="1496"/>
      <c r="W142" s="1496"/>
      <c r="X142" s="1496"/>
      <c r="Y142" s="1496"/>
      <c r="Z142" s="1496"/>
      <c r="AA142" s="1496"/>
      <c r="AB142" s="1496"/>
      <c r="AC142" s="1496"/>
      <c r="AD142" s="1496"/>
      <c r="AE142" s="1496"/>
      <c r="AF142" s="1496"/>
      <c r="AG142" s="1496"/>
      <c r="AH142" s="1496"/>
      <c r="AI142" s="1496"/>
      <c r="AJ142" s="1496"/>
      <c r="AK142" s="1496"/>
      <c r="AL142" s="1496"/>
      <c r="AM142" s="1496"/>
      <c r="AN142" s="1496"/>
      <c r="AO142" s="1496"/>
      <c r="AP142" s="1496"/>
      <c r="AQ142" s="1496"/>
      <c r="AR142" s="1496"/>
      <c r="AS142" s="1496"/>
      <c r="AT142" s="1496"/>
      <c r="AU142" s="1496"/>
      <c r="AV142" s="1496"/>
      <c r="AW142" s="1496"/>
      <c r="AX142" s="1496"/>
      <c r="AY142" s="1496"/>
      <c r="AZ142" s="1496"/>
      <c r="BA142" s="1496"/>
      <c r="BB142" s="1496"/>
      <c r="BC142" s="1496"/>
      <c r="BD142" s="1497"/>
      <c r="BE142" s="1496"/>
      <c r="BF142" s="1496"/>
      <c r="BG142" s="1496"/>
      <c r="BH142" s="1496"/>
      <c r="BI142" s="1497">
        <f>BI143*Model!BJ24</f>
        <v>1078.9008649999998</v>
      </c>
      <c r="BJ142" s="1496"/>
      <c r="BK142" s="1496"/>
      <c r="BL142" s="1496"/>
      <c r="BM142" s="1496"/>
      <c r="BN142" s="1497">
        <f>BN143*Model!BO24</f>
        <v>1530.8530999999998</v>
      </c>
      <c r="BO142" s="1496"/>
      <c r="BP142" s="1496"/>
      <c r="BQ142" s="1496"/>
      <c r="BR142" s="1496"/>
      <c r="BS142" s="1497">
        <f>BS143*Model!BT24</f>
        <v>2426.0330250000002</v>
      </c>
      <c r="BT142" s="1496"/>
      <c r="BU142" s="1496"/>
      <c r="BV142" s="1496"/>
      <c r="BW142" s="1496"/>
      <c r="BX142" s="1497">
        <f>BX143*Model!BY24</f>
        <v>3464.7566974999991</v>
      </c>
      <c r="BY142" s="1496"/>
      <c r="BZ142" s="1496"/>
      <c r="CA142" s="1496"/>
      <c r="CB142" s="1830"/>
      <c r="CC142" s="1497">
        <f>CC143*Model!CD24</f>
        <v>4785.9965250000005</v>
      </c>
      <c r="CD142" s="1496"/>
      <c r="CE142" s="1496"/>
      <c r="CF142" s="1496"/>
      <c r="CG142" s="1496"/>
      <c r="CH142" s="1497">
        <f>CH143*Model!CI24</f>
        <v>6334.0555875</v>
      </c>
      <c r="CI142" s="1496"/>
      <c r="CJ142" s="1496"/>
      <c r="CK142" s="1496"/>
      <c r="CL142" s="1496"/>
      <c r="CM142" s="1497">
        <f>CM143*Model!CN24</f>
        <v>7827.8014973115214</v>
      </c>
      <c r="CN142" s="1496"/>
      <c r="CO142" s="1496"/>
      <c r="CP142" s="1496"/>
      <c r="CQ142" s="1496"/>
      <c r="CR142" s="1497">
        <f>CR143*Model!CS24</f>
        <v>9270.1350140262439</v>
      </c>
      <c r="CS142" s="1496"/>
      <c r="CT142" s="1496"/>
      <c r="CU142" s="1496"/>
      <c r="CV142" s="1496"/>
      <c r="CW142" s="1497">
        <f>CW143*Model!CX24</f>
        <v>10784.488161483956</v>
      </c>
      <c r="CZ142" s="1826"/>
      <c r="DA142" s="1827"/>
      <c r="DB142" s="1827"/>
      <c r="DC142"/>
      <c r="DD142"/>
      <c r="DE142"/>
      <c r="DF142"/>
      <c r="DG142"/>
      <c r="DH142"/>
    </row>
    <row r="143" spans="1:112">
      <c r="A143" s="206" t="s">
        <v>550</v>
      </c>
      <c r="B143" s="192"/>
      <c r="C143" s="192"/>
      <c r="D143" s="192"/>
      <c r="E143" s="192"/>
      <c r="F143" s="137"/>
      <c r="G143" s="192"/>
      <c r="H143" s="192"/>
      <c r="I143" s="192"/>
      <c r="J143" s="192"/>
      <c r="K143" s="192"/>
      <c r="L143" s="192"/>
      <c r="M143" s="192"/>
      <c r="N143" s="192"/>
      <c r="O143" s="192"/>
      <c r="P143" s="192"/>
      <c r="Q143" s="192"/>
      <c r="R143" s="192"/>
      <c r="S143" s="843"/>
      <c r="T143" s="192"/>
      <c r="U143" s="843"/>
      <c r="V143" s="192"/>
      <c r="W143" s="192"/>
      <c r="X143" s="192"/>
      <c r="Y143" s="192"/>
      <c r="Z143" s="192"/>
      <c r="AA143" s="192"/>
      <c r="AB143" s="192"/>
      <c r="AC143" s="192"/>
      <c r="AD143" s="192"/>
      <c r="AE143" s="192"/>
      <c r="AF143" s="192"/>
      <c r="AG143" s="192"/>
      <c r="AH143" s="192"/>
      <c r="AI143" s="192"/>
      <c r="AJ143" s="192"/>
      <c r="AK143" s="192"/>
      <c r="AL143" s="192"/>
      <c r="AM143" s="192"/>
      <c r="AN143" s="192"/>
      <c r="AO143" s="192"/>
      <c r="AP143" s="192"/>
      <c r="AQ143" s="192"/>
      <c r="AR143" s="192"/>
      <c r="AS143" s="192"/>
      <c r="AT143" s="192"/>
      <c r="AU143" s="192"/>
      <c r="AV143" s="192"/>
      <c r="AW143" s="192"/>
      <c r="AX143" s="192"/>
      <c r="AY143" s="192"/>
      <c r="AZ143" s="192"/>
      <c r="BA143" s="192"/>
      <c r="BB143" s="192"/>
      <c r="BC143" s="192"/>
      <c r="BD143" s="191"/>
      <c r="BE143" s="1148">
        <v>0.23</v>
      </c>
      <c r="BF143" s="1148">
        <v>0.23</v>
      </c>
      <c r="BG143" s="1148">
        <v>0.25</v>
      </c>
      <c r="BH143" s="1148">
        <v>0.27</v>
      </c>
      <c r="BI143" s="1375">
        <f>AVERAGE(BE143:BH143)</f>
        <v>0.245</v>
      </c>
      <c r="BJ143" s="1148">
        <v>0.31</v>
      </c>
      <c r="BK143" s="1148">
        <v>0.35</v>
      </c>
      <c r="BL143" s="1148">
        <v>0.41</v>
      </c>
      <c r="BM143" s="1148">
        <v>0.44</v>
      </c>
      <c r="BN143" s="1375">
        <f>AVERAGE(BJ143:BM143)</f>
        <v>0.37749999999999995</v>
      </c>
      <c r="BO143" s="1148">
        <v>0.52</v>
      </c>
      <c r="BP143" s="1148">
        <v>0.53</v>
      </c>
      <c r="BQ143" s="1148">
        <v>0.63</v>
      </c>
      <c r="BR143" s="1148">
        <v>0.66</v>
      </c>
      <c r="BS143" s="1375">
        <f>AVERAGE(BO143:BR143)</f>
        <v>0.58500000000000008</v>
      </c>
      <c r="BT143" s="1148">
        <v>0.7</v>
      </c>
      <c r="BU143" s="1148">
        <v>0.72</v>
      </c>
      <c r="BV143" s="1148">
        <v>0.73</v>
      </c>
      <c r="BW143" s="310">
        <v>0.74</v>
      </c>
      <c r="BX143" s="1375">
        <f>AVERAGE(BT143:BW143)</f>
        <v>0.72249999999999992</v>
      </c>
      <c r="BY143" s="310">
        <v>0.81</v>
      </c>
      <c r="BZ143" s="310">
        <v>0.81</v>
      </c>
      <c r="CA143" s="310">
        <v>0.83</v>
      </c>
      <c r="CB143" s="310">
        <v>0.82</v>
      </c>
      <c r="CC143" s="1375">
        <f>AVERAGE(BY143:CB143)</f>
        <v>0.8175</v>
      </c>
      <c r="CD143" s="310">
        <v>0.85</v>
      </c>
      <c r="CE143" s="310">
        <v>0.86</v>
      </c>
      <c r="CF143" s="310">
        <v>0.88</v>
      </c>
      <c r="CG143" s="310">
        <v>0.88</v>
      </c>
      <c r="CH143" s="1375">
        <f>AVERAGE(CD143:CG143)</f>
        <v>0.86749999999999994</v>
      </c>
      <c r="CI143" s="310">
        <v>0.88</v>
      </c>
      <c r="CJ143" s="1640">
        <f>CI143</f>
        <v>0.88</v>
      </c>
      <c r="CK143" s="1640">
        <f>CJ143</f>
        <v>0.88</v>
      </c>
      <c r="CL143" s="1640">
        <f>CK143</f>
        <v>0.88</v>
      </c>
      <c r="CM143" s="1375">
        <f>AVERAGE(CI143:CL143)</f>
        <v>0.88</v>
      </c>
      <c r="CN143" s="1644">
        <f>CL143</f>
        <v>0.88</v>
      </c>
      <c r="CO143" s="1640">
        <f>CN143</f>
        <v>0.88</v>
      </c>
      <c r="CP143" s="1640">
        <f>CO143</f>
        <v>0.88</v>
      </c>
      <c r="CQ143" s="1640">
        <f>CP143</f>
        <v>0.88</v>
      </c>
      <c r="CR143" s="1375">
        <f>AVERAGE(CN143:CQ143)</f>
        <v>0.88</v>
      </c>
      <c r="CS143" s="1644">
        <f>CQ143</f>
        <v>0.88</v>
      </c>
      <c r="CT143" s="1640">
        <f>CS143</f>
        <v>0.88</v>
      </c>
      <c r="CU143" s="1640">
        <f>CT143</f>
        <v>0.88</v>
      </c>
      <c r="CV143" s="1640">
        <f>CU143</f>
        <v>0.88</v>
      </c>
      <c r="CW143" s="1375">
        <f>AVERAGE(CS143:CV143)</f>
        <v>0.88</v>
      </c>
      <c r="CZ143" s="201"/>
      <c r="DA143" s="200"/>
      <c r="DB143" s="200"/>
    </row>
    <row r="144" spans="1:112">
      <c r="A144" s="206" t="s">
        <v>112</v>
      </c>
      <c r="B144" s="192"/>
      <c r="C144" s="192"/>
      <c r="D144" s="192"/>
      <c r="E144" s="192"/>
      <c r="F144" s="137"/>
      <c r="G144" s="192"/>
      <c r="H144" s="192"/>
      <c r="I144" s="192"/>
      <c r="J144" s="192"/>
      <c r="K144" s="192"/>
      <c r="L144" s="192"/>
      <c r="M144" s="192"/>
      <c r="N144" s="192"/>
      <c r="O144" s="192"/>
      <c r="P144" s="192"/>
      <c r="Q144" s="192"/>
      <c r="R144" s="192"/>
      <c r="S144" s="843"/>
      <c r="T144" s="192"/>
      <c r="U144" s="843"/>
      <c r="V144" s="192"/>
      <c r="W144" s="192"/>
      <c r="X144" s="192"/>
      <c r="Y144" s="192"/>
      <c r="Z144" s="192"/>
      <c r="AA144" s="192"/>
      <c r="AB144" s="192"/>
      <c r="AC144" s="192"/>
      <c r="AD144" s="192"/>
      <c r="AE144" s="192"/>
      <c r="AF144" s="192"/>
      <c r="AG144" s="192"/>
      <c r="AH144" s="192"/>
      <c r="AI144" s="192"/>
      <c r="AJ144" s="192"/>
      <c r="AK144" s="192"/>
      <c r="AL144" s="192"/>
      <c r="AM144" s="192"/>
      <c r="AN144" s="192"/>
      <c r="AO144" s="192"/>
      <c r="AP144" s="192"/>
      <c r="AQ144" s="192"/>
      <c r="AR144" s="192"/>
      <c r="AS144" s="192"/>
      <c r="AT144" s="192"/>
      <c r="AU144" s="192"/>
      <c r="AV144" s="192"/>
      <c r="AW144" s="192"/>
      <c r="AX144" s="192"/>
      <c r="AY144" s="192"/>
      <c r="AZ144" s="192"/>
      <c r="BA144" s="192"/>
      <c r="BB144" s="192"/>
      <c r="BC144" s="192"/>
      <c r="BD144" s="191"/>
      <c r="BE144" s="192"/>
      <c r="BF144" s="192"/>
      <c r="BG144" s="1148">
        <v>0.97</v>
      </c>
      <c r="BH144" s="192"/>
      <c r="BI144" s="191"/>
      <c r="BJ144" s="192"/>
      <c r="BK144" s="192"/>
      <c r="BL144" s="192"/>
      <c r="BM144" s="192"/>
      <c r="BN144" s="191"/>
      <c r="BO144" s="192"/>
      <c r="BP144" s="192"/>
      <c r="BQ144" s="192"/>
      <c r="BR144" s="192"/>
      <c r="BS144" s="191"/>
      <c r="BT144" s="192"/>
      <c r="BU144" s="192"/>
      <c r="BV144" s="192"/>
      <c r="BW144" s="192"/>
      <c r="BX144" s="191"/>
      <c r="BY144" s="192"/>
      <c r="BZ144" s="192"/>
      <c r="CA144" s="192"/>
      <c r="CB144" s="192"/>
      <c r="CC144" s="191"/>
      <c r="CD144" s="192"/>
      <c r="CE144" s="192"/>
      <c r="CF144" s="192"/>
      <c r="CG144" s="192"/>
      <c r="CH144" s="191"/>
      <c r="CI144" s="192"/>
      <c r="CJ144" s="192"/>
      <c r="CK144" s="192"/>
      <c r="CL144" s="192"/>
      <c r="CM144" s="191"/>
      <c r="CN144" s="192"/>
      <c r="CO144" s="192"/>
      <c r="CP144" s="192"/>
      <c r="CQ144" s="192"/>
      <c r="CR144" s="191"/>
      <c r="CS144" s="192"/>
      <c r="CT144" s="192"/>
      <c r="CU144" s="192"/>
      <c r="CV144" s="192"/>
      <c r="CW144" s="191"/>
      <c r="CZ144" s="201"/>
      <c r="DA144" s="200"/>
      <c r="DB144" s="200"/>
    </row>
    <row r="145" spans="1:106">
      <c r="A145" s="1756"/>
      <c r="B145" s="192"/>
      <c r="C145" s="192"/>
      <c r="D145" s="192"/>
      <c r="E145" s="192"/>
      <c r="F145" s="137"/>
      <c r="G145" s="192"/>
      <c r="H145" s="192"/>
      <c r="I145" s="192"/>
      <c r="J145" s="192"/>
      <c r="K145" s="192"/>
      <c r="L145" s="192"/>
      <c r="M145" s="192"/>
      <c r="N145" s="192"/>
      <c r="O145" s="192"/>
      <c r="P145" s="192"/>
      <c r="Q145" s="192"/>
      <c r="R145" s="192"/>
      <c r="S145" s="843"/>
      <c r="T145" s="192"/>
      <c r="U145" s="843"/>
      <c r="V145" s="192"/>
      <c r="W145" s="192"/>
      <c r="X145" s="192"/>
      <c r="Y145" s="192"/>
      <c r="Z145" s="192"/>
      <c r="AA145" s="192"/>
      <c r="AB145" s="192"/>
      <c r="AC145" s="192"/>
      <c r="AD145" s="192"/>
      <c r="AE145" s="192"/>
      <c r="AF145" s="192"/>
      <c r="AG145" s="192"/>
      <c r="AH145" s="192"/>
      <c r="AI145" s="192"/>
      <c r="AJ145" s="192"/>
      <c r="AK145" s="192"/>
      <c r="AL145" s="192"/>
      <c r="AM145" s="192"/>
      <c r="AN145" s="192"/>
      <c r="AO145" s="192"/>
      <c r="AP145" s="192"/>
      <c r="AQ145" s="192"/>
      <c r="AR145" s="192"/>
      <c r="AS145" s="192"/>
      <c r="AT145" s="192"/>
      <c r="AU145" s="192"/>
      <c r="AV145" s="192"/>
      <c r="AW145" s="192"/>
      <c r="AX145" s="192"/>
      <c r="AY145" s="192"/>
      <c r="AZ145" s="192"/>
      <c r="BA145" s="192"/>
      <c r="BB145" s="192"/>
      <c r="BC145" s="192"/>
      <c r="BD145" s="191"/>
      <c r="BE145" s="192"/>
      <c r="BF145" s="192"/>
      <c r="BG145" s="1148"/>
      <c r="BH145" s="192"/>
      <c r="BI145" s="191"/>
      <c r="BJ145" s="192"/>
      <c r="BK145" s="192"/>
      <c r="BL145" s="192"/>
      <c r="BM145" s="192"/>
      <c r="BN145" s="191"/>
      <c r="BO145" s="192"/>
      <c r="BP145" s="192"/>
      <c r="BQ145" s="192"/>
      <c r="BR145" s="192"/>
      <c r="BS145" s="191"/>
      <c r="BT145" s="192"/>
      <c r="BU145" s="192"/>
      <c r="BV145" s="192"/>
      <c r="BW145" s="192"/>
      <c r="BX145" s="191"/>
      <c r="BY145" s="192"/>
      <c r="BZ145" s="192"/>
      <c r="CA145" s="192"/>
      <c r="CB145" s="193"/>
      <c r="CC145" s="191"/>
      <c r="CD145" s="192"/>
      <c r="CE145" s="192"/>
      <c r="CF145" s="192"/>
      <c r="CG145" s="192"/>
      <c r="CH145" s="191"/>
      <c r="CI145" s="192"/>
      <c r="CJ145" s="192"/>
      <c r="CK145" s="192"/>
      <c r="CL145" s="192"/>
      <c r="CM145" s="191"/>
      <c r="CN145" s="192"/>
      <c r="CO145" s="192"/>
      <c r="CP145" s="192"/>
      <c r="CQ145" s="192"/>
      <c r="CR145" s="191"/>
      <c r="CS145" s="192"/>
      <c r="CT145" s="192"/>
      <c r="CU145" s="192"/>
      <c r="CV145" s="192"/>
      <c r="CW145" s="191"/>
      <c r="CZ145" s="201"/>
      <c r="DA145" s="200"/>
      <c r="DB145" s="200"/>
    </row>
    <row r="146" spans="1:106">
      <c r="A146" s="206" t="s">
        <v>750</v>
      </c>
      <c r="B146" s="192"/>
      <c r="C146" s="192"/>
      <c r="D146" s="192"/>
      <c r="E146" s="192"/>
      <c r="F146" s="137"/>
      <c r="G146" s="192"/>
      <c r="H146" s="192"/>
      <c r="I146" s="192"/>
      <c r="J146" s="192"/>
      <c r="K146" s="192"/>
      <c r="L146" s="192"/>
      <c r="M146" s="192"/>
      <c r="N146" s="192"/>
      <c r="O146" s="192"/>
      <c r="P146" s="192"/>
      <c r="Q146" s="192"/>
      <c r="R146" s="192"/>
      <c r="S146" s="843"/>
      <c r="T146" s="192"/>
      <c r="U146" s="843"/>
      <c r="V146" s="192"/>
      <c r="W146" s="192"/>
      <c r="X146" s="192"/>
      <c r="Y146" s="192"/>
      <c r="Z146" s="192"/>
      <c r="AA146" s="192"/>
      <c r="AB146" s="192"/>
      <c r="AC146" s="192"/>
      <c r="AD146" s="192"/>
      <c r="AE146" s="192"/>
      <c r="AF146" s="192"/>
      <c r="AG146" s="192"/>
      <c r="AH146" s="192"/>
      <c r="AI146" s="192"/>
      <c r="AJ146" s="192"/>
      <c r="AK146" s="192"/>
      <c r="AL146" s="192"/>
      <c r="AM146" s="192"/>
      <c r="AN146" s="192"/>
      <c r="AO146" s="192"/>
      <c r="AP146" s="192"/>
      <c r="AQ146" s="192"/>
      <c r="AR146" s="192"/>
      <c r="AS146" s="192"/>
      <c r="AT146" s="192"/>
      <c r="AU146" s="192"/>
      <c r="AV146" s="192"/>
      <c r="AW146" s="192"/>
      <c r="AX146" s="192"/>
      <c r="AY146" s="192"/>
      <c r="AZ146" s="192"/>
      <c r="BA146" s="192"/>
      <c r="BB146" s="192"/>
      <c r="BC146" s="192"/>
      <c r="BD146" s="191"/>
      <c r="BE146" s="192"/>
      <c r="BF146" s="1148">
        <v>0.75</v>
      </c>
      <c r="BG146" s="1148">
        <v>0.86</v>
      </c>
      <c r="BH146" s="1148">
        <v>0.9</v>
      </c>
      <c r="BI146" s="191"/>
      <c r="BJ146" s="1148">
        <v>0.92</v>
      </c>
      <c r="BK146" s="1148">
        <v>0.93</v>
      </c>
      <c r="BL146" s="1148">
        <v>0.95</v>
      </c>
      <c r="BM146" s="192"/>
      <c r="BN146" s="191"/>
      <c r="BO146" s="192"/>
      <c r="BP146" s="192"/>
      <c r="BQ146" s="192"/>
      <c r="BR146" s="192"/>
      <c r="BS146" s="191"/>
      <c r="BT146" s="192"/>
      <c r="BU146" s="192"/>
      <c r="BV146" s="192"/>
      <c r="BW146" s="192"/>
      <c r="BX146" s="191"/>
      <c r="BY146" s="192"/>
      <c r="BZ146" s="192"/>
      <c r="CA146" s="192"/>
      <c r="CB146" s="192"/>
      <c r="CC146" s="191"/>
      <c r="CD146" s="192"/>
      <c r="CE146" s="192"/>
      <c r="CF146" s="192"/>
      <c r="CG146" s="192"/>
      <c r="CH146" s="191"/>
      <c r="CI146" s="192"/>
      <c r="CJ146" s="192"/>
      <c r="CK146" s="192"/>
      <c r="CL146" s="192"/>
      <c r="CM146" s="191"/>
      <c r="CN146" s="192"/>
      <c r="CO146" s="192"/>
      <c r="CP146" s="192"/>
      <c r="CQ146" s="192"/>
      <c r="CR146" s="191"/>
      <c r="CS146" s="192"/>
      <c r="CT146" s="192"/>
      <c r="CU146" s="192"/>
      <c r="CV146" s="192"/>
      <c r="CW146" s="191"/>
      <c r="CZ146" s="201"/>
      <c r="DA146" s="200"/>
      <c r="DB146" s="200"/>
    </row>
    <row r="147" spans="1:106">
      <c r="A147" s="206" t="s">
        <v>548</v>
      </c>
      <c r="B147" s="192"/>
      <c r="C147" s="192"/>
      <c r="D147" s="192"/>
      <c r="E147" s="192"/>
      <c r="F147" s="137"/>
      <c r="G147" s="192"/>
      <c r="H147" s="192"/>
      <c r="I147" s="192"/>
      <c r="J147" s="192"/>
      <c r="K147" s="192"/>
      <c r="L147" s="192"/>
      <c r="M147" s="192"/>
      <c r="N147" s="192"/>
      <c r="O147" s="192"/>
      <c r="P147" s="192"/>
      <c r="Q147" s="192"/>
      <c r="R147" s="192"/>
      <c r="S147" s="843"/>
      <c r="T147" s="192"/>
      <c r="U147" s="843"/>
      <c r="V147" s="192"/>
      <c r="W147" s="192"/>
      <c r="X147" s="192"/>
      <c r="Y147" s="192"/>
      <c r="Z147" s="192"/>
      <c r="AA147" s="192"/>
      <c r="AB147" s="192"/>
      <c r="AC147" s="192"/>
      <c r="AD147" s="192"/>
      <c r="AE147" s="192"/>
      <c r="AF147" s="192"/>
      <c r="AG147" s="192"/>
      <c r="AH147" s="192"/>
      <c r="AI147" s="192"/>
      <c r="AJ147" s="192"/>
      <c r="AK147" s="192"/>
      <c r="AL147" s="192"/>
      <c r="AM147" s="192"/>
      <c r="AN147" s="192"/>
      <c r="AO147" s="192"/>
      <c r="AP147" s="192"/>
      <c r="AQ147" s="192"/>
      <c r="AR147" s="192"/>
      <c r="AS147" s="192"/>
      <c r="AT147" s="192"/>
      <c r="AU147" s="192"/>
      <c r="AV147" s="192"/>
      <c r="AW147" s="192"/>
      <c r="AX147" s="192"/>
      <c r="AY147" s="192"/>
      <c r="AZ147" s="192"/>
      <c r="BA147" s="192"/>
      <c r="BB147" s="192"/>
      <c r="BC147" s="192"/>
      <c r="BD147" s="191"/>
      <c r="BE147" s="192"/>
      <c r="BF147" s="1148">
        <v>0.65</v>
      </c>
      <c r="BG147" s="1148">
        <v>0.75</v>
      </c>
      <c r="BH147" s="1148">
        <v>0.81</v>
      </c>
      <c r="BI147" s="191"/>
      <c r="BJ147" s="1148">
        <v>0.81</v>
      </c>
      <c r="BK147" s="1148">
        <v>0.81</v>
      </c>
      <c r="BL147" s="1148">
        <v>0.81</v>
      </c>
      <c r="BM147" s="192"/>
      <c r="BN147" s="191"/>
      <c r="BO147" s="192"/>
      <c r="BP147" s="192"/>
      <c r="BQ147" s="192"/>
      <c r="BR147" s="192"/>
      <c r="BS147" s="191"/>
      <c r="BT147" s="192"/>
      <c r="BU147" s="192"/>
      <c r="BV147" s="192"/>
      <c r="BW147" s="192"/>
      <c r="BX147" s="191"/>
      <c r="BY147" s="192"/>
      <c r="BZ147" s="192"/>
      <c r="CA147" s="192"/>
      <c r="CB147" s="192"/>
      <c r="CC147" s="191"/>
      <c r="CD147" s="192"/>
      <c r="CE147" s="192"/>
      <c r="CF147" s="192"/>
      <c r="CG147" s="192"/>
      <c r="CH147" s="191"/>
      <c r="CI147" s="192"/>
      <c r="CJ147" s="192"/>
      <c r="CK147" s="192"/>
      <c r="CL147" s="192"/>
      <c r="CM147" s="191"/>
      <c r="CN147" s="192"/>
      <c r="CO147" s="192"/>
      <c r="CP147" s="192"/>
      <c r="CQ147" s="192"/>
      <c r="CR147" s="191"/>
      <c r="CS147" s="192"/>
      <c r="CT147" s="192"/>
      <c r="CU147" s="192"/>
      <c r="CV147" s="192"/>
      <c r="CW147" s="191"/>
      <c r="CZ147" s="201"/>
      <c r="DA147" s="200"/>
      <c r="DB147" s="200"/>
    </row>
    <row r="148" spans="1:106">
      <c r="A148" s="206"/>
      <c r="B148" s="192"/>
      <c r="C148" s="192"/>
      <c r="D148" s="192"/>
      <c r="E148" s="192"/>
      <c r="F148" s="137"/>
      <c r="G148" s="192"/>
      <c r="H148" s="192"/>
      <c r="I148" s="192"/>
      <c r="J148" s="192"/>
      <c r="K148" s="192"/>
      <c r="L148" s="192"/>
      <c r="M148" s="192"/>
      <c r="N148" s="192"/>
      <c r="O148" s="192"/>
      <c r="P148" s="192"/>
      <c r="Q148" s="192"/>
      <c r="R148" s="192"/>
      <c r="S148" s="843"/>
      <c r="T148" s="192"/>
      <c r="U148" s="843"/>
      <c r="V148" s="192"/>
      <c r="W148" s="192"/>
      <c r="X148" s="192"/>
      <c r="Y148" s="192"/>
      <c r="Z148" s="192"/>
      <c r="AA148" s="192"/>
      <c r="AB148" s="192"/>
      <c r="AC148" s="192"/>
      <c r="AD148" s="192"/>
      <c r="AE148" s="192"/>
      <c r="AF148" s="192"/>
      <c r="AG148" s="192"/>
      <c r="AH148" s="192"/>
      <c r="AI148" s="192"/>
      <c r="AJ148" s="192"/>
      <c r="AK148" s="192"/>
      <c r="AL148" s="192"/>
      <c r="AM148" s="192"/>
      <c r="AN148" s="192"/>
      <c r="AO148" s="192"/>
      <c r="AP148" s="192"/>
      <c r="AQ148" s="192"/>
      <c r="AR148" s="192"/>
      <c r="AS148" s="192"/>
      <c r="AT148" s="192"/>
      <c r="AU148" s="192"/>
      <c r="AV148" s="192"/>
      <c r="AW148" s="192"/>
      <c r="AX148" s="192"/>
      <c r="AY148" s="192"/>
      <c r="AZ148" s="192"/>
      <c r="BA148" s="192"/>
      <c r="BB148" s="192"/>
      <c r="BC148" s="192"/>
      <c r="BD148" s="191"/>
      <c r="BE148" s="192"/>
      <c r="BF148" s="192"/>
      <c r="BG148" s="1148"/>
      <c r="BH148" s="192"/>
      <c r="BI148" s="191"/>
      <c r="BJ148" s="192"/>
      <c r="BK148" s="192"/>
      <c r="BL148" s="192"/>
      <c r="BM148" s="192"/>
      <c r="BN148" s="191"/>
      <c r="BO148" s="192"/>
      <c r="BP148" s="192"/>
      <c r="BQ148" s="192"/>
      <c r="BR148" s="192"/>
      <c r="BS148" s="191"/>
      <c r="BT148" s="192"/>
      <c r="BU148" s="192"/>
      <c r="BV148" s="192"/>
      <c r="BW148" s="192"/>
      <c r="BX148" s="191"/>
      <c r="BY148" s="192"/>
      <c r="BZ148" s="192"/>
      <c r="CA148" s="192"/>
      <c r="CB148" s="192"/>
      <c r="CC148" s="191"/>
      <c r="CD148" s="192"/>
      <c r="CE148" s="192"/>
      <c r="CF148" s="192"/>
      <c r="CG148" s="192"/>
      <c r="CH148" s="191"/>
      <c r="CI148" s="192"/>
      <c r="CJ148" s="192"/>
      <c r="CK148" s="192"/>
      <c r="CL148" s="192"/>
      <c r="CM148" s="191"/>
      <c r="CN148" s="192"/>
      <c r="CO148" s="192"/>
      <c r="CP148" s="192"/>
      <c r="CQ148" s="192"/>
      <c r="CR148" s="191"/>
      <c r="CS148" s="192"/>
      <c r="CT148" s="192"/>
      <c r="CU148" s="192"/>
      <c r="CV148" s="192"/>
      <c r="CW148" s="191"/>
      <c r="CZ148" s="201"/>
      <c r="DA148" s="200"/>
      <c r="DB148" s="200"/>
    </row>
    <row r="149" spans="1:106">
      <c r="A149" s="206" t="s">
        <v>549</v>
      </c>
      <c r="B149" s="192"/>
      <c r="C149" s="192"/>
      <c r="D149" s="192"/>
      <c r="E149" s="192"/>
      <c r="F149" s="137"/>
      <c r="G149" s="192"/>
      <c r="H149" s="192"/>
      <c r="I149" s="192"/>
      <c r="J149" s="192"/>
      <c r="K149" s="192"/>
      <c r="L149" s="192"/>
      <c r="M149" s="192"/>
      <c r="N149" s="192"/>
      <c r="O149" s="192"/>
      <c r="P149" s="192"/>
      <c r="Q149" s="192"/>
      <c r="R149" s="192"/>
      <c r="S149" s="843"/>
      <c r="T149" s="192"/>
      <c r="U149" s="843"/>
      <c r="V149" s="192"/>
      <c r="W149" s="192"/>
      <c r="X149" s="192"/>
      <c r="Y149" s="192"/>
      <c r="Z149" s="192"/>
      <c r="AA149" s="192"/>
      <c r="AB149" s="192"/>
      <c r="AC149" s="192"/>
      <c r="AD149" s="192"/>
      <c r="AE149" s="192"/>
      <c r="AF149" s="192"/>
      <c r="AG149" s="192"/>
      <c r="AH149" s="192"/>
      <c r="AI149" s="192"/>
      <c r="AJ149" s="192"/>
      <c r="AK149" s="192"/>
      <c r="AL149" s="192"/>
      <c r="AM149" s="192"/>
      <c r="AN149" s="192"/>
      <c r="AO149" s="192"/>
      <c r="AP149" s="192"/>
      <c r="AQ149" s="192"/>
      <c r="AR149" s="192"/>
      <c r="AS149" s="192"/>
      <c r="AT149" s="192"/>
      <c r="AU149" s="192"/>
      <c r="AV149" s="192"/>
      <c r="AW149" s="192"/>
      <c r="AX149" s="192"/>
      <c r="AY149" s="192"/>
      <c r="AZ149" s="192"/>
      <c r="BA149" s="192"/>
      <c r="BB149" s="192"/>
      <c r="BC149" s="192"/>
      <c r="BD149" s="191"/>
      <c r="BE149" s="192">
        <v>650</v>
      </c>
      <c r="BF149" s="192">
        <v>800</v>
      </c>
      <c r="BG149" s="192">
        <v>1100</v>
      </c>
      <c r="BH149" s="192"/>
      <c r="BI149" s="191"/>
      <c r="BJ149" s="192"/>
      <c r="BK149" s="192"/>
      <c r="BL149" s="192"/>
      <c r="BM149" s="192"/>
      <c r="BN149" s="191"/>
      <c r="BO149" s="192"/>
      <c r="BP149" s="192"/>
      <c r="BQ149" s="192"/>
      <c r="BR149" s="192"/>
      <c r="BS149" s="191"/>
      <c r="BT149" s="192"/>
      <c r="BU149" s="192"/>
      <c r="BV149" s="192"/>
      <c r="BW149" s="192"/>
      <c r="BX149" s="191"/>
      <c r="BY149" s="192"/>
      <c r="BZ149" s="192"/>
      <c r="CA149" s="192"/>
      <c r="CB149" s="192"/>
      <c r="CC149" s="191"/>
      <c r="CD149" s="192"/>
      <c r="CE149" s="192"/>
      <c r="CF149" s="192"/>
      <c r="CG149" s="192"/>
      <c r="CH149" s="191"/>
      <c r="CI149" s="192"/>
      <c r="CJ149" s="192"/>
      <c r="CK149" s="192"/>
      <c r="CL149" s="192"/>
      <c r="CM149" s="191"/>
      <c r="CN149" s="192"/>
      <c r="CO149" s="192"/>
      <c r="CP149" s="192"/>
      <c r="CQ149" s="192"/>
      <c r="CR149" s="191"/>
      <c r="CS149" s="192"/>
      <c r="CT149" s="192"/>
      <c r="CU149" s="192"/>
      <c r="CV149" s="192"/>
      <c r="CW149" s="191"/>
      <c r="CZ149" s="201"/>
      <c r="DA149" s="200"/>
      <c r="DB149" s="200"/>
    </row>
    <row r="150" spans="1:106">
      <c r="A150" s="206" t="s">
        <v>111</v>
      </c>
      <c r="B150" s="192"/>
      <c r="C150" s="192"/>
      <c r="D150" s="192"/>
      <c r="E150" s="192"/>
      <c r="F150" s="137"/>
      <c r="G150" s="192"/>
      <c r="H150" s="192"/>
      <c r="I150" s="192"/>
      <c r="J150" s="192"/>
      <c r="K150" s="192"/>
      <c r="L150" s="192"/>
      <c r="M150" s="192"/>
      <c r="N150" s="192"/>
      <c r="O150" s="192"/>
      <c r="P150" s="192"/>
      <c r="Q150" s="192"/>
      <c r="R150" s="192"/>
      <c r="S150" s="843"/>
      <c r="T150" s="192"/>
      <c r="U150" s="843"/>
      <c r="V150" s="192"/>
      <c r="W150" s="192"/>
      <c r="X150" s="192"/>
      <c r="Y150" s="192"/>
      <c r="Z150" s="192"/>
      <c r="AA150" s="192"/>
      <c r="AB150" s="192"/>
      <c r="AC150" s="192"/>
      <c r="AD150" s="192"/>
      <c r="AE150" s="192"/>
      <c r="AF150" s="192"/>
      <c r="AG150" s="192"/>
      <c r="AH150" s="192"/>
      <c r="AI150" s="192"/>
      <c r="AJ150" s="192"/>
      <c r="AK150" s="192"/>
      <c r="AL150" s="192"/>
      <c r="AM150" s="192"/>
      <c r="AN150" s="192"/>
      <c r="AO150" s="192"/>
      <c r="AP150" s="192"/>
      <c r="AQ150" s="192"/>
      <c r="AR150" s="192"/>
      <c r="AS150" s="192"/>
      <c r="AT150" s="192"/>
      <c r="AU150" s="192"/>
      <c r="AV150" s="192"/>
      <c r="AW150" s="192"/>
      <c r="AX150" s="192"/>
      <c r="AY150" s="192"/>
      <c r="AZ150" s="192"/>
      <c r="BA150" s="192"/>
      <c r="BB150" s="192"/>
      <c r="BC150" s="192"/>
      <c r="BD150" s="191"/>
      <c r="BE150" s="192"/>
      <c r="BF150" s="1148">
        <v>0.33</v>
      </c>
      <c r="BG150" s="1148">
        <v>0.4</v>
      </c>
      <c r="BH150" s="1148"/>
      <c r="BI150" s="191"/>
      <c r="BJ150" s="1148"/>
      <c r="BK150" s="1148"/>
      <c r="BL150" s="1148"/>
      <c r="BM150" s="1148"/>
      <c r="BN150" s="191"/>
      <c r="BO150" s="1148"/>
      <c r="BP150" s="1148"/>
      <c r="BQ150" s="1148"/>
      <c r="BR150" s="1148"/>
      <c r="BS150" s="191"/>
      <c r="BT150" s="1148"/>
      <c r="BU150" s="1148"/>
      <c r="BV150" s="1148"/>
      <c r="BW150" s="1148"/>
      <c r="BX150" s="191"/>
      <c r="BY150" s="1148"/>
      <c r="BZ150" s="1148"/>
      <c r="CA150" s="1148"/>
      <c r="CB150" s="1148"/>
      <c r="CC150" s="191"/>
      <c r="CD150" s="1148"/>
      <c r="CE150" s="1148"/>
      <c r="CF150" s="1148"/>
      <c r="CG150" s="1148"/>
      <c r="CH150" s="191"/>
      <c r="CI150" s="1148"/>
      <c r="CJ150" s="1148"/>
      <c r="CK150" s="1148"/>
      <c r="CL150" s="1148"/>
      <c r="CM150" s="191"/>
      <c r="CN150" s="1148"/>
      <c r="CO150" s="1148"/>
      <c r="CP150" s="1148"/>
      <c r="CQ150" s="1148"/>
      <c r="CR150" s="191"/>
      <c r="CS150" s="1148"/>
      <c r="CT150" s="1148"/>
      <c r="CU150" s="1148"/>
      <c r="CV150" s="1148"/>
      <c r="CW150" s="191"/>
      <c r="CZ150" s="201"/>
      <c r="DA150" s="200"/>
      <c r="DB150" s="200"/>
    </row>
    <row r="151" spans="1:106">
      <c r="A151" s="206"/>
      <c r="B151" s="192"/>
      <c r="C151" s="192"/>
      <c r="D151" s="192"/>
      <c r="E151" s="192"/>
      <c r="F151" s="137"/>
      <c r="G151" s="192"/>
      <c r="H151" s="192"/>
      <c r="I151" s="192"/>
      <c r="J151" s="192"/>
      <c r="K151" s="192"/>
      <c r="L151" s="192"/>
      <c r="M151" s="192"/>
      <c r="N151" s="192"/>
      <c r="O151" s="192"/>
      <c r="P151" s="192"/>
      <c r="Q151" s="192"/>
      <c r="R151" s="192"/>
      <c r="S151" s="843"/>
      <c r="T151" s="192"/>
      <c r="U151" s="843"/>
      <c r="V151" s="192"/>
      <c r="W151" s="192"/>
      <c r="X151" s="192"/>
      <c r="Y151" s="192"/>
      <c r="Z151" s="192"/>
      <c r="AA151" s="192"/>
      <c r="AB151" s="192"/>
      <c r="AC151" s="192"/>
      <c r="AD151" s="192"/>
      <c r="AE151" s="192"/>
      <c r="AF151" s="192"/>
      <c r="AG151" s="192"/>
      <c r="AH151" s="192"/>
      <c r="AI151" s="192"/>
      <c r="AJ151" s="192"/>
      <c r="AK151" s="192"/>
      <c r="AL151" s="192"/>
      <c r="AM151" s="192"/>
      <c r="AN151" s="192"/>
      <c r="AO151" s="192"/>
      <c r="AP151" s="192"/>
      <c r="AQ151" s="192"/>
      <c r="AR151" s="192"/>
      <c r="AS151" s="192"/>
      <c r="AT151" s="192"/>
      <c r="AU151" s="192"/>
      <c r="AV151" s="192"/>
      <c r="AW151" s="192"/>
      <c r="AX151" s="192"/>
      <c r="AY151" s="192"/>
      <c r="AZ151" s="192"/>
      <c r="BA151" s="192"/>
      <c r="BB151" s="192"/>
      <c r="BC151" s="192"/>
      <c r="BD151" s="191"/>
      <c r="BE151" s="192"/>
      <c r="BF151" s="1148"/>
      <c r="BG151" s="1148"/>
      <c r="BH151" s="1148"/>
      <c r="BI151" s="191"/>
      <c r="BJ151" s="1148"/>
      <c r="BK151" s="1148"/>
      <c r="BL151" s="1148"/>
      <c r="BM151" s="1148"/>
      <c r="BN151" s="191"/>
      <c r="BO151" s="1148"/>
      <c r="BP151" s="1148"/>
      <c r="BQ151" s="1148"/>
      <c r="BR151" s="1148"/>
      <c r="BS151" s="191"/>
      <c r="BT151" s="1148"/>
      <c r="BU151" s="1148"/>
      <c r="BV151" s="1148"/>
      <c r="BW151" s="1148"/>
      <c r="BX151" s="191"/>
      <c r="BY151" s="1148"/>
      <c r="BZ151" s="1148"/>
      <c r="CA151" s="1148"/>
      <c r="CB151" s="1148"/>
      <c r="CC151" s="191"/>
      <c r="CD151" s="1148"/>
      <c r="CE151" s="1148"/>
      <c r="CF151" s="1148"/>
      <c r="CG151" s="1148"/>
      <c r="CH151" s="191"/>
      <c r="CI151" s="1148"/>
      <c r="CJ151" s="1148"/>
      <c r="CK151" s="1148"/>
      <c r="CL151" s="1148"/>
      <c r="CM151" s="191"/>
      <c r="CN151" s="1148"/>
      <c r="CO151" s="1148"/>
      <c r="CP151" s="1148"/>
      <c r="CQ151" s="1148"/>
      <c r="CR151" s="191"/>
      <c r="CS151" s="1148"/>
      <c r="CT151" s="1148"/>
      <c r="CU151" s="1148"/>
      <c r="CV151" s="1148"/>
      <c r="CW151" s="191"/>
      <c r="CZ151" s="201"/>
      <c r="DA151" s="200"/>
      <c r="DB151" s="200"/>
    </row>
    <row r="152" spans="1:106">
      <c r="A152" s="1147" t="s">
        <v>878</v>
      </c>
      <c r="B152" s="192"/>
      <c r="C152" s="192"/>
      <c r="D152" s="192"/>
      <c r="E152" s="192"/>
      <c r="F152" s="137"/>
      <c r="G152" s="192"/>
      <c r="H152" s="192"/>
      <c r="I152" s="192"/>
      <c r="J152" s="192"/>
      <c r="K152" s="192"/>
      <c r="L152" s="192"/>
      <c r="M152" s="192"/>
      <c r="N152" s="192"/>
      <c r="O152" s="192"/>
      <c r="P152" s="192"/>
      <c r="Q152" s="192"/>
      <c r="R152" s="192"/>
      <c r="S152" s="843"/>
      <c r="T152" s="192"/>
      <c r="U152" s="843"/>
      <c r="V152" s="192"/>
      <c r="W152" s="192"/>
      <c r="X152" s="192"/>
      <c r="Y152" s="192"/>
      <c r="Z152" s="192"/>
      <c r="AA152" s="192"/>
      <c r="AB152" s="192"/>
      <c r="AC152" s="192"/>
      <c r="AD152" s="192"/>
      <c r="AE152" s="192"/>
      <c r="AF152" s="192"/>
      <c r="AG152" s="192"/>
      <c r="AH152" s="192"/>
      <c r="AI152" s="192"/>
      <c r="AJ152" s="192"/>
      <c r="AK152" s="192"/>
      <c r="AL152" s="192"/>
      <c r="AM152" s="192"/>
      <c r="AN152" s="192"/>
      <c r="AO152" s="192"/>
      <c r="AP152" s="192"/>
      <c r="AQ152" s="192"/>
      <c r="AR152" s="192"/>
      <c r="AS152" s="192"/>
      <c r="AT152" s="192"/>
      <c r="AU152" s="192"/>
      <c r="AV152" s="192"/>
      <c r="AW152" s="192"/>
      <c r="AX152" s="192"/>
      <c r="AY152" s="192"/>
      <c r="AZ152" s="192"/>
      <c r="BA152" s="192"/>
      <c r="BB152" s="192"/>
      <c r="BC152" s="192"/>
      <c r="BD152" s="191"/>
      <c r="BE152" s="192"/>
      <c r="BF152" s="1148"/>
      <c r="BG152" s="1148"/>
      <c r="BH152" s="1148"/>
      <c r="BI152" s="191"/>
      <c r="BJ152" s="1148"/>
      <c r="BK152" s="1148"/>
      <c r="BL152" s="1148"/>
      <c r="BM152" s="1148"/>
      <c r="BN152" s="191"/>
      <c r="BO152" s="1148"/>
      <c r="BP152" s="1148"/>
      <c r="BQ152" s="1148"/>
      <c r="BR152" s="1148"/>
      <c r="BS152" s="191"/>
      <c r="BT152" s="1148"/>
      <c r="BU152" s="1148"/>
      <c r="BV152" s="1148"/>
      <c r="BW152" s="1148"/>
      <c r="BX152" s="191"/>
      <c r="BY152" s="1148"/>
      <c r="BZ152" s="1148"/>
      <c r="CA152" s="1148"/>
      <c r="CB152" s="1148"/>
      <c r="CC152" s="191"/>
      <c r="CD152" s="1148"/>
      <c r="CE152" s="1148"/>
      <c r="CF152" s="1148"/>
      <c r="CG152" s="1148"/>
      <c r="CH152" s="191"/>
      <c r="CI152" s="1148"/>
      <c r="CJ152" s="1148"/>
      <c r="CK152" s="1148"/>
      <c r="CL152" s="1148"/>
      <c r="CM152" s="191"/>
      <c r="CN152" s="1148"/>
      <c r="CO152" s="1148"/>
      <c r="CP152" s="1148"/>
      <c r="CQ152" s="1148"/>
      <c r="CR152" s="191"/>
      <c r="CS152" s="1148"/>
      <c r="CT152" s="1148"/>
      <c r="CU152" s="1148"/>
      <c r="CV152" s="1148"/>
      <c r="CW152" s="191"/>
      <c r="CZ152" s="201"/>
      <c r="DA152" s="200"/>
      <c r="DB152" s="200"/>
    </row>
    <row r="153" spans="1:106" hidden="1" outlineLevel="1">
      <c r="A153" s="206" t="s">
        <v>879</v>
      </c>
      <c r="B153" s="192"/>
      <c r="C153" s="192"/>
      <c r="D153" s="192"/>
      <c r="E153" s="192"/>
      <c r="F153" s="137"/>
      <c r="G153" s="192"/>
      <c r="H153" s="192"/>
      <c r="I153" s="192"/>
      <c r="J153" s="192"/>
      <c r="K153" s="192"/>
      <c r="L153" s="192"/>
      <c r="M153" s="192"/>
      <c r="N153" s="192"/>
      <c r="O153" s="192"/>
      <c r="P153" s="192"/>
      <c r="Q153" s="192"/>
      <c r="R153" s="192"/>
      <c r="S153" s="843"/>
      <c r="T153" s="192"/>
      <c r="U153" s="843"/>
      <c r="V153" s="192"/>
      <c r="W153" s="192"/>
      <c r="X153" s="192"/>
      <c r="Y153" s="192"/>
      <c r="Z153" s="192"/>
      <c r="AA153" s="192"/>
      <c r="AB153" s="192"/>
      <c r="AC153" s="192"/>
      <c r="AD153" s="192"/>
      <c r="AE153" s="192"/>
      <c r="AF153" s="192"/>
      <c r="AG153" s="192"/>
      <c r="AH153" s="192"/>
      <c r="AI153" s="192"/>
      <c r="AJ153" s="192"/>
      <c r="AK153" s="192"/>
      <c r="AL153" s="192"/>
      <c r="AM153" s="192"/>
      <c r="AN153" s="192"/>
      <c r="AO153" s="192"/>
      <c r="AP153" s="192"/>
      <c r="AQ153" s="192"/>
      <c r="AR153" s="192"/>
      <c r="AS153" s="192"/>
      <c r="AT153" s="192"/>
      <c r="AU153" s="192"/>
      <c r="AV153" s="192"/>
      <c r="AW153" s="192"/>
      <c r="AX153" s="192"/>
      <c r="AY153" s="192"/>
      <c r="AZ153" s="192"/>
      <c r="BA153" s="192"/>
      <c r="BB153" s="192"/>
      <c r="BC153" s="192"/>
      <c r="BD153" s="191"/>
      <c r="BE153" s="192"/>
      <c r="BF153" s="1148"/>
      <c r="BG153" s="1148"/>
      <c r="BH153" s="1148"/>
      <c r="BI153" s="859">
        <f>BI67/1000000</f>
        <v>0.33200000000000002</v>
      </c>
      <c r="BJ153" s="1148"/>
      <c r="BK153" s="1148"/>
      <c r="BL153" s="1148"/>
      <c r="BM153" s="1148"/>
      <c r="BN153" s="859">
        <f>BN67/1000000</f>
        <v>1.4390000000000001</v>
      </c>
      <c r="BO153" s="1148"/>
      <c r="BP153" s="1148"/>
      <c r="BQ153" s="1148"/>
      <c r="BR153" s="1148"/>
      <c r="BS153" s="859">
        <f>BS67/1000000</f>
        <v>3.4580000000000002</v>
      </c>
      <c r="BT153" s="1148"/>
      <c r="BU153" s="1148"/>
      <c r="BV153" s="1148"/>
      <c r="BW153" s="1148"/>
      <c r="BX153" s="859">
        <f>BX67/1000000</f>
        <v>6.1669999999999998</v>
      </c>
      <c r="BY153" s="1148"/>
      <c r="BZ153" s="1148"/>
      <c r="CA153" s="1148"/>
      <c r="CB153" s="1148"/>
      <c r="CC153" s="859">
        <f>CC67/1000000</f>
        <v>9.5440000000000005</v>
      </c>
      <c r="CD153" s="1148"/>
      <c r="CE153" s="1148"/>
      <c r="CF153" s="1148"/>
      <c r="CG153" s="1148"/>
      <c r="CH153" s="859">
        <f>CH67/1000000</f>
        <v>12.714</v>
      </c>
      <c r="CI153" s="1148"/>
      <c r="CJ153" s="1148"/>
      <c r="CK153" s="1148"/>
      <c r="CL153" s="1148"/>
      <c r="CM153" s="859">
        <f>CM67/1000000</f>
        <v>15.689</v>
      </c>
      <c r="CN153" s="1148"/>
      <c r="CO153" s="1148"/>
      <c r="CP153" s="1148"/>
      <c r="CQ153" s="1148"/>
      <c r="CR153" s="859">
        <f>CR67/1000000</f>
        <v>18.388999999999999</v>
      </c>
      <c r="CS153" s="1148"/>
      <c r="CT153" s="1148"/>
      <c r="CU153" s="1148"/>
      <c r="CV153" s="1148"/>
      <c r="CW153" s="191"/>
      <c r="CZ153" s="201"/>
      <c r="DA153" s="200"/>
      <c r="DB153" s="200"/>
    </row>
    <row r="154" spans="1:106" hidden="1" outlineLevel="1">
      <c r="A154" s="1763" t="s">
        <v>880</v>
      </c>
      <c r="B154" s="192"/>
      <c r="C154" s="192"/>
      <c r="D154" s="192"/>
      <c r="E154" s="192"/>
      <c r="F154" s="137"/>
      <c r="G154" s="192"/>
      <c r="H154" s="192"/>
      <c r="I154" s="192"/>
      <c r="J154" s="192"/>
      <c r="K154" s="192"/>
      <c r="L154" s="192"/>
      <c r="M154" s="192"/>
      <c r="N154" s="192"/>
      <c r="O154" s="192"/>
      <c r="P154" s="192"/>
      <c r="Q154" s="192"/>
      <c r="R154" s="192"/>
      <c r="S154" s="843"/>
      <c r="T154" s="192"/>
      <c r="U154" s="843"/>
      <c r="V154" s="192"/>
      <c r="W154" s="192"/>
      <c r="X154" s="192"/>
      <c r="Y154" s="192"/>
      <c r="Z154" s="192"/>
      <c r="AA154" s="192"/>
      <c r="AB154" s="192"/>
      <c r="AC154" s="192"/>
      <c r="AD154" s="192"/>
      <c r="AE154" s="192"/>
      <c r="AF154" s="192"/>
      <c r="AG154" s="192"/>
      <c r="AH154" s="192"/>
      <c r="AI154" s="192"/>
      <c r="AJ154" s="192"/>
      <c r="AK154" s="192"/>
      <c r="AL154" s="192"/>
      <c r="AM154" s="192"/>
      <c r="AN154" s="192"/>
      <c r="AO154" s="192"/>
      <c r="AP154" s="192"/>
      <c r="AQ154" s="192"/>
      <c r="AR154" s="192"/>
      <c r="AS154" s="192"/>
      <c r="AT154" s="192"/>
      <c r="AU154" s="192"/>
      <c r="AV154" s="192"/>
      <c r="AW154" s="192"/>
      <c r="AX154" s="192"/>
      <c r="AY154" s="192"/>
      <c r="AZ154" s="192"/>
      <c r="BA154" s="192"/>
      <c r="BB154" s="192"/>
      <c r="BC154" s="192"/>
      <c r="BD154" s="191"/>
      <c r="BE154" s="192"/>
      <c r="BF154" s="1148"/>
      <c r="BG154" s="1148"/>
      <c r="BH154" s="1148"/>
      <c r="BI154" s="1764">
        <v>0.1</v>
      </c>
      <c r="BJ154" s="1765"/>
      <c r="BK154" s="1765"/>
      <c r="BL154" s="1765"/>
      <c r="BM154" s="1765"/>
      <c r="BN154" s="1764">
        <v>0.15</v>
      </c>
      <c r="BO154" s="1765"/>
      <c r="BP154" s="1765"/>
      <c r="BQ154" s="1765"/>
      <c r="BR154" s="1765"/>
      <c r="BS154" s="1764">
        <v>0.22</v>
      </c>
      <c r="BT154" s="1765"/>
      <c r="BU154" s="1765"/>
      <c r="BV154" s="1765"/>
      <c r="BW154" s="1765"/>
      <c r="BX154" s="1764">
        <v>0.31</v>
      </c>
      <c r="BY154" s="1765"/>
      <c r="BZ154" s="1765"/>
      <c r="CA154" s="1765"/>
      <c r="CB154" s="1765"/>
      <c r="CC154" s="1764">
        <v>0.39</v>
      </c>
      <c r="CD154" s="1765"/>
      <c r="CE154" s="1765"/>
      <c r="CF154" s="1765"/>
      <c r="CG154" s="1765"/>
      <c r="CH154" s="1764">
        <v>0.42</v>
      </c>
      <c r="CI154" s="1765"/>
      <c r="CJ154" s="1765"/>
      <c r="CK154" s="1765"/>
      <c r="CL154" s="1765"/>
      <c r="CM154" s="1764">
        <v>0.44</v>
      </c>
      <c r="CN154" s="1765"/>
      <c r="CO154" s="1765"/>
      <c r="CP154" s="1765"/>
      <c r="CQ154" s="1765"/>
      <c r="CR154" s="1764">
        <v>0.46</v>
      </c>
      <c r="CS154" s="1148"/>
      <c r="CT154" s="1148"/>
      <c r="CU154" s="1148"/>
      <c r="CV154" s="1148"/>
      <c r="CW154" s="191"/>
      <c r="CZ154" s="201"/>
      <c r="DA154" s="200"/>
      <c r="DB154" s="200"/>
    </row>
    <row r="155" spans="1:106" hidden="1" outlineLevel="1">
      <c r="A155" s="1763" t="s">
        <v>881</v>
      </c>
      <c r="B155" s="192"/>
      <c r="C155" s="192"/>
      <c r="D155" s="192"/>
      <c r="E155" s="192"/>
      <c r="F155" s="137"/>
      <c r="G155" s="192"/>
      <c r="H155" s="192"/>
      <c r="I155" s="192"/>
      <c r="J155" s="192"/>
      <c r="K155" s="192"/>
      <c r="L155" s="192"/>
      <c r="M155" s="192"/>
      <c r="N155" s="192"/>
      <c r="O155" s="192"/>
      <c r="P155" s="192"/>
      <c r="Q155" s="192"/>
      <c r="R155" s="192"/>
      <c r="S155" s="843"/>
      <c r="T155" s="192"/>
      <c r="U155" s="843"/>
      <c r="V155" s="192"/>
      <c r="W155" s="192"/>
      <c r="X155" s="192"/>
      <c r="Y155" s="192"/>
      <c r="Z155" s="192"/>
      <c r="AA155" s="192"/>
      <c r="AB155" s="192"/>
      <c r="AC155" s="192"/>
      <c r="AD155" s="192"/>
      <c r="AE155" s="192"/>
      <c r="AF155" s="192"/>
      <c r="AG155" s="192"/>
      <c r="AH155" s="192"/>
      <c r="AI155" s="192"/>
      <c r="AJ155" s="192"/>
      <c r="AK155" s="192"/>
      <c r="AL155" s="192"/>
      <c r="AM155" s="192"/>
      <c r="AN155" s="192"/>
      <c r="AO155" s="192"/>
      <c r="AP155" s="192"/>
      <c r="AQ155" s="192"/>
      <c r="AR155" s="192"/>
      <c r="AS155" s="192"/>
      <c r="AT155" s="192"/>
      <c r="AU155" s="192"/>
      <c r="AV155" s="192"/>
      <c r="AW155" s="192"/>
      <c r="AX155" s="192"/>
      <c r="AY155" s="192"/>
      <c r="AZ155" s="192"/>
      <c r="BA155" s="192"/>
      <c r="BB155" s="192"/>
      <c r="BC155" s="192"/>
      <c r="BD155" s="191"/>
      <c r="BE155" s="192"/>
      <c r="BF155" s="1148"/>
      <c r="BG155" s="1148"/>
      <c r="BH155" s="1148"/>
      <c r="BI155" s="859">
        <f>BI153*BI154</f>
        <v>3.32E-2</v>
      </c>
      <c r="BJ155" s="1148"/>
      <c r="BK155" s="1148"/>
      <c r="BL155" s="1148"/>
      <c r="BM155" s="1148"/>
      <c r="BN155" s="859">
        <f>BN153*BN154</f>
        <v>0.21585000000000001</v>
      </c>
      <c r="BO155" s="1148"/>
      <c r="BP155" s="1148"/>
      <c r="BQ155" s="1148"/>
      <c r="BR155" s="1148"/>
      <c r="BS155" s="859">
        <f>BS153*BS154</f>
        <v>0.76075999999999999</v>
      </c>
      <c r="BT155" s="1148"/>
      <c r="BU155" s="1148"/>
      <c r="BV155" s="1148"/>
      <c r="BW155" s="1148"/>
      <c r="BX155" s="859">
        <f>BX153*BX154</f>
        <v>1.91177</v>
      </c>
      <c r="BY155" s="1148"/>
      <c r="BZ155" s="1148"/>
      <c r="CA155" s="1148"/>
      <c r="CB155" s="1148"/>
      <c r="CC155" s="859">
        <f>CC153*CC154</f>
        <v>3.7221600000000001</v>
      </c>
      <c r="CD155" s="1148"/>
      <c r="CE155" s="1148"/>
      <c r="CF155" s="1148"/>
      <c r="CG155" s="1148"/>
      <c r="CH155" s="859">
        <f>CH153*CH154</f>
        <v>5.33988</v>
      </c>
      <c r="CI155" s="1148"/>
      <c r="CJ155" s="1148"/>
      <c r="CK155" s="1148"/>
      <c r="CL155" s="1148"/>
      <c r="CM155" s="859">
        <f>CM153*CM154</f>
        <v>6.9031599999999997</v>
      </c>
      <c r="CN155" s="1148"/>
      <c r="CO155" s="1148"/>
      <c r="CP155" s="1148"/>
      <c r="CQ155" s="1148"/>
      <c r="CR155" s="859">
        <f>CR153*CR154</f>
        <v>8.4589400000000001</v>
      </c>
      <c r="CS155" s="1148"/>
      <c r="CT155" s="1148"/>
      <c r="CU155" s="1148"/>
      <c r="CV155" s="1148"/>
      <c r="CW155" s="191"/>
      <c r="CZ155" s="201"/>
      <c r="DA155" s="200"/>
      <c r="DB155" s="200"/>
    </row>
    <row r="156" spans="1:106" hidden="1" outlineLevel="1">
      <c r="A156" s="1763" t="s">
        <v>882</v>
      </c>
      <c r="B156" s="192"/>
      <c r="C156" s="192"/>
      <c r="D156" s="192"/>
      <c r="E156" s="192"/>
      <c r="F156" s="137"/>
      <c r="G156" s="192"/>
      <c r="H156" s="192"/>
      <c r="I156" s="192"/>
      <c r="J156" s="192"/>
      <c r="K156" s="192"/>
      <c r="L156" s="192"/>
      <c r="M156" s="192"/>
      <c r="N156" s="192"/>
      <c r="O156" s="192"/>
      <c r="P156" s="192"/>
      <c r="Q156" s="192"/>
      <c r="R156" s="192"/>
      <c r="S156" s="843"/>
      <c r="T156" s="192"/>
      <c r="U156" s="843"/>
      <c r="V156" s="192"/>
      <c r="W156" s="192"/>
      <c r="X156" s="192"/>
      <c r="Y156" s="192"/>
      <c r="Z156" s="192"/>
      <c r="AA156" s="192"/>
      <c r="AB156" s="192"/>
      <c r="AC156" s="192"/>
      <c r="AD156" s="192"/>
      <c r="AE156" s="192"/>
      <c r="AF156" s="192"/>
      <c r="AG156" s="192"/>
      <c r="AH156" s="192"/>
      <c r="AI156" s="192"/>
      <c r="AJ156" s="192"/>
      <c r="AK156" s="192"/>
      <c r="AL156" s="192"/>
      <c r="AM156" s="192"/>
      <c r="AN156" s="192"/>
      <c r="AO156" s="192"/>
      <c r="AP156" s="192"/>
      <c r="AQ156" s="192"/>
      <c r="AR156" s="192"/>
      <c r="AS156" s="192"/>
      <c r="AT156" s="192"/>
      <c r="AU156" s="192"/>
      <c r="AV156" s="192"/>
      <c r="AW156" s="192"/>
      <c r="AX156" s="192"/>
      <c r="AY156" s="192"/>
      <c r="AZ156" s="192"/>
      <c r="BA156" s="192"/>
      <c r="BB156" s="192"/>
      <c r="BC156" s="192"/>
      <c r="BD156" s="191"/>
      <c r="BE156" s="192"/>
      <c r="BF156" s="1148"/>
      <c r="BG156" s="1148"/>
      <c r="BH156" s="1148"/>
      <c r="BI156" s="859">
        <f>BI155</f>
        <v>3.32E-2</v>
      </c>
      <c r="BJ156" s="1148"/>
      <c r="BK156" s="1148"/>
      <c r="BL156" s="1148"/>
      <c r="BM156" s="1148"/>
      <c r="BN156" s="859">
        <f>BN155-BI155</f>
        <v>0.18265000000000001</v>
      </c>
      <c r="BO156" s="1148"/>
      <c r="BP156" s="1148"/>
      <c r="BQ156" s="1148"/>
      <c r="BR156" s="1148"/>
      <c r="BS156" s="859">
        <f>BS155-BN155</f>
        <v>0.54491000000000001</v>
      </c>
      <c r="BT156" s="1148"/>
      <c r="BU156" s="1148"/>
      <c r="BV156" s="1148"/>
      <c r="BW156" s="1148"/>
      <c r="BX156" s="859">
        <f>BX155-BS155</f>
        <v>1.1510099999999999</v>
      </c>
      <c r="BY156" s="1148"/>
      <c r="BZ156" s="1148"/>
      <c r="CA156" s="1148"/>
      <c r="CB156" s="1148"/>
      <c r="CC156" s="859">
        <f>CC155-BX155</f>
        <v>1.8103900000000002</v>
      </c>
      <c r="CD156" s="1148"/>
      <c r="CE156" s="1148"/>
      <c r="CF156" s="1148"/>
      <c r="CG156" s="1148"/>
      <c r="CH156" s="859">
        <f>CH155-CC155</f>
        <v>1.6177199999999998</v>
      </c>
      <c r="CI156" s="1148"/>
      <c r="CJ156" s="1148"/>
      <c r="CK156" s="1148"/>
      <c r="CL156" s="1148"/>
      <c r="CM156" s="859">
        <f>CM155-CH155</f>
        <v>1.5632799999999998</v>
      </c>
      <c r="CN156" s="1148"/>
      <c r="CO156" s="1148"/>
      <c r="CP156" s="1148"/>
      <c r="CQ156" s="1148"/>
      <c r="CR156" s="859">
        <f>CR155-CM155</f>
        <v>1.5557800000000004</v>
      </c>
      <c r="CS156" s="1148"/>
      <c r="CT156" s="1148"/>
      <c r="CU156" s="1148"/>
      <c r="CV156" s="1148"/>
      <c r="CW156" s="191"/>
      <c r="CZ156" s="201"/>
      <c r="DA156" s="200"/>
      <c r="DB156" s="200"/>
    </row>
    <row r="157" spans="1:106" hidden="1" outlineLevel="1">
      <c r="A157" s="206"/>
      <c r="B157" s="192"/>
      <c r="C157" s="192"/>
      <c r="D157" s="192"/>
      <c r="E157" s="192"/>
      <c r="F157" s="137"/>
      <c r="G157" s="192"/>
      <c r="H157" s="192"/>
      <c r="I157" s="192"/>
      <c r="J157" s="192"/>
      <c r="K157" s="192"/>
      <c r="L157" s="192"/>
      <c r="M157" s="192"/>
      <c r="N157" s="192"/>
      <c r="O157" s="192"/>
      <c r="P157" s="192"/>
      <c r="Q157" s="192"/>
      <c r="R157" s="192"/>
      <c r="S157" s="843"/>
      <c r="T157" s="192"/>
      <c r="U157" s="843"/>
      <c r="V157" s="192"/>
      <c r="W157" s="192"/>
      <c r="X157" s="192"/>
      <c r="Y157" s="192"/>
      <c r="Z157" s="192"/>
      <c r="AA157" s="192"/>
      <c r="AB157" s="192"/>
      <c r="AC157" s="192"/>
      <c r="AD157" s="192"/>
      <c r="AE157" s="192"/>
      <c r="AF157" s="192"/>
      <c r="AG157" s="192"/>
      <c r="AH157" s="192"/>
      <c r="AI157" s="192"/>
      <c r="AJ157" s="192"/>
      <c r="AK157" s="192"/>
      <c r="AL157" s="192"/>
      <c r="AM157" s="192"/>
      <c r="AN157" s="192"/>
      <c r="AO157" s="192"/>
      <c r="AP157" s="192"/>
      <c r="AQ157" s="192"/>
      <c r="AR157" s="192"/>
      <c r="AS157" s="192"/>
      <c r="AT157" s="192"/>
      <c r="AU157" s="192"/>
      <c r="AV157" s="192"/>
      <c r="AW157" s="192"/>
      <c r="AX157" s="192"/>
      <c r="AY157" s="192"/>
      <c r="AZ157" s="192"/>
      <c r="BA157" s="192"/>
      <c r="BB157" s="192"/>
      <c r="BC157" s="192"/>
      <c r="BD157" s="191"/>
      <c r="BE157" s="192"/>
      <c r="BF157" s="1148"/>
      <c r="BG157" s="1148"/>
      <c r="BH157" s="1148"/>
      <c r="BI157" s="191"/>
      <c r="BJ157" s="1148"/>
      <c r="BK157" s="1148"/>
      <c r="BL157" s="1148"/>
      <c r="BM157" s="1771"/>
      <c r="BN157" s="191"/>
      <c r="BO157" s="1148"/>
      <c r="BP157" s="1148"/>
      <c r="BQ157" s="1148"/>
      <c r="BR157" s="1148"/>
      <c r="BS157" s="191"/>
      <c r="BT157" s="1148"/>
      <c r="BU157" s="1148"/>
      <c r="BV157" s="1148"/>
      <c r="BW157" s="1148"/>
      <c r="BX157" s="191"/>
      <c r="BY157" s="1148"/>
      <c r="BZ157" s="1148"/>
      <c r="CA157" s="1148"/>
      <c r="CB157" s="1148"/>
      <c r="CC157" s="191"/>
      <c r="CD157" s="1148"/>
      <c r="CE157" s="1148"/>
      <c r="CF157" s="1148"/>
      <c r="CG157" s="1148"/>
      <c r="CH157" s="191"/>
      <c r="CI157" s="1148"/>
      <c r="CJ157" s="1148"/>
      <c r="CK157" s="1148"/>
      <c r="CL157" s="1148"/>
      <c r="CM157" s="191"/>
      <c r="CN157" s="1148"/>
      <c r="CO157" s="1148"/>
      <c r="CP157" s="1148"/>
      <c r="CQ157" s="1148"/>
      <c r="CR157" s="191"/>
      <c r="CS157" s="1148"/>
      <c r="CT157" s="1148"/>
      <c r="CU157" s="1148"/>
      <c r="CV157" s="1148"/>
      <c r="CW157" s="191"/>
      <c r="CZ157" s="201"/>
      <c r="DA157" s="200"/>
      <c r="DB157" s="200"/>
    </row>
    <row r="158" spans="1:106" hidden="1" outlineLevel="1">
      <c r="A158" s="206" t="s">
        <v>883</v>
      </c>
      <c r="B158" s="192"/>
      <c r="C158" s="192"/>
      <c r="D158" s="192"/>
      <c r="E158" s="192"/>
      <c r="F158" s="137"/>
      <c r="G158" s="192"/>
      <c r="H158" s="192"/>
      <c r="I158" s="192"/>
      <c r="J158" s="192"/>
      <c r="K158" s="192"/>
      <c r="L158" s="192"/>
      <c r="M158" s="192"/>
      <c r="N158" s="192"/>
      <c r="O158" s="192"/>
      <c r="P158" s="192"/>
      <c r="Q158" s="192"/>
      <c r="R158" s="192"/>
      <c r="S158" s="843"/>
      <c r="T158" s="192"/>
      <c r="U158" s="843"/>
      <c r="V158" s="192"/>
      <c r="W158" s="192"/>
      <c r="X158" s="192"/>
      <c r="Y158" s="192"/>
      <c r="Z158" s="192"/>
      <c r="AA158" s="192"/>
      <c r="AB158" s="192"/>
      <c r="AC158" s="192"/>
      <c r="AD158" s="192"/>
      <c r="AE158" s="192"/>
      <c r="AF158" s="192"/>
      <c r="AG158" s="192"/>
      <c r="AH158" s="192"/>
      <c r="AI158" s="192"/>
      <c r="AJ158" s="192"/>
      <c r="AK158" s="192"/>
      <c r="AL158" s="192"/>
      <c r="AM158" s="192"/>
      <c r="AN158" s="192"/>
      <c r="AO158" s="192"/>
      <c r="AP158" s="192"/>
      <c r="AQ158" s="192"/>
      <c r="AR158" s="192"/>
      <c r="AS158" s="192"/>
      <c r="AT158" s="192"/>
      <c r="AU158" s="192"/>
      <c r="AV158" s="192"/>
      <c r="AW158" s="192"/>
      <c r="AX158" s="192"/>
      <c r="AY158" s="192"/>
      <c r="AZ158" s="192"/>
      <c r="BA158" s="192"/>
      <c r="BB158" s="192"/>
      <c r="BC158" s="192"/>
      <c r="BD158" s="191"/>
      <c r="BE158" s="192"/>
      <c r="BF158" s="1148"/>
      <c r="BG158" s="1148"/>
      <c r="BH158" s="1148"/>
      <c r="BI158" s="859">
        <v>0.1</v>
      </c>
      <c r="BJ158" s="1148"/>
      <c r="BK158" s="1148"/>
      <c r="BL158" s="1148"/>
      <c r="BM158" s="1771"/>
      <c r="BN158" s="859">
        <v>1</v>
      </c>
      <c r="BO158" s="1148"/>
      <c r="BP158" s="1148"/>
      <c r="BQ158" s="1148"/>
      <c r="BR158" s="1148"/>
      <c r="BS158" s="859">
        <v>2.1</v>
      </c>
      <c r="BT158" s="1148"/>
      <c r="BU158" s="1148"/>
      <c r="BV158" s="1148"/>
      <c r="BW158" s="1148"/>
      <c r="BX158" s="859">
        <v>3.7</v>
      </c>
      <c r="BY158" s="1148"/>
      <c r="BZ158" s="1148"/>
      <c r="CA158" s="1148"/>
      <c r="CB158" s="1148"/>
      <c r="CC158" s="859">
        <v>3.9220000000000006</v>
      </c>
      <c r="CD158" s="1148"/>
      <c r="CE158" s="1148"/>
      <c r="CF158" s="1148"/>
      <c r="CG158" s="1148"/>
      <c r="CH158" s="859">
        <f>CC158*(1+CH159)</f>
        <v>4.1573200000000012</v>
      </c>
      <c r="CI158" s="1148"/>
      <c r="CJ158" s="1148"/>
      <c r="CK158" s="1148"/>
      <c r="CL158" s="1148"/>
      <c r="CM158" s="859">
        <f>CH158*(1+CM159)</f>
        <v>4.4067592000000015</v>
      </c>
      <c r="CN158" s="1148"/>
      <c r="CO158" s="1148"/>
      <c r="CP158" s="1148"/>
      <c r="CQ158" s="1148"/>
      <c r="CR158" s="859">
        <f>CM158*(1+CR159)</f>
        <v>4.6711647520000019</v>
      </c>
      <c r="CS158" s="1148"/>
      <c r="CT158" s="1148"/>
      <c r="CU158" s="1148"/>
      <c r="CV158" s="1148"/>
      <c r="CW158" s="859">
        <f>CR158*(1+CW159)</f>
        <v>4.951434637120002</v>
      </c>
      <c r="CZ158" s="201"/>
      <c r="DA158" s="200"/>
      <c r="DB158" s="200"/>
    </row>
    <row r="159" spans="1:106" hidden="1" outlineLevel="1">
      <c r="A159" s="1763" t="s">
        <v>884</v>
      </c>
      <c r="B159" s="192"/>
      <c r="C159" s="192"/>
      <c r="D159" s="192"/>
      <c r="E159" s="192"/>
      <c r="F159" s="137"/>
      <c r="G159" s="192"/>
      <c r="H159" s="192"/>
      <c r="I159" s="192"/>
      <c r="J159" s="192"/>
      <c r="K159" s="192"/>
      <c r="L159" s="192"/>
      <c r="M159" s="192"/>
      <c r="N159" s="192"/>
      <c r="O159" s="192"/>
      <c r="P159" s="192"/>
      <c r="Q159" s="192"/>
      <c r="R159" s="192"/>
      <c r="S159" s="843"/>
      <c r="T159" s="192"/>
      <c r="U159" s="843"/>
      <c r="V159" s="192"/>
      <c r="W159" s="192"/>
      <c r="X159" s="192"/>
      <c r="Y159" s="192"/>
      <c r="Z159" s="192"/>
      <c r="AA159" s="192"/>
      <c r="AB159" s="192"/>
      <c r="AC159" s="192"/>
      <c r="AD159" s="192"/>
      <c r="AE159" s="192"/>
      <c r="AF159" s="192"/>
      <c r="AG159" s="192"/>
      <c r="AH159" s="192"/>
      <c r="AI159" s="192"/>
      <c r="AJ159" s="192"/>
      <c r="AK159" s="192"/>
      <c r="AL159" s="192"/>
      <c r="AM159" s="192"/>
      <c r="AN159" s="192"/>
      <c r="AO159" s="192"/>
      <c r="AP159" s="192"/>
      <c r="AQ159" s="192"/>
      <c r="AR159" s="192"/>
      <c r="AS159" s="192"/>
      <c r="AT159" s="192"/>
      <c r="AU159" s="192"/>
      <c r="AV159" s="192"/>
      <c r="AW159" s="192"/>
      <c r="AX159" s="192"/>
      <c r="AY159" s="192"/>
      <c r="AZ159" s="192"/>
      <c r="BA159" s="192"/>
      <c r="BB159" s="192"/>
      <c r="BC159" s="192"/>
      <c r="BD159" s="191"/>
      <c r="BE159" s="192"/>
      <c r="BF159" s="1148"/>
      <c r="BG159" s="1148"/>
      <c r="BH159" s="1148"/>
      <c r="BI159" s="1764"/>
      <c r="BJ159" s="1765"/>
      <c r="BK159" s="1765"/>
      <c r="BL159" s="1765"/>
      <c r="BM159" s="1772"/>
      <c r="BN159" s="1764"/>
      <c r="BO159" s="1765"/>
      <c r="BP159" s="1765"/>
      <c r="BQ159" s="1765"/>
      <c r="BR159" s="1765"/>
      <c r="BS159" s="1764"/>
      <c r="BT159" s="1765"/>
      <c r="BU159" s="1765"/>
      <c r="BV159" s="1765"/>
      <c r="BW159" s="1765"/>
      <c r="BX159" s="1764"/>
      <c r="BY159" s="1765"/>
      <c r="BZ159" s="1765"/>
      <c r="CA159" s="1765"/>
      <c r="CB159" s="1765"/>
      <c r="CC159" s="1764"/>
      <c r="CD159" s="1765"/>
      <c r="CE159" s="1765"/>
      <c r="CF159" s="1765"/>
      <c r="CG159" s="1765"/>
      <c r="CH159" s="1764">
        <v>0.06</v>
      </c>
      <c r="CI159" s="1765"/>
      <c r="CJ159" s="1765"/>
      <c r="CK159" s="1765"/>
      <c r="CL159" s="1765"/>
      <c r="CM159" s="1764">
        <v>0.06</v>
      </c>
      <c r="CN159" s="1765"/>
      <c r="CO159" s="1765"/>
      <c r="CP159" s="1765"/>
      <c r="CQ159" s="1765"/>
      <c r="CR159" s="1764">
        <v>0.06</v>
      </c>
      <c r="CS159" s="1148"/>
      <c r="CT159" s="1148"/>
      <c r="CU159" s="1148"/>
      <c r="CV159" s="1148"/>
      <c r="CW159" s="1764">
        <v>0.06</v>
      </c>
      <c r="CZ159" s="201"/>
      <c r="DA159" s="200"/>
      <c r="DB159" s="200"/>
    </row>
    <row r="160" spans="1:106" hidden="1" outlineLevel="1">
      <c r="A160" s="1763" t="s">
        <v>880</v>
      </c>
      <c r="B160" s="192"/>
      <c r="C160" s="192"/>
      <c r="D160" s="192"/>
      <c r="E160" s="192"/>
      <c r="F160" s="137"/>
      <c r="G160" s="192"/>
      <c r="H160" s="192"/>
      <c r="I160" s="192"/>
      <c r="J160" s="192"/>
      <c r="K160" s="192"/>
      <c r="L160" s="192"/>
      <c r="M160" s="192"/>
      <c r="N160" s="192"/>
      <c r="O160" s="192"/>
      <c r="P160" s="192"/>
      <c r="Q160" s="192"/>
      <c r="R160" s="192"/>
      <c r="S160" s="843"/>
      <c r="T160" s="192"/>
      <c r="U160" s="843"/>
      <c r="V160" s="192"/>
      <c r="W160" s="192"/>
      <c r="X160" s="192"/>
      <c r="Y160" s="192"/>
      <c r="Z160" s="192"/>
      <c r="AA160" s="192"/>
      <c r="AB160" s="192"/>
      <c r="AC160" s="192"/>
      <c r="AD160" s="192"/>
      <c r="AE160" s="192"/>
      <c r="AF160" s="192"/>
      <c r="AG160" s="192"/>
      <c r="AH160" s="192"/>
      <c r="AI160" s="192"/>
      <c r="AJ160" s="192"/>
      <c r="AK160" s="192"/>
      <c r="AL160" s="192"/>
      <c r="AM160" s="192"/>
      <c r="AN160" s="192"/>
      <c r="AO160" s="192"/>
      <c r="AP160" s="192"/>
      <c r="AQ160" s="192"/>
      <c r="AR160" s="192"/>
      <c r="AS160" s="192"/>
      <c r="AT160" s="192"/>
      <c r="AU160" s="192"/>
      <c r="AV160" s="192"/>
      <c r="AW160" s="192"/>
      <c r="AX160" s="192"/>
      <c r="AY160" s="192"/>
      <c r="AZ160" s="192"/>
      <c r="BA160" s="192"/>
      <c r="BB160" s="192"/>
      <c r="BC160" s="192"/>
      <c r="BD160" s="191"/>
      <c r="BE160" s="192"/>
      <c r="BF160" s="1148"/>
      <c r="BG160" s="1148"/>
      <c r="BH160" s="1148"/>
      <c r="BI160" s="1764">
        <v>0.1</v>
      </c>
      <c r="BJ160" s="1765"/>
      <c r="BK160" s="1765"/>
      <c r="BL160" s="1765"/>
      <c r="BM160" s="1772"/>
      <c r="BN160" s="1764">
        <v>0.1</v>
      </c>
      <c r="BO160" s="1765"/>
      <c r="BP160" s="1765"/>
      <c r="BQ160" s="1765"/>
      <c r="BR160" s="1765"/>
      <c r="BS160" s="1764">
        <v>0.1</v>
      </c>
      <c r="BT160" s="1765"/>
      <c r="BU160" s="1765"/>
      <c r="BV160" s="1765"/>
      <c r="BW160" s="1765"/>
      <c r="BX160" s="1764">
        <v>0.1</v>
      </c>
      <c r="BY160" s="1765"/>
      <c r="BZ160" s="1765"/>
      <c r="CA160" s="1765"/>
      <c r="CB160" s="1765"/>
      <c r="CC160" s="1764">
        <v>0.1</v>
      </c>
      <c r="CD160" s="1765"/>
      <c r="CE160" s="1765"/>
      <c r="CF160" s="1765"/>
      <c r="CG160" s="1765"/>
      <c r="CH160" s="1764">
        <v>0.1</v>
      </c>
      <c r="CI160" s="1765"/>
      <c r="CJ160" s="1765"/>
      <c r="CK160" s="1765"/>
      <c r="CL160" s="1765"/>
      <c r="CM160" s="1764">
        <v>0.1</v>
      </c>
      <c r="CN160" s="1765"/>
      <c r="CO160" s="1765"/>
      <c r="CP160" s="1765"/>
      <c r="CQ160" s="1765"/>
      <c r="CR160" s="1764">
        <v>0.1</v>
      </c>
      <c r="CS160" s="1148"/>
      <c r="CT160" s="1148"/>
      <c r="CU160" s="1148"/>
      <c r="CV160" s="1148"/>
      <c r="CW160" s="191"/>
      <c r="CZ160" s="201"/>
      <c r="DA160" s="200"/>
      <c r="DB160" s="200"/>
    </row>
    <row r="161" spans="1:112" hidden="1" outlineLevel="1">
      <c r="A161" s="1767" t="s">
        <v>881</v>
      </c>
      <c r="B161" s="192"/>
      <c r="C161" s="192"/>
      <c r="D161" s="192"/>
      <c r="E161" s="192"/>
      <c r="F161" s="137"/>
      <c r="G161" s="192"/>
      <c r="H161" s="192"/>
      <c r="I161" s="192"/>
      <c r="J161" s="192"/>
      <c r="K161" s="192"/>
      <c r="L161" s="192"/>
      <c r="M161" s="192"/>
      <c r="N161" s="192"/>
      <c r="O161" s="192"/>
      <c r="P161" s="192"/>
      <c r="Q161" s="192"/>
      <c r="R161" s="192"/>
      <c r="S161" s="843"/>
      <c r="T161" s="192"/>
      <c r="U161" s="843"/>
      <c r="V161" s="192"/>
      <c r="W161" s="192"/>
      <c r="X161" s="192"/>
      <c r="Y161" s="192"/>
      <c r="Z161" s="192"/>
      <c r="AA161" s="192"/>
      <c r="AB161" s="192"/>
      <c r="AC161" s="192"/>
      <c r="AD161" s="192"/>
      <c r="AE161" s="192"/>
      <c r="AF161" s="192"/>
      <c r="AG161" s="192"/>
      <c r="AH161" s="192"/>
      <c r="AI161" s="192"/>
      <c r="AJ161" s="192"/>
      <c r="AK161" s="192"/>
      <c r="AL161" s="192"/>
      <c r="AM161" s="192"/>
      <c r="AN161" s="192"/>
      <c r="AO161" s="192"/>
      <c r="AP161" s="192"/>
      <c r="AQ161" s="192"/>
      <c r="AR161" s="192"/>
      <c r="AS161" s="192"/>
      <c r="AT161" s="192"/>
      <c r="AU161" s="192"/>
      <c r="AV161" s="192"/>
      <c r="AW161" s="192"/>
      <c r="AX161" s="192"/>
      <c r="AY161" s="192"/>
      <c r="AZ161" s="192"/>
      <c r="BA161" s="192"/>
      <c r="BB161" s="192"/>
      <c r="BC161" s="192"/>
      <c r="BD161" s="191"/>
      <c r="BE161" s="192"/>
      <c r="BF161" s="1148"/>
      <c r="BG161" s="1148"/>
      <c r="BH161" s="1148"/>
      <c r="BI161" s="354">
        <f>BI160*BI158</f>
        <v>1.0000000000000002E-2</v>
      </c>
      <c r="BJ161" s="1148"/>
      <c r="BK161" s="1148"/>
      <c r="BL161" s="1148"/>
      <c r="BM161" s="1771"/>
      <c r="BN161" s="354">
        <f>BN160*BN158</f>
        <v>0.1</v>
      </c>
      <c r="BO161" s="1148"/>
      <c r="BP161" s="1148"/>
      <c r="BQ161" s="1148"/>
      <c r="BR161" s="1148"/>
      <c r="BS161" s="191">
        <f>BS160*BS158</f>
        <v>0.21000000000000002</v>
      </c>
      <c r="BT161" s="1148"/>
      <c r="BU161" s="1148"/>
      <c r="BV161" s="1148"/>
      <c r="BW161" s="1148"/>
      <c r="BX161" s="191">
        <f>BX160*BX158</f>
        <v>0.37000000000000005</v>
      </c>
      <c r="BY161" s="1148"/>
      <c r="BZ161" s="1148"/>
      <c r="CA161" s="1148"/>
      <c r="CB161" s="1148"/>
      <c r="CC161" s="1775">
        <f>CC160*CC158</f>
        <v>0.3922000000000001</v>
      </c>
      <c r="CD161" s="1148"/>
      <c r="CE161" s="1148"/>
      <c r="CF161" s="1148"/>
      <c r="CG161" s="1148"/>
      <c r="CH161" s="1775">
        <f>CH160*CH158</f>
        <v>0.41573200000000016</v>
      </c>
      <c r="CI161" s="1148"/>
      <c r="CJ161" s="1148"/>
      <c r="CK161" s="1148"/>
      <c r="CL161" s="1148"/>
      <c r="CM161" s="1775">
        <f>CM160*CM158</f>
        <v>0.44067592000000017</v>
      </c>
      <c r="CN161" s="1148"/>
      <c r="CO161" s="1148"/>
      <c r="CP161" s="1148"/>
      <c r="CQ161" s="1148"/>
      <c r="CR161" s="1775">
        <f>CR160*CR158</f>
        <v>0.46711647520000021</v>
      </c>
      <c r="CS161" s="1148"/>
      <c r="CT161" s="1148"/>
      <c r="CU161" s="1148"/>
      <c r="CV161" s="1148"/>
      <c r="CW161" s="191"/>
      <c r="CZ161" s="201"/>
      <c r="DA161" s="200"/>
      <c r="DB161" s="200"/>
    </row>
    <row r="162" spans="1:112" hidden="1" outlineLevel="1">
      <c r="A162" s="1767" t="s">
        <v>885</v>
      </c>
      <c r="B162" s="192"/>
      <c r="C162" s="192"/>
      <c r="D162" s="192"/>
      <c r="E162" s="192"/>
      <c r="F162" s="137"/>
      <c r="G162" s="192"/>
      <c r="H162" s="192"/>
      <c r="I162" s="192"/>
      <c r="J162" s="192"/>
      <c r="K162" s="192"/>
      <c r="L162" s="192"/>
      <c r="M162" s="192"/>
      <c r="N162" s="192"/>
      <c r="O162" s="192"/>
      <c r="P162" s="192"/>
      <c r="Q162" s="192"/>
      <c r="R162" s="192"/>
      <c r="S162" s="843"/>
      <c r="T162" s="192"/>
      <c r="U162" s="843"/>
      <c r="V162" s="192"/>
      <c r="W162" s="192"/>
      <c r="X162" s="192"/>
      <c r="Y162" s="192"/>
      <c r="Z162" s="192"/>
      <c r="AA162" s="192"/>
      <c r="AB162" s="192"/>
      <c r="AC162" s="192"/>
      <c r="AD162" s="192"/>
      <c r="AE162" s="192"/>
      <c r="AF162" s="192"/>
      <c r="AG162" s="192"/>
      <c r="AH162" s="192"/>
      <c r="AI162" s="192"/>
      <c r="AJ162" s="192"/>
      <c r="AK162" s="192"/>
      <c r="AL162" s="192"/>
      <c r="AM162" s="192"/>
      <c r="AN162" s="192"/>
      <c r="AO162" s="192"/>
      <c r="AP162" s="192"/>
      <c r="AQ162" s="192"/>
      <c r="AR162" s="192"/>
      <c r="AS162" s="192"/>
      <c r="AT162" s="192"/>
      <c r="AU162" s="192"/>
      <c r="AV162" s="192"/>
      <c r="AW162" s="192"/>
      <c r="AX162" s="192"/>
      <c r="AY162" s="192"/>
      <c r="AZ162" s="192"/>
      <c r="BA162" s="192"/>
      <c r="BB162" s="192"/>
      <c r="BC162" s="192"/>
      <c r="BD162" s="191"/>
      <c r="BE162" s="192"/>
      <c r="BF162" s="1148"/>
      <c r="BG162" s="1148"/>
      <c r="BH162" s="1148"/>
      <c r="BI162" s="354">
        <f>BI161</f>
        <v>1.0000000000000002E-2</v>
      </c>
      <c r="BJ162" s="1148"/>
      <c r="BK162" s="1148"/>
      <c r="BL162" s="1148"/>
      <c r="BM162" s="1771"/>
      <c r="BN162" s="354">
        <f>BN161-BI161</f>
        <v>0.09</v>
      </c>
      <c r="BO162" s="1148"/>
      <c r="BP162" s="1148"/>
      <c r="BQ162" s="1148"/>
      <c r="BR162" s="1148"/>
      <c r="BS162" s="191">
        <f>BS161-BN161</f>
        <v>0.11000000000000001</v>
      </c>
      <c r="BT162" s="1148"/>
      <c r="BU162" s="1148"/>
      <c r="BV162" s="1148"/>
      <c r="BW162" s="1148"/>
      <c r="BX162" s="191">
        <f>BX161-BS161</f>
        <v>0.16000000000000003</v>
      </c>
      <c r="BY162" s="1148"/>
      <c r="BZ162" s="1148"/>
      <c r="CA162" s="1148"/>
      <c r="CB162" s="1148"/>
      <c r="CC162" s="1775">
        <f>CC161-BX161</f>
        <v>2.2200000000000053E-2</v>
      </c>
      <c r="CD162" s="1148"/>
      <c r="CE162" s="1148"/>
      <c r="CF162" s="1148"/>
      <c r="CG162" s="1148"/>
      <c r="CH162" s="1775">
        <f>CH161-CC161</f>
        <v>2.3532000000000053E-2</v>
      </c>
      <c r="CI162" s="1148"/>
      <c r="CJ162" s="1148"/>
      <c r="CK162" s="1148"/>
      <c r="CL162" s="1148"/>
      <c r="CM162" s="1775">
        <f>CM161-CH161</f>
        <v>2.4943920000000008E-2</v>
      </c>
      <c r="CN162" s="1148"/>
      <c r="CO162" s="1148"/>
      <c r="CP162" s="1148"/>
      <c r="CQ162" s="1148"/>
      <c r="CR162" s="1775">
        <f>CR161-CM161</f>
        <v>2.6440555200000049E-2</v>
      </c>
      <c r="CS162" s="1148"/>
      <c r="CT162" s="1148"/>
      <c r="CU162" s="1148"/>
      <c r="CV162" s="1148"/>
      <c r="CW162" s="191"/>
      <c r="CZ162" s="201"/>
      <c r="DA162" s="200"/>
      <c r="DB162" s="200"/>
    </row>
    <row r="163" spans="1:112" s="32" customFormat="1" hidden="1" outlineLevel="1">
      <c r="A163" s="1768" t="s">
        <v>886</v>
      </c>
      <c r="B163" s="310"/>
      <c r="C163" s="310"/>
      <c r="D163" s="310"/>
      <c r="E163" s="310"/>
      <c r="F163" s="189"/>
      <c r="G163" s="310"/>
      <c r="H163" s="310"/>
      <c r="I163" s="310"/>
      <c r="J163" s="310"/>
      <c r="K163" s="310"/>
      <c r="L163" s="310"/>
      <c r="M163" s="310"/>
      <c r="N163" s="310"/>
      <c r="O163" s="310"/>
      <c r="P163" s="310"/>
      <c r="Q163" s="310"/>
      <c r="R163" s="310"/>
      <c r="S163" s="310"/>
      <c r="T163" s="310"/>
      <c r="U163" s="310"/>
      <c r="V163" s="310"/>
      <c r="W163" s="310"/>
      <c r="X163" s="310"/>
      <c r="Y163" s="310"/>
      <c r="Z163" s="310"/>
      <c r="AA163" s="310"/>
      <c r="AB163" s="310"/>
      <c r="AC163" s="310"/>
      <c r="AD163" s="310"/>
      <c r="AE163" s="310"/>
      <c r="AF163" s="310"/>
      <c r="AG163" s="310"/>
      <c r="AH163" s="310"/>
      <c r="AI163" s="310"/>
      <c r="AJ163" s="310"/>
      <c r="AK163" s="310"/>
      <c r="AL163" s="310"/>
      <c r="AM163" s="310"/>
      <c r="AN163" s="310"/>
      <c r="AO163" s="310"/>
      <c r="AP163" s="310"/>
      <c r="AQ163" s="310"/>
      <c r="AR163" s="310"/>
      <c r="AS163" s="310"/>
      <c r="AT163" s="310"/>
      <c r="AU163" s="310"/>
      <c r="AV163" s="310"/>
      <c r="AW163" s="310"/>
      <c r="AX163" s="310"/>
      <c r="AY163" s="310"/>
      <c r="AZ163" s="310"/>
      <c r="BA163" s="310"/>
      <c r="BB163" s="310"/>
      <c r="BC163" s="310"/>
      <c r="BD163" s="782"/>
      <c r="BE163" s="310"/>
      <c r="BF163" s="310"/>
      <c r="BG163" s="310"/>
      <c r="BH163" s="310"/>
      <c r="BI163" s="190">
        <f>SUM(BI161,BI155)/SUM(BI158,BI153)</f>
        <v>9.9999999999999992E-2</v>
      </c>
      <c r="BJ163" s="310"/>
      <c r="BK163" s="310"/>
      <c r="BL163" s="310"/>
      <c r="BM163" s="1773"/>
      <c r="BN163" s="190">
        <f>SUM(BN161,BN155)/SUM(BN158,BN153)</f>
        <v>0.12949979499794997</v>
      </c>
      <c r="BO163" s="310"/>
      <c r="BP163" s="310"/>
      <c r="BQ163" s="310"/>
      <c r="BR163" s="310"/>
      <c r="BS163" s="782">
        <f>SUM(BS161,BS155)/SUM(BS158,BS153)</f>
        <v>0.17465994962216627</v>
      </c>
      <c r="BT163" s="310"/>
      <c r="BU163" s="310"/>
      <c r="BV163" s="310"/>
      <c r="BW163" s="310"/>
      <c r="BX163" s="782">
        <f>SUM(BX161,BX155)/SUM(BX158,BX153)</f>
        <v>0.23125266038309514</v>
      </c>
      <c r="BY163" s="310"/>
      <c r="BZ163" s="310"/>
      <c r="CA163" s="310"/>
      <c r="CB163" s="310"/>
      <c r="CC163" s="782">
        <f>SUM(CC161,CC155)/SUM(CC158,CC153)</f>
        <v>0.30553690776771131</v>
      </c>
      <c r="CD163" s="310"/>
      <c r="CE163" s="310"/>
      <c r="CF163" s="310"/>
      <c r="CG163" s="310"/>
      <c r="CH163" s="782">
        <f>SUM(CH161,CH155)/SUM(CH158,CH153)</f>
        <v>0.34114769917232318</v>
      </c>
      <c r="CI163" s="310"/>
      <c r="CJ163" s="310"/>
      <c r="CK163" s="310"/>
      <c r="CL163" s="310"/>
      <c r="CM163" s="782">
        <f>SUM(CM161,CM155)/SUM(CM158,CM153)</f>
        <v>0.36544207396752637</v>
      </c>
      <c r="CN163" s="310"/>
      <c r="CO163" s="310"/>
      <c r="CP163" s="310"/>
      <c r="CQ163" s="310"/>
      <c r="CR163" s="782">
        <f>SUM(CR161,CR155)/SUM(CR158,CR153)</f>
        <v>0.38707687352605957</v>
      </c>
      <c r="CS163" s="310"/>
      <c r="CT163" s="310"/>
      <c r="CU163" s="310"/>
      <c r="CV163" s="310"/>
      <c r="CW163" s="782"/>
      <c r="CZ163" s="1627"/>
      <c r="DA163" s="1260"/>
      <c r="DB163" s="1260"/>
      <c r="DC163"/>
      <c r="DD163"/>
      <c r="DE163"/>
      <c r="DF163"/>
      <c r="DG163"/>
      <c r="DH163"/>
    </row>
    <row r="164" spans="1:112" hidden="1" outlineLevel="1">
      <c r="A164" s="1769" t="s">
        <v>887</v>
      </c>
      <c r="B164" s="192"/>
      <c r="C164" s="192"/>
      <c r="D164" s="192"/>
      <c r="E164" s="192"/>
      <c r="F164" s="137"/>
      <c r="G164" s="192"/>
      <c r="H164" s="192"/>
      <c r="I164" s="192"/>
      <c r="J164" s="192"/>
      <c r="K164" s="192"/>
      <c r="L164" s="192"/>
      <c r="M164" s="192"/>
      <c r="N164" s="192"/>
      <c r="O164" s="192"/>
      <c r="P164" s="192"/>
      <c r="Q164" s="192"/>
      <c r="R164" s="192"/>
      <c r="S164" s="843"/>
      <c r="T164" s="192"/>
      <c r="U164" s="843"/>
      <c r="V164" s="192"/>
      <c r="W164" s="192"/>
      <c r="X164" s="192"/>
      <c r="Y164" s="192"/>
      <c r="Z164" s="192"/>
      <c r="AA164" s="192"/>
      <c r="AB164" s="192"/>
      <c r="AC164" s="192"/>
      <c r="AD164" s="192"/>
      <c r="AE164" s="192"/>
      <c r="AF164" s="192"/>
      <c r="AG164" s="192"/>
      <c r="AH164" s="192"/>
      <c r="AI164" s="192"/>
      <c r="AJ164" s="192"/>
      <c r="AK164" s="192"/>
      <c r="AL164" s="192"/>
      <c r="AM164" s="192"/>
      <c r="AN164" s="192"/>
      <c r="AO164" s="192"/>
      <c r="AP164" s="192"/>
      <c r="AQ164" s="192"/>
      <c r="AR164" s="192"/>
      <c r="AS164" s="192"/>
      <c r="AT164" s="192"/>
      <c r="AU164" s="192"/>
      <c r="AV164" s="192"/>
      <c r="AW164" s="192"/>
      <c r="AX164" s="192"/>
      <c r="AY164" s="192"/>
      <c r="AZ164" s="192"/>
      <c r="BA164" s="192"/>
      <c r="BB164" s="192"/>
      <c r="BC164" s="192"/>
      <c r="BD164" s="191"/>
      <c r="BE164" s="192"/>
      <c r="BF164" s="1148"/>
      <c r="BG164" s="1148"/>
      <c r="BH164" s="1148"/>
      <c r="BI164" s="1770">
        <f>SUM(BI161,BI155)</f>
        <v>4.3200000000000002E-2</v>
      </c>
      <c r="BJ164" s="1766"/>
      <c r="BK164" s="1766"/>
      <c r="BL164" s="1766"/>
      <c r="BM164" s="1770"/>
      <c r="BN164" s="1770">
        <f>SUM(BN161,BN155)</f>
        <v>0.31585000000000002</v>
      </c>
      <c r="BO164" s="1766"/>
      <c r="BP164" s="1766"/>
      <c r="BQ164" s="1766"/>
      <c r="BR164" s="1766"/>
      <c r="BS164" s="1774">
        <f>SUM(BS161,BS155)</f>
        <v>0.97076000000000007</v>
      </c>
      <c r="BT164" s="1148"/>
      <c r="BU164" s="1148"/>
      <c r="BV164" s="1148"/>
      <c r="BW164" s="1148"/>
      <c r="BX164" s="1774">
        <f>SUM(BX161,BX155)</f>
        <v>2.2817699999999999</v>
      </c>
      <c r="BY164" s="1148"/>
      <c r="BZ164" s="1148"/>
      <c r="CA164" s="1148"/>
      <c r="CB164" s="1148"/>
      <c r="CC164" s="1774">
        <f>SUM(CC161,CC155)</f>
        <v>4.1143600000000005</v>
      </c>
      <c r="CD164" s="1148"/>
      <c r="CE164" s="1148"/>
      <c r="CF164" s="1148"/>
      <c r="CG164" s="1148"/>
      <c r="CH164" s="1774">
        <f>SUM(CH161,CH155)</f>
        <v>5.7556120000000002</v>
      </c>
      <c r="CI164" s="1148"/>
      <c r="CJ164" s="1148"/>
      <c r="CK164" s="1148"/>
      <c r="CL164" s="1148"/>
      <c r="CM164" s="1774">
        <f>SUM(CM161,CM155)</f>
        <v>7.3438359200000001</v>
      </c>
      <c r="CN164" s="1148"/>
      <c r="CO164" s="1148"/>
      <c r="CP164" s="1148"/>
      <c r="CQ164" s="1148"/>
      <c r="CR164" s="1774">
        <f>SUM(CR161,CR155)</f>
        <v>8.9260564752000011</v>
      </c>
      <c r="CS164" s="1148"/>
      <c r="CT164" s="1148"/>
      <c r="CU164" s="1148"/>
      <c r="CV164" s="1148"/>
      <c r="CW164" s="191"/>
      <c r="CZ164" s="201"/>
      <c r="DA164" s="200"/>
      <c r="DB164" s="200"/>
    </row>
    <row r="165" spans="1:112" hidden="1" outlineLevel="1">
      <c r="A165" s="207"/>
      <c r="B165" s="192"/>
      <c r="C165" s="192"/>
      <c r="D165" s="192"/>
      <c r="E165" s="192"/>
      <c r="F165" s="137"/>
      <c r="G165" s="192"/>
      <c r="H165" s="192"/>
      <c r="I165" s="192"/>
      <c r="J165" s="192"/>
      <c r="K165" s="192"/>
      <c r="L165" s="192"/>
      <c r="M165" s="192"/>
      <c r="N165" s="192"/>
      <c r="O165" s="192"/>
      <c r="P165" s="192"/>
      <c r="Q165" s="192"/>
      <c r="R165" s="192"/>
      <c r="S165" s="843"/>
      <c r="T165" s="192"/>
      <c r="U165" s="843"/>
      <c r="V165" s="192"/>
      <c r="W165" s="192"/>
      <c r="X165" s="192"/>
      <c r="Y165" s="192"/>
      <c r="Z165" s="192"/>
      <c r="AA165" s="192"/>
      <c r="AB165" s="192"/>
      <c r="AC165" s="192"/>
      <c r="AD165" s="192"/>
      <c r="AE165" s="192"/>
      <c r="AF165" s="192"/>
      <c r="AG165" s="192"/>
      <c r="AH165" s="192"/>
      <c r="AI165" s="192"/>
      <c r="AJ165" s="192"/>
      <c r="AK165" s="192"/>
      <c r="AL165" s="192"/>
      <c r="AM165" s="192"/>
      <c r="AN165" s="192"/>
      <c r="AO165" s="192"/>
      <c r="AP165" s="192"/>
      <c r="AQ165" s="192"/>
      <c r="AR165" s="192"/>
      <c r="AS165" s="192"/>
      <c r="AT165" s="192"/>
      <c r="AU165" s="192"/>
      <c r="AV165" s="192"/>
      <c r="AW165" s="192"/>
      <c r="AX165" s="192"/>
      <c r="AY165" s="192"/>
      <c r="AZ165" s="192"/>
      <c r="BA165" s="192"/>
      <c r="BB165" s="192"/>
      <c r="BC165" s="192"/>
      <c r="BD165" s="191"/>
      <c r="BE165" s="192"/>
      <c r="BF165" s="1148"/>
      <c r="BG165" s="1148"/>
      <c r="BH165" s="1148"/>
      <c r="BI165" s="191"/>
      <c r="BJ165" s="1148"/>
      <c r="BK165" s="1148"/>
      <c r="BL165" s="1148"/>
      <c r="BM165" s="1771"/>
      <c r="BN165" s="191"/>
      <c r="BO165" s="1148"/>
      <c r="BP165" s="1148"/>
      <c r="BQ165" s="1148"/>
      <c r="BR165" s="1148"/>
      <c r="BS165" s="191"/>
      <c r="BT165" s="1148"/>
      <c r="BU165" s="1148"/>
      <c r="BV165" s="1148"/>
      <c r="BW165" s="1148"/>
      <c r="BX165" s="191"/>
      <c r="BY165" s="1148"/>
      <c r="BZ165" s="1148"/>
      <c r="CA165" s="1148"/>
      <c r="CB165" s="1148"/>
      <c r="CC165" s="191"/>
      <c r="CD165" s="1148"/>
      <c r="CE165" s="1148"/>
      <c r="CF165" s="1148"/>
      <c r="CG165" s="1148"/>
      <c r="CH165" s="191"/>
      <c r="CI165" s="1148"/>
      <c r="CJ165" s="1148"/>
      <c r="CK165" s="1148"/>
      <c r="CL165" s="1148"/>
      <c r="CM165" s="191"/>
      <c r="CN165" s="1148"/>
      <c r="CO165" s="1148"/>
      <c r="CP165" s="1148"/>
      <c r="CQ165" s="1148"/>
      <c r="CR165" s="191"/>
      <c r="CS165" s="1148"/>
      <c r="CT165" s="1148"/>
      <c r="CU165" s="1148"/>
      <c r="CV165" s="1148"/>
      <c r="CW165" s="191"/>
      <c r="CZ165" s="201"/>
      <c r="DA165" s="200"/>
      <c r="DB165" s="200"/>
    </row>
    <row r="166" spans="1:112" s="90" customFormat="1" hidden="1" outlineLevel="1">
      <c r="A166" s="1769" t="s">
        <v>888</v>
      </c>
      <c r="B166" s="192"/>
      <c r="C166" s="192"/>
      <c r="D166" s="192"/>
      <c r="E166" s="192"/>
      <c r="F166" s="137"/>
      <c r="G166" s="192"/>
      <c r="H166" s="192"/>
      <c r="I166" s="192"/>
      <c r="J166" s="192"/>
      <c r="K166" s="192"/>
      <c r="L166" s="192"/>
      <c r="M166" s="192"/>
      <c r="N166" s="192"/>
      <c r="O166" s="192"/>
      <c r="P166" s="192"/>
      <c r="Q166" s="192"/>
      <c r="R166" s="192"/>
      <c r="S166" s="843"/>
      <c r="T166" s="192"/>
      <c r="U166" s="843"/>
      <c r="V166" s="192"/>
      <c r="W166" s="192"/>
      <c r="X166" s="192"/>
      <c r="Y166" s="192"/>
      <c r="Z166" s="192"/>
      <c r="AA166" s="192"/>
      <c r="AB166" s="192"/>
      <c r="AC166" s="192"/>
      <c r="AD166" s="192"/>
      <c r="AE166" s="192"/>
      <c r="AF166" s="192"/>
      <c r="AG166" s="192"/>
      <c r="AH166" s="192"/>
      <c r="AI166" s="192"/>
      <c r="AJ166" s="192"/>
      <c r="AK166" s="192"/>
      <c r="AL166" s="192"/>
      <c r="AM166" s="192"/>
      <c r="AN166" s="192"/>
      <c r="AO166" s="192"/>
      <c r="AP166" s="192"/>
      <c r="AQ166" s="192"/>
      <c r="AR166" s="192"/>
      <c r="AS166" s="192"/>
      <c r="AT166" s="192"/>
      <c r="AU166" s="192"/>
      <c r="AV166" s="192"/>
      <c r="AW166" s="192"/>
      <c r="AX166" s="192"/>
      <c r="AY166" s="192"/>
      <c r="AZ166" s="192"/>
      <c r="BA166" s="192"/>
      <c r="BB166" s="192"/>
      <c r="BC166" s="192"/>
      <c r="BD166" s="191"/>
      <c r="BE166" s="192"/>
      <c r="BF166" s="1148"/>
      <c r="BG166" s="1148"/>
      <c r="BH166" s="1148"/>
      <c r="BI166" s="1770">
        <f>SUM(BI158,BI153)</f>
        <v>0.43200000000000005</v>
      </c>
      <c r="BJ166" s="1148"/>
      <c r="BK166" s="1148"/>
      <c r="BL166" s="1148"/>
      <c r="BM166" s="1771"/>
      <c r="BN166" s="1770">
        <f>SUM(BN158,BN153)-SUM(BI158,BI153)</f>
        <v>2.0070000000000001</v>
      </c>
      <c r="BO166" s="1148"/>
      <c r="BP166" s="1148"/>
      <c r="BQ166" s="1148"/>
      <c r="BR166" s="1148"/>
      <c r="BS166" s="1770">
        <f>SUM(BS158,BS153)-SUM(BN158,BN153)</f>
        <v>3.1189999999999998</v>
      </c>
      <c r="BT166" s="1148"/>
      <c r="BU166" s="1148"/>
      <c r="BV166" s="1148"/>
      <c r="BW166" s="1771"/>
      <c r="BX166" s="1770">
        <f>SUM(BX158,BX153)-SUM(BS158,BS153)</f>
        <v>4.3090000000000011</v>
      </c>
      <c r="BY166" s="1148"/>
      <c r="BZ166" s="1148"/>
      <c r="CA166" s="1148"/>
      <c r="CB166" s="1771"/>
      <c r="CC166" s="1770">
        <f>SUM(CC158,CC153)-SUM(BX158,BX153)</f>
        <v>3.5990000000000002</v>
      </c>
      <c r="CD166" s="1148"/>
      <c r="CE166" s="1148"/>
      <c r="CF166" s="1148"/>
      <c r="CG166" s="1771"/>
      <c r="CH166" s="1770">
        <f>SUM(CH158,CH153)-SUM(CC158,CC153)</f>
        <v>3.4053199999999997</v>
      </c>
      <c r="CI166" s="1148"/>
      <c r="CJ166" s="1148"/>
      <c r="CK166" s="1148"/>
      <c r="CL166" s="1771"/>
      <c r="CM166" s="1770">
        <f>SUM(CM158,CM153)-SUM(CH158,CH153)</f>
        <v>3.2244392000000026</v>
      </c>
      <c r="CN166" s="1148"/>
      <c r="CO166" s="1148"/>
      <c r="CP166" s="1148"/>
      <c r="CQ166" s="1771"/>
      <c r="CR166" s="1770">
        <f>SUM(CR158,CR153)-SUM(CM158,CM153)</f>
        <v>2.9644055519999988</v>
      </c>
      <c r="CS166" s="1148"/>
      <c r="CT166" s="1148"/>
      <c r="CU166" s="1148"/>
      <c r="CV166" s="1148"/>
      <c r="CW166" s="191"/>
      <c r="CZ166" s="201"/>
      <c r="DA166" s="200"/>
      <c r="DB166" s="200"/>
      <c r="DC166"/>
      <c r="DD166"/>
      <c r="DE166"/>
      <c r="DF166"/>
      <c r="DG166"/>
      <c r="DH166"/>
    </row>
    <row r="167" spans="1:112" s="90" customFormat="1" hidden="1" outlineLevel="1">
      <c r="A167" s="1769" t="s">
        <v>889</v>
      </c>
      <c r="B167" s="192"/>
      <c r="C167" s="192"/>
      <c r="D167" s="192"/>
      <c r="E167" s="192"/>
      <c r="F167" s="137"/>
      <c r="G167" s="192"/>
      <c r="H167" s="192"/>
      <c r="I167" s="192"/>
      <c r="J167" s="192"/>
      <c r="K167" s="192"/>
      <c r="L167" s="192"/>
      <c r="M167" s="192"/>
      <c r="N167" s="192"/>
      <c r="O167" s="192"/>
      <c r="P167" s="192"/>
      <c r="Q167" s="192"/>
      <c r="R167" s="192"/>
      <c r="S167" s="843"/>
      <c r="T167" s="192"/>
      <c r="U167" s="843"/>
      <c r="V167" s="192"/>
      <c r="W167" s="192"/>
      <c r="X167" s="192"/>
      <c r="Y167" s="192"/>
      <c r="Z167" s="192"/>
      <c r="AA167" s="192"/>
      <c r="AB167" s="192"/>
      <c r="AC167" s="192"/>
      <c r="AD167" s="192"/>
      <c r="AE167" s="192"/>
      <c r="AF167" s="192"/>
      <c r="AG167" s="192"/>
      <c r="AH167" s="192"/>
      <c r="AI167" s="192"/>
      <c r="AJ167" s="192"/>
      <c r="AK167" s="192"/>
      <c r="AL167" s="192"/>
      <c r="AM167" s="192"/>
      <c r="AN167" s="192"/>
      <c r="AO167" s="192"/>
      <c r="AP167" s="192"/>
      <c r="AQ167" s="192"/>
      <c r="AR167" s="192"/>
      <c r="AS167" s="192"/>
      <c r="AT167" s="192"/>
      <c r="AU167" s="192"/>
      <c r="AV167" s="192"/>
      <c r="AW167" s="192"/>
      <c r="AX167" s="192"/>
      <c r="AY167" s="192"/>
      <c r="AZ167" s="192"/>
      <c r="BA167" s="192"/>
      <c r="BB167" s="192"/>
      <c r="BC167" s="192"/>
      <c r="BD167" s="191"/>
      <c r="BE167" s="192"/>
      <c r="BF167" s="1148"/>
      <c r="BG167" s="1148"/>
      <c r="BH167" s="1148"/>
      <c r="BI167" s="1770">
        <f>BI162+BI156</f>
        <v>4.3200000000000002E-2</v>
      </c>
      <c r="BJ167" s="1148"/>
      <c r="BK167" s="1148"/>
      <c r="BL167" s="1148"/>
      <c r="BM167" s="1771"/>
      <c r="BN167" s="1770">
        <f>BN162+BN156</f>
        <v>0.27265</v>
      </c>
      <c r="BO167" s="1148"/>
      <c r="BP167" s="1148"/>
      <c r="BQ167" s="1148"/>
      <c r="BR167" s="1148"/>
      <c r="BS167" s="1770">
        <f>BS162+BS156</f>
        <v>0.65490999999999999</v>
      </c>
      <c r="BT167" s="1148"/>
      <c r="BU167" s="1148"/>
      <c r="BV167" s="1148"/>
      <c r="BW167" s="1771"/>
      <c r="BX167" s="1770">
        <f>BX162+BX156</f>
        <v>1.31101</v>
      </c>
      <c r="BY167" s="1148"/>
      <c r="BZ167" s="1148"/>
      <c r="CA167" s="1148"/>
      <c r="CB167" s="1771"/>
      <c r="CC167" s="1770">
        <f>CC162+CC156</f>
        <v>1.8325900000000002</v>
      </c>
      <c r="CD167" s="1148"/>
      <c r="CE167" s="1148"/>
      <c r="CF167" s="1148"/>
      <c r="CG167" s="1771"/>
      <c r="CH167" s="1770">
        <f>CH162+CH156</f>
        <v>1.6412519999999999</v>
      </c>
      <c r="CI167" s="1148"/>
      <c r="CJ167" s="1148"/>
      <c r="CK167" s="1148"/>
      <c r="CL167" s="1771"/>
      <c r="CM167" s="1770">
        <f>CM162+CM156</f>
        <v>1.5882239199999999</v>
      </c>
      <c r="CN167" s="1148"/>
      <c r="CO167" s="1148"/>
      <c r="CP167" s="1148"/>
      <c r="CQ167" s="1771"/>
      <c r="CR167" s="1770">
        <f>CR162+CR156</f>
        <v>1.5822205552000004</v>
      </c>
      <c r="CS167" s="1148"/>
      <c r="CT167" s="1148"/>
      <c r="CU167" s="1148"/>
      <c r="CV167" s="1148"/>
      <c r="CW167" s="191"/>
      <c r="CZ167" s="201"/>
      <c r="DA167" s="200"/>
      <c r="DB167" s="200"/>
      <c r="DC167"/>
      <c r="DD167"/>
      <c r="DE167"/>
      <c r="DF167"/>
      <c r="DG167"/>
      <c r="DH167"/>
    </row>
    <row r="168" spans="1:112" s="90" customFormat="1" hidden="1" outlineLevel="1">
      <c r="A168" s="1756"/>
      <c r="B168" s="192"/>
      <c r="C168" s="192"/>
      <c r="D168" s="192"/>
      <c r="E168" s="192"/>
      <c r="F168" s="137"/>
      <c r="G168" s="192"/>
      <c r="H168" s="192"/>
      <c r="I168" s="192"/>
      <c r="J168" s="192"/>
      <c r="K168" s="192"/>
      <c r="L168" s="192"/>
      <c r="M168" s="192"/>
      <c r="N168" s="192"/>
      <c r="O168" s="192"/>
      <c r="P168" s="192"/>
      <c r="Q168" s="192"/>
      <c r="R168" s="192"/>
      <c r="S168" s="843"/>
      <c r="T168" s="192"/>
      <c r="U168" s="843"/>
      <c r="V168" s="192"/>
      <c r="W168" s="192"/>
      <c r="X168" s="192"/>
      <c r="Y168" s="192"/>
      <c r="Z168" s="192"/>
      <c r="AA168" s="192"/>
      <c r="AB168" s="192"/>
      <c r="AC168" s="192"/>
      <c r="AD168" s="192"/>
      <c r="AE168" s="192"/>
      <c r="AF168" s="192"/>
      <c r="AG168" s="192"/>
      <c r="AH168" s="192"/>
      <c r="AI168" s="192"/>
      <c r="AJ168" s="192"/>
      <c r="AK168" s="192"/>
      <c r="AL168" s="192"/>
      <c r="AM168" s="192"/>
      <c r="AN168" s="192"/>
      <c r="AO168" s="192"/>
      <c r="AP168" s="192"/>
      <c r="AQ168" s="192"/>
      <c r="AR168" s="192"/>
      <c r="AS168" s="192"/>
      <c r="AT168" s="192"/>
      <c r="AU168" s="192"/>
      <c r="AV168" s="192"/>
      <c r="AW168" s="192"/>
      <c r="AX168" s="192"/>
      <c r="AY168" s="192"/>
      <c r="AZ168" s="192"/>
      <c r="BA168" s="192"/>
      <c r="BB168" s="192"/>
      <c r="BC168" s="192"/>
      <c r="BD168" s="191"/>
      <c r="BE168" s="192"/>
      <c r="BF168" s="1148"/>
      <c r="BG168" s="1148"/>
      <c r="BH168" s="1148"/>
      <c r="BI168" s="191"/>
      <c r="BJ168" s="1148"/>
      <c r="BK168" s="1148"/>
      <c r="BL168" s="1148"/>
      <c r="BM168" s="1148"/>
      <c r="BN168" s="191"/>
      <c r="BO168" s="1148"/>
      <c r="BP168" s="1148"/>
      <c r="BQ168" s="1148"/>
      <c r="BR168" s="1148"/>
      <c r="BS168" s="191"/>
      <c r="BT168" s="1148"/>
      <c r="BU168" s="1148"/>
      <c r="BV168" s="1148"/>
      <c r="BW168" s="1148"/>
      <c r="BX168" s="191"/>
      <c r="BY168" s="1148"/>
      <c r="BZ168" s="1148"/>
      <c r="CA168" s="1148"/>
      <c r="CB168" s="1148"/>
      <c r="CC168" s="191"/>
      <c r="CD168" s="1148"/>
      <c r="CE168" s="1148"/>
      <c r="CF168" s="1148"/>
      <c r="CG168" s="1148"/>
      <c r="CH168" s="191"/>
      <c r="CI168" s="1148"/>
      <c r="CJ168" s="1148"/>
      <c r="CK168" s="1148"/>
      <c r="CL168" s="1148"/>
      <c r="CM168" s="191"/>
      <c r="CN168" s="1148"/>
      <c r="CO168" s="1148"/>
      <c r="CP168" s="1148"/>
      <c r="CQ168" s="1148"/>
      <c r="CR168" s="191"/>
      <c r="CS168" s="1148"/>
      <c r="CT168" s="1148"/>
      <c r="CU168" s="1148"/>
      <c r="CV168" s="1148"/>
      <c r="CW168" s="191"/>
      <c r="CZ168" s="201"/>
      <c r="DA168" s="200"/>
      <c r="DB168" s="200"/>
      <c r="DC168"/>
      <c r="DD168"/>
      <c r="DE168"/>
      <c r="DF168"/>
      <c r="DG168"/>
      <c r="DH168"/>
    </row>
    <row r="169" spans="1:112" s="90" customFormat="1" hidden="1" outlineLevel="1">
      <c r="A169" s="1756" t="s">
        <v>890</v>
      </c>
      <c r="B169" s="192"/>
      <c r="C169" s="192"/>
      <c r="D169" s="192"/>
      <c r="E169" s="192"/>
      <c r="F169" s="137"/>
      <c r="G169" s="192"/>
      <c r="H169" s="192"/>
      <c r="I169" s="192"/>
      <c r="J169" s="192"/>
      <c r="K169" s="192"/>
      <c r="L169" s="192"/>
      <c r="M169" s="192"/>
      <c r="N169" s="192"/>
      <c r="O169" s="192"/>
      <c r="P169" s="192"/>
      <c r="Q169" s="192"/>
      <c r="R169" s="192"/>
      <c r="S169" s="843"/>
      <c r="T169" s="192"/>
      <c r="U169" s="843"/>
      <c r="V169" s="192"/>
      <c r="W169" s="192"/>
      <c r="X169" s="192"/>
      <c r="Y169" s="192"/>
      <c r="Z169" s="192"/>
      <c r="AA169" s="192"/>
      <c r="AB169" s="192"/>
      <c r="AC169" s="192"/>
      <c r="AD169" s="192"/>
      <c r="AE169" s="192"/>
      <c r="AF169" s="192"/>
      <c r="AG169" s="192"/>
      <c r="AH169" s="192"/>
      <c r="AI169" s="192"/>
      <c r="AJ169" s="192"/>
      <c r="AK169" s="192"/>
      <c r="AL169" s="192"/>
      <c r="AM169" s="192"/>
      <c r="AN169" s="192"/>
      <c r="AO169" s="192"/>
      <c r="AP169" s="192"/>
      <c r="AQ169" s="192"/>
      <c r="AR169" s="192"/>
      <c r="AS169" s="192"/>
      <c r="AT169" s="192"/>
      <c r="AU169" s="192"/>
      <c r="AV169" s="192"/>
      <c r="AW169" s="192"/>
      <c r="AX169" s="192"/>
      <c r="AY169" s="192"/>
      <c r="AZ169" s="192"/>
      <c r="BA169" s="192"/>
      <c r="BB169" s="192"/>
      <c r="BC169" s="192"/>
      <c r="BD169" s="191"/>
      <c r="BE169" s="192"/>
      <c r="BF169" s="1148"/>
      <c r="BG169" s="1148"/>
      <c r="BH169" s="1148"/>
      <c r="BI169" s="1774">
        <f>(BI158)-BI162</f>
        <v>0.09</v>
      </c>
      <c r="BJ169" s="1148"/>
      <c r="BK169" s="1148"/>
      <c r="BL169" s="1148"/>
      <c r="BM169" s="1148"/>
      <c r="BN169" s="1774">
        <f>(BN158-BI158)-BN162</f>
        <v>0.81</v>
      </c>
      <c r="BO169" s="1148"/>
      <c r="BP169" s="1148"/>
      <c r="BQ169" s="1148"/>
      <c r="BR169" s="1148"/>
      <c r="BS169" s="1774">
        <f>(BS158-BN158)-BS162</f>
        <v>0.9900000000000001</v>
      </c>
      <c r="BT169" s="1148"/>
      <c r="BU169" s="1148"/>
      <c r="BV169" s="1148"/>
      <c r="BW169" s="1148"/>
      <c r="BX169" s="1774">
        <f>(BX158-BS158)-BX162</f>
        <v>1.44</v>
      </c>
      <c r="BY169" s="1148"/>
      <c r="BZ169" s="1148"/>
      <c r="CA169" s="1148"/>
      <c r="CB169" s="1148"/>
      <c r="CC169" s="1774">
        <f>(CC158-BX158)-CC162</f>
        <v>0.19980000000000037</v>
      </c>
      <c r="CD169" s="1148"/>
      <c r="CE169" s="1148"/>
      <c r="CF169" s="1148"/>
      <c r="CG169" s="1148"/>
      <c r="CH169" s="1774">
        <f>(CH158-CC158)-CH162</f>
        <v>0.21178800000000059</v>
      </c>
      <c r="CI169" s="1148"/>
      <c r="CJ169" s="1148"/>
      <c r="CK169" s="1148"/>
      <c r="CL169" s="1148"/>
      <c r="CM169" s="1774">
        <f>(CM158-CH158)-CM162</f>
        <v>0.2244952800000003</v>
      </c>
      <c r="CN169" s="1148"/>
      <c r="CO169" s="1148"/>
      <c r="CP169" s="1148"/>
      <c r="CQ169" s="1148"/>
      <c r="CR169" s="1774">
        <f>(CR158-CM158)-CR162</f>
        <v>0.23796499680000033</v>
      </c>
      <c r="CS169" s="1148"/>
      <c r="CT169" s="1148"/>
      <c r="CU169" s="1148"/>
      <c r="CV169" s="1148"/>
      <c r="CW169" s="191"/>
      <c r="CZ169" s="201"/>
      <c r="DA169" s="200"/>
      <c r="DB169" s="200"/>
      <c r="DC169"/>
      <c r="DD169"/>
      <c r="DE169"/>
      <c r="DF169"/>
      <c r="DG169"/>
      <c r="DH169"/>
    </row>
    <row r="170" spans="1:112" s="90" customFormat="1" hidden="1" outlineLevel="1">
      <c r="A170" s="1756" t="s">
        <v>891</v>
      </c>
      <c r="B170" s="192"/>
      <c r="C170" s="192"/>
      <c r="D170" s="192"/>
      <c r="E170" s="192"/>
      <c r="F170" s="137"/>
      <c r="G170" s="192"/>
      <c r="H170" s="192"/>
      <c r="I170" s="192"/>
      <c r="J170" s="192"/>
      <c r="K170" s="192"/>
      <c r="L170" s="192"/>
      <c r="M170" s="192"/>
      <c r="N170" s="192"/>
      <c r="O170" s="192"/>
      <c r="P170" s="192"/>
      <c r="Q170" s="192"/>
      <c r="R170" s="192"/>
      <c r="S170" s="843"/>
      <c r="T170" s="192"/>
      <c r="U170" s="843"/>
      <c r="V170" s="192"/>
      <c r="W170" s="192"/>
      <c r="X170" s="192"/>
      <c r="Y170" s="192"/>
      <c r="Z170" s="192"/>
      <c r="AA170" s="192"/>
      <c r="AB170" s="192"/>
      <c r="AC170" s="192"/>
      <c r="AD170" s="192"/>
      <c r="AE170" s="192"/>
      <c r="AF170" s="192"/>
      <c r="AG170" s="192"/>
      <c r="AH170" s="192"/>
      <c r="AI170" s="192"/>
      <c r="AJ170" s="192"/>
      <c r="AK170" s="192"/>
      <c r="AL170" s="192"/>
      <c r="AM170" s="192"/>
      <c r="AN170" s="192"/>
      <c r="AO170" s="192"/>
      <c r="AP170" s="192"/>
      <c r="AQ170" s="192"/>
      <c r="AR170" s="192"/>
      <c r="AS170" s="192"/>
      <c r="AT170" s="192"/>
      <c r="AU170" s="192"/>
      <c r="AV170" s="192"/>
      <c r="AW170" s="192"/>
      <c r="AX170" s="192"/>
      <c r="AY170" s="192"/>
      <c r="AZ170" s="192"/>
      <c r="BA170" s="192"/>
      <c r="BB170" s="192"/>
      <c r="BC170" s="192"/>
      <c r="BD170" s="191"/>
      <c r="BE170" s="192"/>
      <c r="BF170" s="1148"/>
      <c r="BG170" s="1148"/>
      <c r="BH170" s="1148"/>
      <c r="BI170" s="1774">
        <f>(BI153)-BI156</f>
        <v>0.29880000000000001</v>
      </c>
      <c r="BJ170" s="1148"/>
      <c r="BK170" s="1148"/>
      <c r="BL170" s="1148"/>
      <c r="BM170" s="1148"/>
      <c r="BN170" s="1774">
        <f>(BN153-BI153)-BN156</f>
        <v>0.92435</v>
      </c>
      <c r="BO170" s="1148"/>
      <c r="BP170" s="1148"/>
      <c r="BQ170" s="1148"/>
      <c r="BR170" s="1148"/>
      <c r="BS170" s="1774">
        <f>(BS153-BN153)-BS156</f>
        <v>1.4740900000000001</v>
      </c>
      <c r="BT170" s="1148"/>
      <c r="BU170" s="1148"/>
      <c r="BV170" s="1148"/>
      <c r="BW170" s="1148"/>
      <c r="BX170" s="1774">
        <f>(BX153-BS153)-BX156</f>
        <v>1.5579899999999998</v>
      </c>
      <c r="BY170" s="1148"/>
      <c r="BZ170" s="1148"/>
      <c r="CA170" s="1148"/>
      <c r="CB170" s="1148"/>
      <c r="CC170" s="1774">
        <f>(CC153-BX153)-CC156</f>
        <v>1.5666100000000005</v>
      </c>
      <c r="CD170" s="1148"/>
      <c r="CE170" s="1148"/>
      <c r="CF170" s="1148"/>
      <c r="CG170" s="1148"/>
      <c r="CH170" s="1774">
        <f>(CH153-CC153)-CH156</f>
        <v>1.5522800000000001</v>
      </c>
      <c r="CI170" s="1148"/>
      <c r="CJ170" s="1148"/>
      <c r="CK170" s="1148"/>
      <c r="CL170" s="1148"/>
      <c r="CM170" s="1774">
        <f>(CM153-CH153)-CM156</f>
        <v>1.4117199999999999</v>
      </c>
      <c r="CN170" s="1148"/>
      <c r="CO170" s="1148"/>
      <c r="CP170" s="1148"/>
      <c r="CQ170" s="1148"/>
      <c r="CR170" s="1774">
        <f>(CR153-CM153)-CR156</f>
        <v>1.1442199999999989</v>
      </c>
      <c r="CS170" s="1148"/>
      <c r="CT170" s="1148"/>
      <c r="CU170" s="1148"/>
      <c r="CV170" s="1148"/>
      <c r="CW170" s="191"/>
      <c r="CZ170" s="201"/>
      <c r="DA170" s="200"/>
      <c r="DB170" s="200"/>
      <c r="DC170"/>
      <c r="DD170"/>
      <c r="DE170"/>
      <c r="DF170"/>
      <c r="DG170"/>
      <c r="DH170"/>
    </row>
    <row r="171" spans="1:112" s="90" customFormat="1" hidden="1" outlineLevel="1">
      <c r="A171" s="1756" t="s">
        <v>892</v>
      </c>
      <c r="B171" s="192"/>
      <c r="C171" s="192"/>
      <c r="D171" s="192"/>
      <c r="E171" s="192"/>
      <c r="F171" s="137"/>
      <c r="G171" s="192"/>
      <c r="H171" s="192"/>
      <c r="I171" s="192"/>
      <c r="J171" s="192"/>
      <c r="K171" s="192"/>
      <c r="L171" s="192"/>
      <c r="M171" s="192"/>
      <c r="N171" s="192"/>
      <c r="O171" s="192"/>
      <c r="P171" s="192"/>
      <c r="Q171" s="192"/>
      <c r="R171" s="192"/>
      <c r="S171" s="843"/>
      <c r="T171" s="192"/>
      <c r="U171" s="843"/>
      <c r="V171" s="192"/>
      <c r="W171" s="192"/>
      <c r="X171" s="192"/>
      <c r="Y171" s="192"/>
      <c r="Z171" s="192"/>
      <c r="AA171" s="192"/>
      <c r="AB171" s="192"/>
      <c r="AC171" s="192"/>
      <c r="AD171" s="192"/>
      <c r="AE171" s="192"/>
      <c r="AF171" s="192"/>
      <c r="AG171" s="192"/>
      <c r="AH171" s="192"/>
      <c r="AI171" s="192"/>
      <c r="AJ171" s="192"/>
      <c r="AK171" s="192"/>
      <c r="AL171" s="192"/>
      <c r="AM171" s="192"/>
      <c r="AN171" s="192"/>
      <c r="AO171" s="192"/>
      <c r="AP171" s="192"/>
      <c r="AQ171" s="192"/>
      <c r="AR171" s="192"/>
      <c r="AS171" s="192"/>
      <c r="AT171" s="192"/>
      <c r="AU171" s="192"/>
      <c r="AV171" s="192"/>
      <c r="AW171" s="192"/>
      <c r="AX171" s="192"/>
      <c r="AY171" s="192"/>
      <c r="AZ171" s="192"/>
      <c r="BA171" s="192"/>
      <c r="BB171" s="192"/>
      <c r="BC171" s="192"/>
      <c r="BD171" s="191"/>
      <c r="BE171" s="192"/>
      <c r="BF171" s="1148"/>
      <c r="BG171" s="1148"/>
      <c r="BH171" s="1148"/>
      <c r="BI171" s="1774">
        <f t="shared" ref="BI171" si="193">BI169+BI170</f>
        <v>0.38880000000000003</v>
      </c>
      <c r="BJ171" s="1148"/>
      <c r="BK171" s="1148"/>
      <c r="BL171" s="1148"/>
      <c r="BM171" s="1148"/>
      <c r="BN171" s="1774">
        <f t="shared" ref="BN171" si="194">BN169+BN170</f>
        <v>1.7343500000000001</v>
      </c>
      <c r="BO171" s="1148"/>
      <c r="BP171" s="1148"/>
      <c r="BQ171" s="1148"/>
      <c r="BR171" s="1148"/>
      <c r="BS171" s="1774">
        <f t="shared" ref="BS171" si="195">BS169+BS170</f>
        <v>2.4640900000000001</v>
      </c>
      <c r="BT171" s="1148"/>
      <c r="BU171" s="1148"/>
      <c r="BV171" s="1148"/>
      <c r="BW171" s="1148"/>
      <c r="BX171" s="1774">
        <f t="shared" ref="BX171" si="196">BX169+BX170</f>
        <v>2.9979899999999997</v>
      </c>
      <c r="BY171" s="1148"/>
      <c r="BZ171" s="1148"/>
      <c r="CA171" s="1148"/>
      <c r="CB171" s="1148"/>
      <c r="CC171" s="1774">
        <f t="shared" ref="CC171" si="197">CC169+CC170</f>
        <v>1.7664100000000009</v>
      </c>
      <c r="CD171" s="1148"/>
      <c r="CE171" s="1148"/>
      <c r="CF171" s="1148"/>
      <c r="CG171" s="1148"/>
      <c r="CH171" s="1774">
        <f t="shared" ref="CH171" si="198">CH169+CH170</f>
        <v>1.7640680000000006</v>
      </c>
      <c r="CI171" s="1148"/>
      <c r="CJ171" s="1148"/>
      <c r="CK171" s="1148"/>
      <c r="CL171" s="1148"/>
      <c r="CM171" s="1774">
        <f t="shared" ref="CM171" si="199">CM169+CM170</f>
        <v>1.63621528</v>
      </c>
      <c r="CN171" s="1148"/>
      <c r="CO171" s="1148"/>
      <c r="CP171" s="1148"/>
      <c r="CQ171" s="1148"/>
      <c r="CR171" s="1774">
        <f t="shared" ref="CR171" si="200">CR169+CR170</f>
        <v>1.3821849967999993</v>
      </c>
      <c r="CS171" s="1148"/>
      <c r="CT171" s="1148"/>
      <c r="CU171" s="1148"/>
      <c r="CV171" s="1148"/>
      <c r="CW171" s="191"/>
      <c r="CZ171" s="201"/>
      <c r="DA171" s="200"/>
      <c r="DB171" s="200"/>
      <c r="DC171"/>
      <c r="DD171"/>
      <c r="DE171"/>
      <c r="DF171"/>
      <c r="DG171"/>
      <c r="DH171"/>
    </row>
    <row r="172" spans="1:112" s="90" customFormat="1" hidden="1" outlineLevel="1">
      <c r="A172" s="1756"/>
      <c r="B172" s="192"/>
      <c r="C172" s="192"/>
      <c r="D172" s="192"/>
      <c r="E172" s="192"/>
      <c r="F172" s="137"/>
      <c r="G172" s="192"/>
      <c r="H172" s="192"/>
      <c r="I172" s="192"/>
      <c r="J172" s="192"/>
      <c r="K172" s="192"/>
      <c r="L172" s="192"/>
      <c r="M172" s="192"/>
      <c r="N172" s="192"/>
      <c r="O172" s="192"/>
      <c r="P172" s="192"/>
      <c r="Q172" s="192"/>
      <c r="R172" s="192"/>
      <c r="S172" s="843"/>
      <c r="T172" s="192"/>
      <c r="U172" s="843"/>
      <c r="V172" s="192"/>
      <c r="W172" s="192"/>
      <c r="X172" s="192"/>
      <c r="Y172" s="192"/>
      <c r="Z172" s="192"/>
      <c r="AA172" s="192"/>
      <c r="AB172" s="192"/>
      <c r="AC172" s="192"/>
      <c r="AD172" s="192"/>
      <c r="AE172" s="192"/>
      <c r="AF172" s="192"/>
      <c r="AG172" s="192"/>
      <c r="AH172" s="192"/>
      <c r="AI172" s="192"/>
      <c r="AJ172" s="192"/>
      <c r="AK172" s="192"/>
      <c r="AL172" s="192"/>
      <c r="AM172" s="192"/>
      <c r="AN172" s="192"/>
      <c r="AO172" s="192"/>
      <c r="AP172" s="192"/>
      <c r="AQ172" s="192"/>
      <c r="AR172" s="192"/>
      <c r="AS172" s="192"/>
      <c r="AT172" s="192"/>
      <c r="AU172" s="192"/>
      <c r="AV172" s="192"/>
      <c r="AW172" s="192"/>
      <c r="AX172" s="192"/>
      <c r="AY172" s="192"/>
      <c r="AZ172" s="192"/>
      <c r="BA172" s="192"/>
      <c r="BB172" s="192"/>
      <c r="BC172" s="192"/>
      <c r="BD172" s="191"/>
      <c r="BE172" s="192"/>
      <c r="BF172" s="1148"/>
      <c r="BG172" s="1148"/>
      <c r="BH172" s="1148"/>
      <c r="BI172" s="1776"/>
      <c r="BJ172" s="1148"/>
      <c r="BK172" s="1148"/>
      <c r="BL172" s="1148"/>
      <c r="BM172" s="1148"/>
      <c r="BN172" s="1776"/>
      <c r="BO172" s="1148"/>
      <c r="BP172" s="1148"/>
      <c r="BQ172" s="1148"/>
      <c r="BR172" s="1148"/>
      <c r="BS172" s="191"/>
      <c r="BT172" s="1148"/>
      <c r="BU172" s="1148"/>
      <c r="BV172" s="1148"/>
      <c r="BW172" s="1148"/>
      <c r="BX172" s="191"/>
      <c r="BY172" s="1148"/>
      <c r="BZ172" s="1148"/>
      <c r="CA172" s="1148"/>
      <c r="CB172" s="1148"/>
      <c r="CC172" s="191"/>
      <c r="CD172" s="1148"/>
      <c r="CE172" s="1148"/>
      <c r="CF172" s="1148"/>
      <c r="CG172" s="1148"/>
      <c r="CH172" s="191"/>
      <c r="CI172" s="1148"/>
      <c r="CJ172" s="1148"/>
      <c r="CK172" s="1148"/>
      <c r="CL172" s="1148"/>
      <c r="CM172" s="191"/>
      <c r="CN172" s="1148"/>
      <c r="CO172" s="1148"/>
      <c r="CP172" s="1148"/>
      <c r="CQ172" s="1148"/>
      <c r="CR172" s="191"/>
      <c r="CS172" s="1148"/>
      <c r="CT172" s="1148"/>
      <c r="CU172" s="1148"/>
      <c r="CV172" s="1148"/>
      <c r="CW172" s="191"/>
      <c r="CZ172" s="201"/>
      <c r="DA172" s="200"/>
      <c r="DB172" s="200"/>
      <c r="DC172"/>
      <c r="DD172"/>
      <c r="DE172"/>
      <c r="DF172"/>
      <c r="DG172"/>
      <c r="DH172"/>
    </row>
    <row r="173" spans="1:112" s="90" customFormat="1" hidden="1" outlineLevel="1">
      <c r="A173" s="1756" t="s">
        <v>893</v>
      </c>
      <c r="B173" s="192"/>
      <c r="C173" s="192"/>
      <c r="D173" s="192"/>
      <c r="E173" s="192"/>
      <c r="F173" s="137"/>
      <c r="G173" s="192"/>
      <c r="H173" s="192"/>
      <c r="I173" s="192"/>
      <c r="J173" s="192"/>
      <c r="K173" s="192"/>
      <c r="L173" s="192"/>
      <c r="M173" s="192"/>
      <c r="N173" s="192"/>
      <c r="O173" s="192"/>
      <c r="P173" s="192"/>
      <c r="Q173" s="192"/>
      <c r="R173" s="192"/>
      <c r="S173" s="843"/>
      <c r="T173" s="192"/>
      <c r="U173" s="843"/>
      <c r="V173" s="192"/>
      <c r="W173" s="192"/>
      <c r="X173" s="192"/>
      <c r="Y173" s="192"/>
      <c r="Z173" s="192"/>
      <c r="AA173" s="192"/>
      <c r="AB173" s="192"/>
      <c r="AC173" s="192"/>
      <c r="AD173" s="192"/>
      <c r="AE173" s="192"/>
      <c r="AF173" s="192"/>
      <c r="AG173" s="192"/>
      <c r="AH173" s="192"/>
      <c r="AI173" s="192"/>
      <c r="AJ173" s="192"/>
      <c r="AK173" s="192"/>
      <c r="AL173" s="192"/>
      <c r="AM173" s="192"/>
      <c r="AN173" s="192"/>
      <c r="AO173" s="192"/>
      <c r="AP173" s="192"/>
      <c r="AQ173" s="192"/>
      <c r="AR173" s="192"/>
      <c r="AS173" s="192"/>
      <c r="AT173" s="192"/>
      <c r="AU173" s="192"/>
      <c r="AV173" s="192"/>
      <c r="AW173" s="192"/>
      <c r="AX173" s="192"/>
      <c r="AY173" s="192"/>
      <c r="AZ173" s="192"/>
      <c r="BA173" s="192"/>
      <c r="BB173" s="192"/>
      <c r="BC173" s="192"/>
      <c r="BD173" s="191"/>
      <c r="BE173" s="192"/>
      <c r="BF173" s="1148"/>
      <c r="BG173" s="1148"/>
      <c r="BH173" s="1148"/>
      <c r="BI173" s="1777">
        <f>(BX158*(1-BX160))/0.8</f>
        <v>4.1624999999999996</v>
      </c>
      <c r="BJ173" s="1148"/>
      <c r="BK173" s="1148"/>
      <c r="BL173" s="1148"/>
      <c r="BM173" s="1148"/>
      <c r="BN173" s="1777">
        <f>BI173-BN169</f>
        <v>3.3524999999999996</v>
      </c>
      <c r="BO173" s="1148"/>
      <c r="BP173" s="1148"/>
      <c r="BQ173" s="1148"/>
      <c r="BR173" s="1148"/>
      <c r="BS173" s="1777">
        <f>BN173-BS169</f>
        <v>2.3624999999999994</v>
      </c>
      <c r="BT173" s="1148"/>
      <c r="BU173" s="1148"/>
      <c r="BV173" s="1148"/>
      <c r="BW173" s="1148"/>
      <c r="BX173" s="1777">
        <f>BS173-BX169</f>
        <v>0.92249999999999943</v>
      </c>
      <c r="BY173" s="1148"/>
      <c r="BZ173" s="1148"/>
      <c r="CA173" s="1148"/>
      <c r="CB173" s="1148"/>
      <c r="CC173" s="1777">
        <f>BX173-CC169</f>
        <v>0.72269999999999901</v>
      </c>
      <c r="CD173" s="1148"/>
      <c r="CE173" s="1148"/>
      <c r="CF173" s="1148"/>
      <c r="CG173" s="1148"/>
      <c r="CH173" s="1777">
        <f>CC173-CH169</f>
        <v>0.51091199999999848</v>
      </c>
      <c r="CI173" s="1148"/>
      <c r="CJ173" s="1148"/>
      <c r="CK173" s="1148"/>
      <c r="CL173" s="1148"/>
      <c r="CM173" s="1777">
        <f>CH173-CM169</f>
        <v>0.28641671999999818</v>
      </c>
      <c r="CN173" s="1148"/>
      <c r="CO173" s="1148"/>
      <c r="CP173" s="1148"/>
      <c r="CQ173" s="1148"/>
      <c r="CR173" s="1777">
        <f>CM173-CR169</f>
        <v>4.8451723199997854E-2</v>
      </c>
      <c r="CS173" s="1148"/>
      <c r="CT173" s="1148"/>
      <c r="CU173" s="1148"/>
      <c r="CV173" s="1148"/>
      <c r="CW173" s="191"/>
      <c r="CZ173" s="201"/>
      <c r="DA173" s="200"/>
      <c r="DB173" s="200"/>
      <c r="DC173"/>
      <c r="DD173"/>
      <c r="DE173"/>
      <c r="DF173"/>
      <c r="DG173"/>
      <c r="DH173"/>
    </row>
    <row r="174" spans="1:112" s="90" customFormat="1" hidden="1" outlineLevel="1">
      <c r="A174" s="1756" t="s">
        <v>894</v>
      </c>
      <c r="B174" s="192"/>
      <c r="C174" s="192"/>
      <c r="D174" s="192"/>
      <c r="E174" s="192"/>
      <c r="F174" s="137"/>
      <c r="G174" s="192"/>
      <c r="H174" s="192"/>
      <c r="I174" s="192"/>
      <c r="J174" s="192"/>
      <c r="K174" s="192"/>
      <c r="L174" s="192"/>
      <c r="M174" s="192"/>
      <c r="N174" s="192"/>
      <c r="O174" s="192"/>
      <c r="P174" s="192"/>
      <c r="Q174" s="192"/>
      <c r="R174" s="192"/>
      <c r="S174" s="843"/>
      <c r="T174" s="192"/>
      <c r="U174" s="843"/>
      <c r="V174" s="192"/>
      <c r="W174" s="192"/>
      <c r="X174" s="192"/>
      <c r="Y174" s="192"/>
      <c r="Z174" s="192"/>
      <c r="AA174" s="192"/>
      <c r="AB174" s="192"/>
      <c r="AC174" s="192"/>
      <c r="AD174" s="192"/>
      <c r="AE174" s="192"/>
      <c r="AF174" s="192"/>
      <c r="AG174" s="192"/>
      <c r="AH174" s="192"/>
      <c r="AI174" s="192"/>
      <c r="AJ174" s="192"/>
      <c r="AK174" s="192"/>
      <c r="AL174" s="192"/>
      <c r="AM174" s="192"/>
      <c r="AN174" s="192"/>
      <c r="AO174" s="192"/>
      <c r="AP174" s="192"/>
      <c r="AQ174" s="192"/>
      <c r="AR174" s="192"/>
      <c r="AS174" s="192"/>
      <c r="AT174" s="192"/>
      <c r="AU174" s="192"/>
      <c r="AV174" s="192"/>
      <c r="AW174" s="192"/>
      <c r="AX174" s="192"/>
      <c r="AY174" s="192"/>
      <c r="AZ174" s="192"/>
      <c r="BA174" s="192"/>
      <c r="BB174" s="192"/>
      <c r="BC174" s="192"/>
      <c r="BD174" s="191"/>
      <c r="BE174" s="192"/>
      <c r="BF174" s="1148"/>
      <c r="BG174" s="1148"/>
      <c r="BH174" s="1148"/>
      <c r="BI174" s="1777">
        <f>BI176-BI173</f>
        <v>8.6375000000000011</v>
      </c>
      <c r="BJ174" s="1148"/>
      <c r="BK174" s="1148"/>
      <c r="BL174" s="1148"/>
      <c r="BM174" s="1148"/>
      <c r="BN174" s="1777">
        <f>BI174-BN170+BN175</f>
        <v>9.5131500000000013</v>
      </c>
      <c r="BO174" s="1148"/>
      <c r="BP174" s="1148"/>
      <c r="BQ174" s="1148"/>
      <c r="BR174" s="1148"/>
      <c r="BS174" s="1777">
        <f>BN174-BS170+BS175</f>
        <v>9.039060000000001</v>
      </c>
      <c r="BT174" s="1148"/>
      <c r="BU174" s="1148"/>
      <c r="BV174" s="1148"/>
      <c r="BW174" s="1148"/>
      <c r="BX174" s="1777">
        <f>BS174-BX171+BX175</f>
        <v>6.721070000000001</v>
      </c>
      <c r="BY174" s="1148"/>
      <c r="BZ174" s="1148"/>
      <c r="CA174" s="1148"/>
      <c r="CB174" s="1148"/>
      <c r="CC174" s="1777">
        <f>BX174-CC171+CC175</f>
        <v>5.6346600000000002</v>
      </c>
      <c r="CD174" s="1148"/>
      <c r="CE174" s="1148"/>
      <c r="CF174" s="1148"/>
      <c r="CG174" s="1148"/>
      <c r="CH174" s="1777">
        <f>CC174-CH171+CH175</f>
        <v>3.8705919999999994</v>
      </c>
      <c r="CI174" s="1148"/>
      <c r="CJ174" s="1148"/>
      <c r="CK174" s="1148"/>
      <c r="CL174" s="1148"/>
      <c r="CM174" s="1777">
        <f>CH174-CM171+CM175</f>
        <v>2.2343767199999993</v>
      </c>
      <c r="CN174" s="1148"/>
      <c r="CO174" s="1148"/>
      <c r="CP174" s="1148"/>
      <c r="CQ174" s="1148"/>
      <c r="CR174" s="1777">
        <f>CM174-CR171+CR175</f>
        <v>0.85219172320000003</v>
      </c>
      <c r="CS174" s="1148"/>
      <c r="CT174" s="1148"/>
      <c r="CU174" s="1148"/>
      <c r="CV174" s="1148"/>
      <c r="CW174" s="191"/>
      <c r="CZ174" s="201"/>
      <c r="DA174" s="200"/>
      <c r="DB174" s="200"/>
      <c r="DC174"/>
      <c r="DD174"/>
      <c r="DE174"/>
      <c r="DF174"/>
      <c r="DG174"/>
      <c r="DH174"/>
    </row>
    <row r="175" spans="1:112" s="90" customFormat="1" hidden="1" outlineLevel="1">
      <c r="A175" s="1763" t="s">
        <v>895</v>
      </c>
      <c r="B175" s="192"/>
      <c r="C175" s="192"/>
      <c r="D175" s="192"/>
      <c r="E175" s="192"/>
      <c r="F175" s="137"/>
      <c r="G175" s="192"/>
      <c r="H175" s="192"/>
      <c r="I175" s="192"/>
      <c r="J175" s="192"/>
      <c r="K175" s="192"/>
      <c r="L175" s="192"/>
      <c r="M175" s="192"/>
      <c r="N175" s="192"/>
      <c r="O175" s="192"/>
      <c r="P175" s="192"/>
      <c r="Q175" s="192"/>
      <c r="R175" s="192"/>
      <c r="S175" s="843"/>
      <c r="T175" s="192"/>
      <c r="U175" s="843"/>
      <c r="V175" s="192"/>
      <c r="W175" s="192"/>
      <c r="X175" s="192"/>
      <c r="Y175" s="192"/>
      <c r="Z175" s="192"/>
      <c r="AA175" s="192"/>
      <c r="AB175" s="192"/>
      <c r="AC175" s="192"/>
      <c r="AD175" s="192"/>
      <c r="AE175" s="192"/>
      <c r="AF175" s="192"/>
      <c r="AG175" s="192"/>
      <c r="AH175" s="192"/>
      <c r="AI175" s="192"/>
      <c r="AJ175" s="192"/>
      <c r="AK175" s="192"/>
      <c r="AL175" s="192"/>
      <c r="AM175" s="192"/>
      <c r="AN175" s="192"/>
      <c r="AO175" s="192"/>
      <c r="AP175" s="192"/>
      <c r="AQ175" s="192"/>
      <c r="AR175" s="192"/>
      <c r="AS175" s="192"/>
      <c r="AT175" s="192"/>
      <c r="AU175" s="192"/>
      <c r="AV175" s="192"/>
      <c r="AW175" s="192"/>
      <c r="AX175" s="192"/>
      <c r="AY175" s="192"/>
      <c r="AZ175" s="192"/>
      <c r="BA175" s="192"/>
      <c r="BB175" s="192"/>
      <c r="BC175" s="192"/>
      <c r="BD175" s="191"/>
      <c r="BE175" s="192"/>
      <c r="BF175" s="1148"/>
      <c r="BG175" s="1148"/>
      <c r="BH175" s="1148"/>
      <c r="BI175" s="1777" t="s">
        <v>453</v>
      </c>
      <c r="BJ175" s="1148"/>
      <c r="BK175" s="1148"/>
      <c r="BL175" s="1148"/>
      <c r="BM175" s="1148"/>
      <c r="BN175" s="1777">
        <v>1.8</v>
      </c>
      <c r="BO175" s="1148"/>
      <c r="BP175" s="1148"/>
      <c r="BQ175" s="1148"/>
      <c r="BR175" s="1148"/>
      <c r="BS175" s="1779">
        <v>1</v>
      </c>
      <c r="BT175" s="1148"/>
      <c r="BU175" s="1148"/>
      <c r="BV175" s="1148"/>
      <c r="BW175" s="1148"/>
      <c r="BX175" s="1779">
        <v>0.68</v>
      </c>
      <c r="BY175" s="1148"/>
      <c r="BZ175" s="1148"/>
      <c r="CA175" s="1148"/>
      <c r="CB175" s="1148"/>
      <c r="CC175" s="1779">
        <v>0.68</v>
      </c>
      <c r="CD175" s="1148"/>
      <c r="CE175" s="1148"/>
      <c r="CF175" s="1148"/>
      <c r="CG175" s="1148"/>
      <c r="CH175" s="1779"/>
      <c r="CI175" s="1148"/>
      <c r="CJ175" s="1148"/>
      <c r="CK175" s="1148"/>
      <c r="CL175" s="1148"/>
      <c r="CM175" s="1779"/>
      <c r="CN175" s="1148"/>
      <c r="CO175" s="1148"/>
      <c r="CP175" s="1148"/>
      <c r="CQ175" s="1148"/>
      <c r="CR175" s="1779"/>
      <c r="CS175" s="1148"/>
      <c r="CT175" s="1148"/>
      <c r="CU175" s="1148"/>
      <c r="CV175" s="1148"/>
      <c r="CW175" s="191"/>
      <c r="CZ175" s="201"/>
      <c r="DA175" s="200"/>
      <c r="DB175" s="200"/>
      <c r="DC175"/>
      <c r="DD175"/>
      <c r="DE175"/>
      <c r="DF175"/>
      <c r="DG175"/>
      <c r="DH175"/>
    </row>
    <row r="176" spans="1:112" s="90" customFormat="1" hidden="1" outlineLevel="1">
      <c r="A176" s="1756" t="s">
        <v>896</v>
      </c>
      <c r="B176" s="192"/>
      <c r="C176" s="192"/>
      <c r="D176" s="192"/>
      <c r="E176" s="192"/>
      <c r="F176" s="137"/>
      <c r="G176" s="192"/>
      <c r="H176" s="192"/>
      <c r="I176" s="192"/>
      <c r="J176" s="192"/>
      <c r="K176" s="192"/>
      <c r="L176" s="192"/>
      <c r="M176" s="192"/>
      <c r="N176" s="192"/>
      <c r="O176" s="192"/>
      <c r="P176" s="192"/>
      <c r="Q176" s="192"/>
      <c r="R176" s="192"/>
      <c r="S176" s="843"/>
      <c r="T176" s="192"/>
      <c r="U176" s="843"/>
      <c r="V176" s="192"/>
      <c r="W176" s="192"/>
      <c r="X176" s="192"/>
      <c r="Y176" s="192"/>
      <c r="Z176" s="192"/>
      <c r="AA176" s="192"/>
      <c r="AB176" s="192"/>
      <c r="AC176" s="192"/>
      <c r="AD176" s="192"/>
      <c r="AE176" s="192"/>
      <c r="AF176" s="192"/>
      <c r="AG176" s="192"/>
      <c r="AH176" s="192"/>
      <c r="AI176" s="192"/>
      <c r="AJ176" s="192"/>
      <c r="AK176" s="192"/>
      <c r="AL176" s="192"/>
      <c r="AM176" s="192"/>
      <c r="AN176" s="192"/>
      <c r="AO176" s="192"/>
      <c r="AP176" s="192"/>
      <c r="AQ176" s="192"/>
      <c r="AR176" s="192"/>
      <c r="AS176" s="192"/>
      <c r="AT176" s="192"/>
      <c r="AU176" s="192"/>
      <c r="AV176" s="192"/>
      <c r="AW176" s="192"/>
      <c r="AX176" s="192"/>
      <c r="AY176" s="192"/>
      <c r="AZ176" s="192"/>
      <c r="BA176" s="192"/>
      <c r="BB176" s="192"/>
      <c r="BC176" s="192"/>
      <c r="BD176" s="191"/>
      <c r="BE176" s="192"/>
      <c r="BF176" s="1148"/>
      <c r="BG176" s="1148"/>
      <c r="BH176" s="1148"/>
      <c r="BI176" s="1778">
        <v>12.8</v>
      </c>
      <c r="BJ176" s="1148"/>
      <c r="BK176" s="1148"/>
      <c r="BL176" s="1148"/>
      <c r="BM176" s="1148"/>
      <c r="BN176" s="1778">
        <f>BN174+BN173</f>
        <v>12.86565</v>
      </c>
      <c r="BO176" s="1148"/>
      <c r="BP176" s="1148"/>
      <c r="BQ176" s="1148"/>
      <c r="BR176" s="1148"/>
      <c r="BS176" s="1778">
        <f>BS174+BS173+BS175</f>
        <v>12.40156</v>
      </c>
      <c r="BT176" s="1148"/>
      <c r="BU176" s="1148"/>
      <c r="BV176" s="1148"/>
      <c r="BW176" s="1148"/>
      <c r="BX176" s="1778">
        <f>BX174+BX173+BX175</f>
        <v>8.3235700000000001</v>
      </c>
      <c r="BY176" s="1148"/>
      <c r="BZ176" s="1148"/>
      <c r="CA176" s="1148"/>
      <c r="CB176" s="1148"/>
      <c r="CC176" s="1778">
        <f>CC174+CC173+CC175</f>
        <v>7.0373599999999987</v>
      </c>
      <c r="CD176" s="1148"/>
      <c r="CE176" s="1148"/>
      <c r="CF176" s="1148"/>
      <c r="CG176" s="1148"/>
      <c r="CH176" s="1778">
        <f>CH174+CH173+CH175</f>
        <v>4.3815039999999978</v>
      </c>
      <c r="CI176" s="1148"/>
      <c r="CJ176" s="1148"/>
      <c r="CK176" s="1148"/>
      <c r="CL176" s="1148"/>
      <c r="CM176" s="1778">
        <f>CM174+CM173+CM175</f>
        <v>2.5207934399999976</v>
      </c>
      <c r="CN176" s="1148"/>
      <c r="CO176" s="1148"/>
      <c r="CP176" s="1148"/>
      <c r="CQ176" s="1148"/>
      <c r="CR176" s="1778">
        <f>CR174+CR173+CR175</f>
        <v>0.90064344639999794</v>
      </c>
      <c r="CS176" s="1148"/>
      <c r="CT176" s="1148"/>
      <c r="CU176" s="1148"/>
      <c r="CV176" s="1148"/>
      <c r="CW176" s="191"/>
      <c r="CZ176" s="201"/>
      <c r="DA176" s="200"/>
      <c r="DB176" s="200"/>
      <c r="DC176"/>
      <c r="DD176"/>
      <c r="DE176"/>
      <c r="DF176"/>
      <c r="DG176"/>
      <c r="DH176"/>
    </row>
    <row r="177" spans="1:112" s="90" customFormat="1" collapsed="1">
      <c r="A177" s="206"/>
      <c r="B177" s="192"/>
      <c r="C177" s="192"/>
      <c r="D177" s="192"/>
      <c r="E177" s="192"/>
      <c r="F177" s="137"/>
      <c r="G177" s="192"/>
      <c r="H177" s="192"/>
      <c r="I177" s="192"/>
      <c r="J177" s="192"/>
      <c r="K177" s="192"/>
      <c r="L177" s="192"/>
      <c r="M177" s="192"/>
      <c r="N177" s="192"/>
      <c r="O177" s="192"/>
      <c r="P177" s="192"/>
      <c r="Q177" s="192"/>
      <c r="R177" s="192"/>
      <c r="S177" s="843"/>
      <c r="T177" s="192"/>
      <c r="U177" s="843"/>
      <c r="V177" s="192"/>
      <c r="W177" s="192"/>
      <c r="X177" s="192"/>
      <c r="Y177" s="192"/>
      <c r="Z177" s="192"/>
      <c r="AA177" s="192"/>
      <c r="AB177" s="192"/>
      <c r="AC177" s="192"/>
      <c r="AD177" s="192"/>
      <c r="AE177" s="192"/>
      <c r="AF177" s="192"/>
      <c r="AG177" s="192"/>
      <c r="AH177" s="192"/>
      <c r="AI177" s="192"/>
      <c r="AJ177" s="192"/>
      <c r="AK177" s="192"/>
      <c r="AL177" s="192"/>
      <c r="AM177" s="192"/>
      <c r="AN177" s="192"/>
      <c r="AO177" s="192"/>
      <c r="AP177" s="192"/>
      <c r="AQ177" s="192"/>
      <c r="AR177" s="192"/>
      <c r="AS177" s="192"/>
      <c r="AT177" s="192"/>
      <c r="AU177" s="192"/>
      <c r="AV177" s="192"/>
      <c r="AW177" s="192"/>
      <c r="AX177" s="192"/>
      <c r="AY177" s="192"/>
      <c r="AZ177" s="192"/>
      <c r="BA177" s="192"/>
      <c r="BB177" s="192"/>
      <c r="BC177" s="192"/>
      <c r="BD177" s="191"/>
      <c r="BE177" s="192"/>
      <c r="BF177" s="1148"/>
      <c r="BG177" s="1148"/>
      <c r="BH177" s="1148"/>
      <c r="BI177" s="191"/>
      <c r="BJ177" s="1148"/>
      <c r="BK177" s="1148"/>
      <c r="BL177" s="1148"/>
      <c r="BM177" s="1148"/>
      <c r="BN177" s="191"/>
      <c r="BO177" s="1148"/>
      <c r="BP177" s="1148"/>
      <c r="BQ177" s="1148"/>
      <c r="BR177" s="1148"/>
      <c r="BS177" s="191"/>
      <c r="BT177" s="1148"/>
      <c r="BU177" s="1148"/>
      <c r="BV177" s="1148"/>
      <c r="BW177" s="1148"/>
      <c r="BX177" s="191"/>
      <c r="BY177" s="1148"/>
      <c r="BZ177" s="1148"/>
      <c r="CA177" s="1148"/>
      <c r="CB177" s="1148"/>
      <c r="CC177" s="191"/>
      <c r="CD177" s="1148"/>
      <c r="CE177" s="1148"/>
      <c r="CF177" s="1148"/>
      <c r="CG177" s="1148"/>
      <c r="CH177" s="191"/>
      <c r="CI177" s="1148"/>
      <c r="CJ177" s="1148"/>
      <c r="CK177" s="1148"/>
      <c r="CL177" s="1148"/>
      <c r="CM177" s="191"/>
      <c r="CN177" s="1148"/>
      <c r="CO177" s="1148"/>
      <c r="CP177" s="1148"/>
      <c r="CQ177" s="1148"/>
      <c r="CR177" s="191"/>
      <c r="CS177" s="1148"/>
      <c r="CT177" s="1148"/>
      <c r="CU177" s="1148"/>
      <c r="CV177" s="1148"/>
      <c r="CW177" s="191"/>
      <c r="CZ177" s="201"/>
      <c r="DA177" s="200"/>
      <c r="DB177" s="200"/>
      <c r="DC177"/>
      <c r="DD177"/>
      <c r="DE177"/>
      <c r="DF177"/>
      <c r="DG177"/>
      <c r="DH177"/>
    </row>
    <row r="178" spans="1:112" s="90" customFormat="1">
      <c r="A178" s="1147" t="s">
        <v>897</v>
      </c>
      <c r="B178" s="192"/>
      <c r="C178" s="192"/>
      <c r="D178" s="192"/>
      <c r="E178" s="192"/>
      <c r="F178" s="137"/>
      <c r="G178" s="192"/>
      <c r="H178" s="192"/>
      <c r="I178" s="192"/>
      <c r="J178" s="192"/>
      <c r="K178" s="192"/>
      <c r="L178" s="192"/>
      <c r="M178" s="192"/>
      <c r="N178" s="192"/>
      <c r="O178" s="192"/>
      <c r="P178" s="192"/>
      <c r="Q178" s="192"/>
      <c r="R178" s="192"/>
      <c r="S178" s="843"/>
      <c r="T178" s="192"/>
      <c r="U178" s="843"/>
      <c r="V178" s="192"/>
      <c r="W178" s="192"/>
      <c r="X178" s="192"/>
      <c r="Y178" s="192"/>
      <c r="Z178" s="192"/>
      <c r="AA178" s="192"/>
      <c r="AB178" s="192"/>
      <c r="AC178" s="192"/>
      <c r="AD178" s="192"/>
      <c r="AE178" s="192"/>
      <c r="AF178" s="192"/>
      <c r="AG178" s="192"/>
      <c r="AH178" s="192"/>
      <c r="AI178" s="192"/>
      <c r="AJ178" s="192"/>
      <c r="AK178" s="192"/>
      <c r="AL178" s="192"/>
      <c r="AM178" s="192"/>
      <c r="AN178" s="192"/>
      <c r="AO178" s="192"/>
      <c r="AP178" s="192"/>
      <c r="AQ178" s="192"/>
      <c r="AR178" s="192"/>
      <c r="AS178" s="192"/>
      <c r="AT178" s="192"/>
      <c r="AU178" s="192"/>
      <c r="AV178" s="192"/>
      <c r="AW178" s="192"/>
      <c r="AX178" s="192"/>
      <c r="AY178" s="192"/>
      <c r="AZ178" s="192"/>
      <c r="BA178" s="192"/>
      <c r="BB178" s="192"/>
      <c r="BC178" s="192"/>
      <c r="BD178" s="191"/>
      <c r="BE178" s="192"/>
      <c r="BF178" s="1148"/>
      <c r="BG178" s="1148"/>
      <c r="BH178" s="1148"/>
      <c r="BI178" s="191"/>
      <c r="BJ178" s="1148"/>
      <c r="BK178" s="1148"/>
      <c r="BL178" s="1148"/>
      <c r="BM178" s="1148"/>
      <c r="BN178" s="191"/>
      <c r="BO178" s="1148"/>
      <c r="BP178" s="1148"/>
      <c r="BQ178" s="1148"/>
      <c r="BR178" s="1148"/>
      <c r="BS178" s="191"/>
      <c r="BT178" s="1148"/>
      <c r="BU178" s="1148"/>
      <c r="BV178" s="1148"/>
      <c r="BW178" s="1148"/>
      <c r="BX178" s="191"/>
      <c r="BY178" s="1148"/>
      <c r="BZ178" s="1148"/>
      <c r="CA178" s="1148"/>
      <c r="CB178" s="1148"/>
      <c r="CC178" s="191"/>
      <c r="CD178" s="1148"/>
      <c r="CE178" s="1148"/>
      <c r="CF178" s="1148"/>
      <c r="CG178" s="1148"/>
      <c r="CH178" s="191"/>
      <c r="CI178" s="1148"/>
      <c r="CJ178" s="1148"/>
      <c r="CK178" s="1148"/>
      <c r="CL178" s="1148"/>
      <c r="CM178" s="191"/>
      <c r="CN178" s="1148"/>
      <c r="CO178" s="1148"/>
      <c r="CP178" s="1148"/>
      <c r="CQ178" s="1148"/>
      <c r="CR178" s="191"/>
      <c r="CS178" s="1148"/>
      <c r="CT178" s="1148"/>
      <c r="CU178" s="1148"/>
      <c r="CV178" s="1148"/>
      <c r="CW178" s="191"/>
      <c r="CZ178" s="201"/>
      <c r="DA178" s="200"/>
      <c r="DB178" s="200"/>
      <c r="DC178"/>
      <c r="DD178"/>
      <c r="DE178"/>
      <c r="DF178"/>
      <c r="DG178"/>
      <c r="DH178"/>
    </row>
    <row r="179" spans="1:112" s="90" customFormat="1" hidden="1" outlineLevel="1">
      <c r="A179" s="1763" t="s">
        <v>898</v>
      </c>
      <c r="B179" s="192"/>
      <c r="C179" s="192"/>
      <c r="D179" s="192"/>
      <c r="E179" s="192"/>
      <c r="F179" s="137"/>
      <c r="G179" s="192"/>
      <c r="H179" s="192"/>
      <c r="I179" s="192"/>
      <c r="J179" s="192"/>
      <c r="K179" s="192"/>
      <c r="L179" s="192"/>
      <c r="M179" s="192"/>
      <c r="N179" s="192"/>
      <c r="O179" s="192"/>
      <c r="P179" s="192"/>
      <c r="Q179" s="192"/>
      <c r="R179" s="192"/>
      <c r="S179" s="843"/>
      <c r="T179" s="192"/>
      <c r="U179" s="843"/>
      <c r="V179" s="192"/>
      <c r="W179" s="192"/>
      <c r="X179" s="192"/>
      <c r="Y179" s="192"/>
      <c r="Z179" s="192"/>
      <c r="AA179" s="192"/>
      <c r="AB179" s="192"/>
      <c r="AC179" s="192"/>
      <c r="AD179" s="192"/>
      <c r="AE179" s="192"/>
      <c r="AF179" s="192"/>
      <c r="AG179" s="192"/>
      <c r="AH179" s="192"/>
      <c r="AI179" s="192"/>
      <c r="AJ179" s="192"/>
      <c r="AK179" s="192"/>
      <c r="AL179" s="192"/>
      <c r="AM179" s="192"/>
      <c r="AN179" s="192"/>
      <c r="AO179" s="192"/>
      <c r="AP179" s="192"/>
      <c r="AQ179" s="192"/>
      <c r="AR179" s="192"/>
      <c r="AS179" s="192"/>
      <c r="AT179" s="192"/>
      <c r="AU179" s="192"/>
      <c r="AV179" s="192"/>
      <c r="AW179" s="192"/>
      <c r="AX179" s="192"/>
      <c r="AY179" s="192"/>
      <c r="AZ179" s="192"/>
      <c r="BA179" s="192"/>
      <c r="BB179" s="192"/>
      <c r="BC179" s="192"/>
      <c r="BD179" s="191"/>
      <c r="BE179" s="192"/>
      <c r="BF179" s="1148"/>
      <c r="BG179" s="1148"/>
      <c r="BH179" s="1148"/>
      <c r="BI179" s="1780">
        <v>50</v>
      </c>
      <c r="BJ179" s="1781"/>
      <c r="BK179" s="1781"/>
      <c r="BL179" s="1781"/>
      <c r="BM179" s="1781"/>
      <c r="BN179" s="1780">
        <v>47</v>
      </c>
      <c r="BO179" s="1781"/>
      <c r="BP179" s="1781"/>
      <c r="BQ179" s="1781"/>
      <c r="BR179" s="1781"/>
      <c r="BS179" s="1780">
        <v>15</v>
      </c>
      <c r="BT179" s="1781"/>
      <c r="BU179" s="1781"/>
      <c r="BV179" s="1781"/>
      <c r="BW179" s="1781"/>
      <c r="BX179" s="1780">
        <v>10</v>
      </c>
      <c r="BY179" s="1781"/>
      <c r="BZ179" s="1781"/>
      <c r="CA179" s="1781"/>
      <c r="CB179" s="1781"/>
      <c r="CC179" s="1780">
        <v>10</v>
      </c>
      <c r="CD179" s="1781"/>
      <c r="CE179" s="1781"/>
      <c r="CF179" s="1781"/>
      <c r="CG179" s="1781"/>
      <c r="CH179" s="1780">
        <v>10</v>
      </c>
      <c r="CI179" s="1781"/>
      <c r="CJ179" s="1781"/>
      <c r="CK179" s="1781"/>
      <c r="CL179" s="1781"/>
      <c r="CM179" s="1780">
        <v>10</v>
      </c>
      <c r="CN179" s="1781"/>
      <c r="CO179" s="1781"/>
      <c r="CP179" s="1781"/>
      <c r="CQ179" s="1781"/>
      <c r="CR179" s="1780">
        <v>10</v>
      </c>
      <c r="CS179" s="1148"/>
      <c r="CT179" s="1148"/>
      <c r="CU179" s="1148"/>
      <c r="CV179" s="1148"/>
      <c r="CW179" s="191"/>
      <c r="CZ179" s="201"/>
      <c r="DA179" s="200"/>
      <c r="DB179" s="200"/>
      <c r="DC179"/>
      <c r="DD179"/>
      <c r="DE179"/>
      <c r="DF179"/>
      <c r="DG179"/>
      <c r="DH179"/>
    </row>
    <row r="180" spans="1:112" s="90" customFormat="1" hidden="1" outlineLevel="1">
      <c r="A180" s="1763" t="s">
        <v>899</v>
      </c>
      <c r="B180" s="192"/>
      <c r="C180" s="192"/>
      <c r="D180" s="192"/>
      <c r="E180" s="192"/>
      <c r="F180" s="137"/>
      <c r="G180" s="192"/>
      <c r="H180" s="192"/>
      <c r="I180" s="192"/>
      <c r="J180" s="192"/>
      <c r="K180" s="192"/>
      <c r="L180" s="192"/>
      <c r="M180" s="192"/>
      <c r="N180" s="192"/>
      <c r="O180" s="192"/>
      <c r="P180" s="192"/>
      <c r="Q180" s="192"/>
      <c r="R180" s="192"/>
      <c r="S180" s="843"/>
      <c r="T180" s="192"/>
      <c r="U180" s="843"/>
      <c r="V180" s="192"/>
      <c r="W180" s="192"/>
      <c r="X180" s="192"/>
      <c r="Y180" s="192"/>
      <c r="Z180" s="192"/>
      <c r="AA180" s="192"/>
      <c r="AB180" s="192"/>
      <c r="AC180" s="192"/>
      <c r="AD180" s="192"/>
      <c r="AE180" s="192"/>
      <c r="AF180" s="192"/>
      <c r="AG180" s="192"/>
      <c r="AH180" s="192"/>
      <c r="AI180" s="192"/>
      <c r="AJ180" s="192"/>
      <c r="AK180" s="192"/>
      <c r="AL180" s="192"/>
      <c r="AM180" s="192"/>
      <c r="AN180" s="192"/>
      <c r="AO180" s="192"/>
      <c r="AP180" s="192"/>
      <c r="AQ180" s="192"/>
      <c r="AR180" s="192"/>
      <c r="AS180" s="192"/>
      <c r="AT180" s="192"/>
      <c r="AU180" s="192"/>
      <c r="AV180" s="192"/>
      <c r="AW180" s="192"/>
      <c r="AX180" s="192"/>
      <c r="AY180" s="192"/>
      <c r="AZ180" s="192"/>
      <c r="BA180" s="192"/>
      <c r="BB180" s="192"/>
      <c r="BC180" s="192"/>
      <c r="BD180" s="191"/>
      <c r="BE180" s="192"/>
      <c r="BF180" s="1148"/>
      <c r="BG180" s="1148"/>
      <c r="BH180" s="1148"/>
      <c r="BI180" s="1780">
        <v>30</v>
      </c>
      <c r="BJ180" s="1781"/>
      <c r="BK180" s="1781"/>
      <c r="BL180" s="1781"/>
      <c r="BM180" s="1781"/>
      <c r="BN180" s="1780">
        <v>30</v>
      </c>
      <c r="BO180" s="1781"/>
      <c r="BP180" s="1781"/>
      <c r="BQ180" s="1781"/>
      <c r="BR180" s="1781"/>
      <c r="BS180" s="1780">
        <v>30</v>
      </c>
      <c r="BT180" s="1781"/>
      <c r="BU180" s="1781"/>
      <c r="BV180" s="1781"/>
      <c r="BW180" s="1781"/>
      <c r="BX180" s="1780">
        <v>27</v>
      </c>
      <c r="BY180" s="1781"/>
      <c r="BZ180" s="1781"/>
      <c r="CA180" s="1781"/>
      <c r="CB180" s="1781"/>
      <c r="CC180" s="1780">
        <v>30.5</v>
      </c>
      <c r="CD180" s="1781"/>
      <c r="CE180" s="1781"/>
      <c r="CF180" s="1781"/>
      <c r="CG180" s="1781"/>
      <c r="CH180" s="1780">
        <v>35.5</v>
      </c>
      <c r="CI180" s="1781"/>
      <c r="CJ180" s="1781"/>
      <c r="CK180" s="1781"/>
      <c r="CL180" s="1781"/>
      <c r="CM180" s="1780">
        <f>CH180+1.25</f>
        <v>36.75</v>
      </c>
      <c r="CN180" s="1781"/>
      <c r="CO180" s="1781"/>
      <c r="CP180" s="1781"/>
      <c r="CQ180" s="1781"/>
      <c r="CR180" s="1780">
        <f>CM180+3.75</f>
        <v>40.5</v>
      </c>
      <c r="CS180" s="1148"/>
      <c r="CT180" s="1148"/>
      <c r="CU180" s="1148"/>
      <c r="CV180" s="1148"/>
      <c r="CW180" s="191"/>
      <c r="CZ180" s="201"/>
      <c r="DA180" s="200"/>
      <c r="DB180" s="200"/>
      <c r="DC180"/>
      <c r="DD180"/>
      <c r="DE180"/>
      <c r="DF180"/>
      <c r="DG180"/>
      <c r="DH180"/>
    </row>
    <row r="181" spans="1:112" s="90" customFormat="1" hidden="1" outlineLevel="1">
      <c r="A181" s="1763" t="s">
        <v>900</v>
      </c>
      <c r="B181" s="192"/>
      <c r="C181" s="192"/>
      <c r="D181" s="192"/>
      <c r="E181" s="192"/>
      <c r="F181" s="137"/>
      <c r="G181" s="192"/>
      <c r="H181" s="192"/>
      <c r="I181" s="192"/>
      <c r="J181" s="192"/>
      <c r="K181" s="192"/>
      <c r="L181" s="192"/>
      <c r="M181" s="192"/>
      <c r="N181" s="192"/>
      <c r="O181" s="192"/>
      <c r="P181" s="192"/>
      <c r="Q181" s="192"/>
      <c r="R181" s="192"/>
      <c r="S181" s="843"/>
      <c r="T181" s="192"/>
      <c r="U181" s="843"/>
      <c r="V181" s="192"/>
      <c r="W181" s="192"/>
      <c r="X181" s="192"/>
      <c r="Y181" s="192"/>
      <c r="Z181" s="192"/>
      <c r="AA181" s="192"/>
      <c r="AB181" s="192"/>
      <c r="AC181" s="192"/>
      <c r="AD181" s="192"/>
      <c r="AE181" s="192"/>
      <c r="AF181" s="192"/>
      <c r="AG181" s="192"/>
      <c r="AH181" s="192"/>
      <c r="AI181" s="192"/>
      <c r="AJ181" s="192"/>
      <c r="AK181" s="192"/>
      <c r="AL181" s="192"/>
      <c r="AM181" s="192"/>
      <c r="AN181" s="192"/>
      <c r="AO181" s="192"/>
      <c r="AP181" s="192"/>
      <c r="AQ181" s="192"/>
      <c r="AR181" s="192"/>
      <c r="AS181" s="192"/>
      <c r="AT181" s="192"/>
      <c r="AU181" s="192"/>
      <c r="AV181" s="192"/>
      <c r="AW181" s="192"/>
      <c r="AX181" s="192"/>
      <c r="AY181" s="192"/>
      <c r="AZ181" s="192"/>
      <c r="BA181" s="192"/>
      <c r="BB181" s="192"/>
      <c r="BC181" s="192"/>
      <c r="BD181" s="191"/>
      <c r="BE181" s="192"/>
      <c r="BF181" s="1148"/>
      <c r="BG181" s="1148"/>
      <c r="BH181" s="1148"/>
      <c r="BI181" s="1780">
        <v>23</v>
      </c>
      <c r="BJ181" s="1781"/>
      <c r="BK181" s="1781"/>
      <c r="BL181" s="1781"/>
      <c r="BM181" s="1781"/>
      <c r="BN181" s="1780">
        <v>20</v>
      </c>
      <c r="BO181" s="1781"/>
      <c r="BP181" s="1781"/>
      <c r="BQ181" s="1781"/>
      <c r="BR181" s="1781"/>
      <c r="BS181" s="1780">
        <v>20</v>
      </c>
      <c r="BT181" s="1781"/>
      <c r="BU181" s="1781"/>
      <c r="BV181" s="1781"/>
      <c r="BW181" s="1781"/>
      <c r="BX181" s="1780">
        <v>20</v>
      </c>
      <c r="BY181" s="1781"/>
      <c r="BZ181" s="1781"/>
      <c r="CA181" s="1781"/>
      <c r="CB181" s="1781"/>
      <c r="CC181" s="1780">
        <v>20</v>
      </c>
      <c r="CD181" s="1781"/>
      <c r="CE181" s="1781"/>
      <c r="CF181" s="1781"/>
      <c r="CG181" s="1781"/>
      <c r="CH181" s="1780">
        <v>20</v>
      </c>
      <c r="CI181" s="1781"/>
      <c r="CJ181" s="1781"/>
      <c r="CK181" s="1781"/>
      <c r="CL181" s="1781"/>
      <c r="CM181" s="1780">
        <v>21</v>
      </c>
      <c r="CN181" s="1781"/>
      <c r="CO181" s="1781"/>
      <c r="CP181" s="1781"/>
      <c r="CQ181" s="1781"/>
      <c r="CR181" s="1780">
        <v>22</v>
      </c>
      <c r="CS181" s="1148"/>
      <c r="CT181" s="1148"/>
      <c r="CU181" s="1148"/>
      <c r="CV181" s="1148"/>
      <c r="CW181" s="191"/>
      <c r="CZ181" s="201"/>
      <c r="DA181" s="200"/>
      <c r="DB181" s="200"/>
      <c r="DC181"/>
      <c r="DD181"/>
      <c r="DE181"/>
      <c r="DF181"/>
      <c r="DG181"/>
      <c r="DH181"/>
    </row>
    <row r="182" spans="1:112" s="90" customFormat="1" hidden="1" outlineLevel="1">
      <c r="A182" s="206" t="s">
        <v>901</v>
      </c>
      <c r="B182" s="192"/>
      <c r="C182" s="192"/>
      <c r="D182" s="192"/>
      <c r="E182" s="192"/>
      <c r="F182" s="137"/>
      <c r="G182" s="192"/>
      <c r="H182" s="192"/>
      <c r="I182" s="192"/>
      <c r="J182" s="192"/>
      <c r="K182" s="192"/>
      <c r="L182" s="192"/>
      <c r="M182" s="192"/>
      <c r="N182" s="192"/>
      <c r="O182" s="192"/>
      <c r="P182" s="192"/>
      <c r="Q182" s="192"/>
      <c r="R182" s="192"/>
      <c r="S182" s="843"/>
      <c r="T182" s="192"/>
      <c r="U182" s="843"/>
      <c r="V182" s="192"/>
      <c r="W182" s="192"/>
      <c r="X182" s="192"/>
      <c r="Y182" s="192"/>
      <c r="Z182" s="192"/>
      <c r="AA182" s="192"/>
      <c r="AB182" s="192"/>
      <c r="AC182" s="192"/>
      <c r="AD182" s="192"/>
      <c r="AE182" s="192"/>
      <c r="AF182" s="192"/>
      <c r="AG182" s="192"/>
      <c r="AH182" s="192"/>
      <c r="AI182" s="192"/>
      <c r="AJ182" s="192"/>
      <c r="AK182" s="192"/>
      <c r="AL182" s="192"/>
      <c r="AM182" s="192"/>
      <c r="AN182" s="192"/>
      <c r="AO182" s="192"/>
      <c r="AP182" s="192"/>
      <c r="AQ182" s="192"/>
      <c r="AR182" s="192"/>
      <c r="AS182" s="192"/>
      <c r="AT182" s="192"/>
      <c r="AU182" s="192"/>
      <c r="AV182" s="192"/>
      <c r="AW182" s="192"/>
      <c r="AX182" s="192"/>
      <c r="AY182" s="192"/>
      <c r="AZ182" s="192"/>
      <c r="BA182" s="192"/>
      <c r="BB182" s="192"/>
      <c r="BC182" s="192"/>
      <c r="BD182" s="191"/>
      <c r="BE182" s="192"/>
      <c r="BF182" s="1148"/>
      <c r="BG182" s="1148"/>
      <c r="BH182" s="1148"/>
      <c r="BI182" s="1760">
        <f>(BI155*BI179+(BI153-BI155)*BI180+BI158*BI181)/SUM(BI153,BI158)</f>
        <v>29.916666666666668</v>
      </c>
      <c r="BJ182" s="1148"/>
      <c r="BK182" s="1148"/>
      <c r="BL182" s="1148"/>
      <c r="BM182" s="1148"/>
      <c r="BN182" s="1760">
        <f>(BN155*BN179+(BN153-BN155)*BN180+BN158*BN181)/SUM(BN153,BN158)</f>
        <v>27.404448544485444</v>
      </c>
      <c r="BO182" s="1148"/>
      <c r="BP182" s="1148"/>
      <c r="BQ182" s="1148"/>
      <c r="BR182" s="1148"/>
      <c r="BS182" s="1760">
        <f>(BS155*BS179+(BS153-BS155)*BS180+BS158*BS181)/SUM(BS153,BS158)</f>
        <v>24.168513853904283</v>
      </c>
      <c r="BT182" s="1148"/>
      <c r="BU182" s="1148"/>
      <c r="BV182" s="1148"/>
      <c r="BW182" s="1148"/>
      <c r="BX182" s="1760">
        <f>(BX155*BX179+(BX153-BX155)*BX180+BX158*BX181)/SUM(BX153,BX158)</f>
        <v>21.081271916489307</v>
      </c>
      <c r="BY182" s="1148"/>
      <c r="BZ182" s="1148"/>
      <c r="CA182" s="1148"/>
      <c r="CB182" s="1148"/>
      <c r="CC182" s="1760">
        <f>(CC155*CC179+(CC153-CC155)*CC180+CC158*CC181)/SUM(CC153,CC158)</f>
        <v>21.775413634338332</v>
      </c>
      <c r="CD182" s="1148"/>
      <c r="CE182" s="1148"/>
      <c r="CF182" s="1148"/>
      <c r="CG182" s="1148"/>
      <c r="CH182" s="1760">
        <f>(CH155*CH179+(CH153-CH155)*CH180+CH158*CH181)/SUM(CH153,CH158)</f>
        <v>23.609679621985716</v>
      </c>
      <c r="CI182" s="1148"/>
      <c r="CJ182" s="1148"/>
      <c r="CK182" s="1148"/>
      <c r="CL182" s="1148"/>
      <c r="CM182" s="1760">
        <f>(CM155*CM179+(CM153-CM155)*CM180+CM158*CM181)/SUM(CM153,CM158)</f>
        <v>24.107233689384572</v>
      </c>
      <c r="CN182" s="1148"/>
      <c r="CO182" s="1148"/>
      <c r="CP182" s="1148"/>
      <c r="CQ182" s="1148"/>
      <c r="CR182" s="1760">
        <f>(CR155*CR179+(CR153-CR155)*CR180+CR158*CR181)/SUM(CR153,CR158)</f>
        <v>25.564537846281908</v>
      </c>
      <c r="CS182" s="1148"/>
      <c r="CT182" s="1148"/>
      <c r="CU182" s="1148"/>
      <c r="CV182" s="1148"/>
      <c r="CW182" s="191"/>
      <c r="CZ182" s="201"/>
      <c r="DA182" s="200"/>
      <c r="DB182" s="200"/>
      <c r="DC182"/>
      <c r="DD182"/>
      <c r="DE182"/>
      <c r="DF182"/>
      <c r="DG182"/>
      <c r="DH182"/>
    </row>
    <row r="183" spans="1:112" s="90" customFormat="1" hidden="1" outlineLevel="1">
      <c r="A183" s="113" t="s">
        <v>902</v>
      </c>
      <c r="B183" s="810"/>
      <c r="C183" s="810"/>
      <c r="D183" s="810"/>
      <c r="E183" s="810"/>
      <c r="F183" s="818"/>
      <c r="G183" s="810"/>
      <c r="H183" s="810"/>
      <c r="I183" s="810"/>
      <c r="J183" s="810"/>
      <c r="K183" s="810"/>
      <c r="L183" s="810"/>
      <c r="M183" s="810"/>
      <c r="N183" s="810"/>
      <c r="O183" s="810"/>
      <c r="P183" s="810"/>
      <c r="Q183" s="810"/>
      <c r="R183" s="810"/>
      <c r="S183" s="1390"/>
      <c r="T183" s="810"/>
      <c r="U183" s="1390"/>
      <c r="V183" s="810"/>
      <c r="W183" s="810"/>
      <c r="X183" s="810"/>
      <c r="Y183" s="810"/>
      <c r="Z183" s="810"/>
      <c r="AA183" s="810"/>
      <c r="AB183" s="810"/>
      <c r="AC183" s="810"/>
      <c r="AD183" s="810"/>
      <c r="AE183" s="810"/>
      <c r="AF183" s="810"/>
      <c r="AG183" s="810"/>
      <c r="AH183" s="810"/>
      <c r="AI183" s="810"/>
      <c r="AJ183" s="810"/>
      <c r="AK183" s="810"/>
      <c r="AL183" s="810"/>
      <c r="AM183" s="810"/>
      <c r="AN183" s="810"/>
      <c r="AO183" s="810"/>
      <c r="AP183" s="810"/>
      <c r="AQ183" s="810"/>
      <c r="AR183" s="810"/>
      <c r="AS183" s="810"/>
      <c r="AT183" s="810"/>
      <c r="AU183" s="810"/>
      <c r="AV183" s="810"/>
      <c r="AW183" s="810"/>
      <c r="AX183" s="810"/>
      <c r="AY183" s="810"/>
      <c r="AZ183" s="810"/>
      <c r="BA183" s="810"/>
      <c r="BB183" s="810"/>
      <c r="BC183" s="810"/>
      <c r="BD183" s="811"/>
      <c r="BE183" s="810"/>
      <c r="BF183" s="1391"/>
      <c r="BG183" s="1391"/>
      <c r="BH183" s="1391"/>
      <c r="BI183" s="1782">
        <f>(BI184/(SUM(BI158,BI153))/12)</f>
        <v>29.899691358024686</v>
      </c>
      <c r="BJ183" s="1391"/>
      <c r="BK183" s="1391"/>
      <c r="BL183" s="1391"/>
      <c r="BM183" s="1391"/>
      <c r="BN183" s="1782">
        <f>(BN184/(SUM(BN158,BN153))/12)</f>
        <v>27.367773677736778</v>
      </c>
      <c r="BO183" s="1391"/>
      <c r="BP183" s="1391"/>
      <c r="BQ183" s="1391"/>
      <c r="BR183" s="1391"/>
      <c r="BS183" s="1782">
        <f>(BS184/(SUM(BS158,BS153))/12)</f>
        <v>24.169365479189157</v>
      </c>
      <c r="BT183" s="1391"/>
      <c r="BU183" s="1391"/>
      <c r="BV183" s="1391"/>
      <c r="BW183" s="1391"/>
      <c r="BX183" s="1782">
        <f>(BX184/(SUM(BX158,BX153))/12)</f>
        <v>21.088814567075435</v>
      </c>
      <c r="BY183" s="1391"/>
      <c r="BZ183" s="1391"/>
      <c r="CA183" s="1391"/>
      <c r="CB183" s="1391"/>
      <c r="CC183" s="1782">
        <f>(CC184/(SUM(CC158,CC153))/12)</f>
        <v>21.752314471013417</v>
      </c>
      <c r="CD183" s="1391"/>
      <c r="CE183" s="1391"/>
      <c r="CF183" s="1391"/>
      <c r="CG183" s="1391"/>
      <c r="CH183" s="1782">
        <f>(CH184/(SUM(CH158,CH153))/12)</f>
        <v>23.565632880730927</v>
      </c>
      <c r="CI183" s="1391"/>
      <c r="CJ183" s="1391"/>
      <c r="CK183" s="1391"/>
      <c r="CL183" s="1391"/>
      <c r="CM183" s="1782">
        <f>(CM184/(SUM(CM158,CM153))/12)</f>
        <v>24.707568995820846</v>
      </c>
      <c r="CN183" s="1391"/>
      <c r="CO183" s="1391"/>
      <c r="CP183" s="1391"/>
      <c r="CQ183" s="1391"/>
      <c r="CR183" s="1782">
        <f>(CR184/(SUM(CR158,CR153))/12)</f>
        <v>26.059289072570895</v>
      </c>
      <c r="CS183" s="1391"/>
      <c r="CT183" s="1391"/>
      <c r="CU183" s="1391"/>
      <c r="CV183" s="1391"/>
      <c r="CW183" s="811"/>
      <c r="CZ183" s="201"/>
      <c r="DA183" s="200"/>
      <c r="DB183" s="200"/>
      <c r="DC183"/>
      <c r="DD183"/>
      <c r="DE183"/>
      <c r="DF183"/>
      <c r="DG183"/>
      <c r="DH183"/>
    </row>
    <row r="184" spans="1:112" s="90" customFormat="1" hidden="1" outlineLevel="1">
      <c r="A184" s="1756" t="s">
        <v>903</v>
      </c>
      <c r="B184" s="192"/>
      <c r="C184" s="192"/>
      <c r="D184" s="192"/>
      <c r="E184" s="192"/>
      <c r="F184" s="137"/>
      <c r="G184" s="192"/>
      <c r="H184" s="192"/>
      <c r="I184" s="192"/>
      <c r="J184" s="192"/>
      <c r="K184" s="192"/>
      <c r="L184" s="192"/>
      <c r="M184" s="192"/>
      <c r="N184" s="192"/>
      <c r="O184" s="192"/>
      <c r="P184" s="192"/>
      <c r="Q184" s="192"/>
      <c r="R184" s="192"/>
      <c r="S184" s="843"/>
      <c r="T184" s="192"/>
      <c r="U184" s="843"/>
      <c r="V184" s="192"/>
      <c r="W184" s="192"/>
      <c r="X184" s="192"/>
      <c r="Y184" s="192"/>
      <c r="Z184" s="192"/>
      <c r="AA184" s="192"/>
      <c r="AB184" s="192"/>
      <c r="AC184" s="192"/>
      <c r="AD184" s="192"/>
      <c r="AE184" s="192"/>
      <c r="AF184" s="192"/>
      <c r="AG184" s="192"/>
      <c r="AH184" s="192"/>
      <c r="AI184" s="192"/>
      <c r="AJ184" s="192"/>
      <c r="AK184" s="192"/>
      <c r="AL184" s="192"/>
      <c r="AM184" s="192"/>
      <c r="AN184" s="192"/>
      <c r="AO184" s="192"/>
      <c r="AP184" s="192"/>
      <c r="AQ184" s="192"/>
      <c r="AR184" s="192"/>
      <c r="AS184" s="192"/>
      <c r="AT184" s="192"/>
      <c r="AU184" s="192"/>
      <c r="AV184" s="192"/>
      <c r="AW184" s="192"/>
      <c r="AX184" s="192"/>
      <c r="AY184" s="192"/>
      <c r="AZ184" s="192"/>
      <c r="BA184" s="192"/>
      <c r="BB184" s="192"/>
      <c r="BC184" s="192"/>
      <c r="BD184" s="191"/>
      <c r="BE184" s="192"/>
      <c r="BF184" s="1148"/>
      <c r="BG184" s="1148"/>
      <c r="BH184" s="1148"/>
      <c r="BI184" s="1363">
        <f>BI74</f>
        <v>155</v>
      </c>
      <c r="BJ184" s="1148"/>
      <c r="BK184" s="1148"/>
      <c r="BL184" s="1148"/>
      <c r="BM184" s="1148"/>
      <c r="BN184" s="1363">
        <f>BN74</f>
        <v>801</v>
      </c>
      <c r="BO184" s="1148"/>
      <c r="BP184" s="1148"/>
      <c r="BQ184" s="1148"/>
      <c r="BR184" s="1148"/>
      <c r="BS184" s="1363">
        <f>BS74</f>
        <v>1612</v>
      </c>
      <c r="BT184" s="1148"/>
      <c r="BU184" s="1148"/>
      <c r="BV184" s="1148"/>
      <c r="BW184" s="1148"/>
      <c r="BX184" s="1363">
        <f>BX74</f>
        <v>2497</v>
      </c>
      <c r="BY184" s="1148"/>
      <c r="BZ184" s="1148"/>
      <c r="CA184" s="1148"/>
      <c r="CB184" s="1148"/>
      <c r="CC184" s="1363">
        <f>CC74</f>
        <v>3515</v>
      </c>
      <c r="CD184" s="1148"/>
      <c r="CE184" s="1148"/>
      <c r="CF184" s="1148"/>
      <c r="CG184" s="1148"/>
      <c r="CH184" s="1363">
        <f>CH74</f>
        <v>4771</v>
      </c>
      <c r="CI184" s="1148"/>
      <c r="CJ184" s="1148"/>
      <c r="CK184" s="1148"/>
      <c r="CL184" s="1148"/>
      <c r="CM184" s="1363">
        <f>CM74</f>
        <v>5958.2082834888197</v>
      </c>
      <c r="CN184" s="1148"/>
      <c r="CO184" s="1148"/>
      <c r="CP184" s="1148"/>
      <c r="CQ184" s="1148"/>
      <c r="CR184" s="1363">
        <f>CR74</f>
        <v>7211.1779920017379</v>
      </c>
      <c r="CS184" s="1148"/>
      <c r="CT184" s="1148"/>
      <c r="CU184" s="1148"/>
      <c r="CV184" s="1148"/>
      <c r="CW184" s="191"/>
      <c r="CZ184" s="201"/>
      <c r="DA184" s="200"/>
      <c r="DB184" s="200"/>
      <c r="DC184"/>
      <c r="DD184"/>
      <c r="DE184"/>
      <c r="DF184"/>
      <c r="DG184"/>
      <c r="DH184"/>
    </row>
    <row r="185" spans="1:112" s="90" customFormat="1" hidden="1" outlineLevel="1">
      <c r="A185" s="1763" t="s">
        <v>559</v>
      </c>
      <c r="B185" s="192"/>
      <c r="C185" s="192"/>
      <c r="D185" s="192"/>
      <c r="E185" s="192"/>
      <c r="F185" s="137"/>
      <c r="G185" s="192"/>
      <c r="H185" s="192"/>
      <c r="I185" s="192"/>
      <c r="J185" s="192"/>
      <c r="K185" s="192"/>
      <c r="L185" s="192"/>
      <c r="M185" s="192"/>
      <c r="N185" s="192"/>
      <c r="O185" s="192"/>
      <c r="P185" s="192"/>
      <c r="Q185" s="192"/>
      <c r="R185" s="192"/>
      <c r="S185" s="843"/>
      <c r="T185" s="192"/>
      <c r="U185" s="843"/>
      <c r="V185" s="192"/>
      <c r="W185" s="192"/>
      <c r="X185" s="192"/>
      <c r="Y185" s="192"/>
      <c r="Z185" s="192"/>
      <c r="AA185" s="192"/>
      <c r="AB185" s="192"/>
      <c r="AC185" s="192"/>
      <c r="AD185" s="192"/>
      <c r="AE185" s="192"/>
      <c r="AF185" s="192"/>
      <c r="AG185" s="192"/>
      <c r="AH185" s="192"/>
      <c r="AI185" s="192"/>
      <c r="AJ185" s="192"/>
      <c r="AK185" s="192"/>
      <c r="AL185" s="192"/>
      <c r="AM185" s="192"/>
      <c r="AN185" s="192"/>
      <c r="AO185" s="192"/>
      <c r="AP185" s="192"/>
      <c r="AQ185" s="192"/>
      <c r="AR185" s="192"/>
      <c r="AS185" s="192"/>
      <c r="AT185" s="192"/>
      <c r="AU185" s="192"/>
      <c r="AV185" s="192"/>
      <c r="AW185" s="192"/>
      <c r="AX185" s="192"/>
      <c r="AY185" s="192"/>
      <c r="AZ185" s="192"/>
      <c r="BA185" s="192"/>
      <c r="BB185" s="192"/>
      <c r="BC185" s="192"/>
      <c r="BD185" s="191"/>
      <c r="BE185" s="192"/>
      <c r="BF185" s="1148"/>
      <c r="BG185" s="1148"/>
      <c r="BH185" s="1148"/>
      <c r="BI185" s="191"/>
      <c r="BJ185" s="1148"/>
      <c r="BK185" s="1148"/>
      <c r="BL185" s="1148"/>
      <c r="BM185" s="1148"/>
      <c r="BN185" s="191">
        <f>BN184/BI184-1</f>
        <v>4.1677419354838712</v>
      </c>
      <c r="BO185" s="1148"/>
      <c r="BP185" s="1148"/>
      <c r="BQ185" s="1148"/>
      <c r="BR185" s="1148"/>
      <c r="BS185" s="782">
        <f>BS184/BN184-1</f>
        <v>1.0124843945068664</v>
      </c>
      <c r="BT185" s="1148"/>
      <c r="BU185" s="1148"/>
      <c r="BV185" s="1148"/>
      <c r="BW185" s="1148"/>
      <c r="BX185" s="782">
        <f>BX184/BS184-1</f>
        <v>0.54900744416873448</v>
      </c>
      <c r="BY185" s="1148"/>
      <c r="BZ185" s="1148"/>
      <c r="CA185" s="1148"/>
      <c r="CB185" s="1148"/>
      <c r="CC185" s="782">
        <f>CC184/BX184-1</f>
        <v>0.407689227072487</v>
      </c>
      <c r="CD185" s="1148"/>
      <c r="CE185" s="1148"/>
      <c r="CF185" s="1148"/>
      <c r="CG185" s="1148"/>
      <c r="CH185" s="782">
        <f>CH184/CC184-1</f>
        <v>0.35732574679943108</v>
      </c>
      <c r="CI185" s="1148"/>
      <c r="CJ185" s="1148"/>
      <c r="CK185" s="1148"/>
      <c r="CL185" s="1148"/>
      <c r="CM185" s="782">
        <f>CM184/CH184-1</f>
        <v>0.24883845807772365</v>
      </c>
      <c r="CN185" s="1148"/>
      <c r="CO185" s="1148"/>
      <c r="CP185" s="1148"/>
      <c r="CQ185" s="1148"/>
      <c r="CR185" s="782">
        <f>CR184/CM184-1</f>
        <v>0.21029303590898363</v>
      </c>
      <c r="CS185" s="1148"/>
      <c r="CT185" s="1148"/>
      <c r="CU185" s="1148"/>
      <c r="CV185" s="1148"/>
      <c r="CW185" s="191"/>
      <c r="CZ185" s="201"/>
      <c r="DA185" s="200"/>
      <c r="DB185" s="200"/>
      <c r="DC185"/>
      <c r="DD185"/>
      <c r="DE185"/>
      <c r="DF185"/>
      <c r="DG185"/>
      <c r="DH185"/>
    </row>
    <row r="186" spans="1:112" collapsed="1">
      <c r="A186" s="206"/>
      <c r="B186" s="192"/>
      <c r="C186" s="192"/>
      <c r="D186" s="192"/>
      <c r="E186" s="192"/>
      <c r="F186" s="137"/>
      <c r="G186" s="192"/>
      <c r="H186" s="192"/>
      <c r="I186" s="192"/>
      <c r="J186" s="192"/>
      <c r="K186" s="192"/>
      <c r="L186" s="192"/>
      <c r="M186" s="192"/>
      <c r="N186" s="192"/>
      <c r="O186" s="192"/>
      <c r="P186" s="192"/>
      <c r="Q186" s="192"/>
      <c r="R186" s="192"/>
      <c r="S186" s="843"/>
      <c r="T186" s="192"/>
      <c r="U186" s="843"/>
      <c r="V186" s="192"/>
      <c r="W186" s="192"/>
      <c r="X186" s="192"/>
      <c r="Y186" s="192"/>
      <c r="Z186" s="192"/>
      <c r="AA186" s="192"/>
      <c r="AB186" s="192"/>
      <c r="AC186" s="192"/>
      <c r="AD186" s="192"/>
      <c r="AE186" s="192"/>
      <c r="AF186" s="192"/>
      <c r="AG186" s="192"/>
      <c r="AH186" s="192"/>
      <c r="AI186" s="192"/>
      <c r="AJ186" s="192"/>
      <c r="AK186" s="192"/>
      <c r="AL186" s="192"/>
      <c r="AM186" s="192"/>
      <c r="AN186" s="192"/>
      <c r="AO186" s="192"/>
      <c r="AP186" s="192"/>
      <c r="AQ186" s="192"/>
      <c r="AR186" s="192"/>
      <c r="AS186" s="192"/>
      <c r="AT186" s="192"/>
      <c r="AU186" s="192"/>
      <c r="AV186" s="192"/>
      <c r="AW186" s="192"/>
      <c r="AX186" s="192"/>
      <c r="AY186" s="192"/>
      <c r="AZ186" s="192"/>
      <c r="BA186" s="192"/>
      <c r="BB186" s="192"/>
      <c r="BC186" s="192"/>
      <c r="BD186" s="191"/>
      <c r="BE186" s="192"/>
      <c r="BF186" s="1148"/>
      <c r="BG186" s="1148"/>
      <c r="BH186" s="1148"/>
      <c r="BI186" s="191"/>
      <c r="BJ186" s="1148"/>
      <c r="BK186" s="1148"/>
      <c r="BL186" s="1148"/>
      <c r="BM186" s="1148"/>
      <c r="BN186" s="191"/>
      <c r="BO186" s="1148"/>
      <c r="BP186" s="1148"/>
      <c r="BQ186" s="1148"/>
      <c r="BR186" s="1148"/>
      <c r="BS186" s="191"/>
      <c r="BT186" s="1148"/>
      <c r="BU186" s="1148"/>
      <c r="BV186" s="1148"/>
      <c r="BW186" s="1148"/>
      <c r="BX186" s="191"/>
      <c r="BY186" s="1148"/>
      <c r="BZ186" s="1148"/>
      <c r="CA186" s="1148"/>
      <c r="CB186" s="1148"/>
      <c r="CC186" s="191"/>
      <c r="CD186" s="1148"/>
      <c r="CE186" s="1148"/>
      <c r="CF186" s="1148"/>
      <c r="CG186" s="1148"/>
      <c r="CH186" s="191"/>
      <c r="CI186" s="1148"/>
      <c r="CJ186" s="1148"/>
      <c r="CK186" s="1148"/>
      <c r="CL186" s="1148"/>
      <c r="CM186" s="191"/>
      <c r="CN186" s="1148"/>
      <c r="CO186" s="1148"/>
      <c r="CP186" s="1148"/>
      <c r="CQ186" s="1148"/>
      <c r="CR186" s="191"/>
      <c r="CS186" s="1148"/>
      <c r="CT186" s="1148"/>
      <c r="CU186" s="1148"/>
      <c r="CV186" s="1148"/>
      <c r="CW186" s="191"/>
      <c r="CZ186" s="201"/>
      <c r="DA186" s="200"/>
      <c r="DB186" s="200"/>
    </row>
    <row r="187" spans="1:112" ht="20.100000000000001" customHeight="1">
      <c r="A187" s="393" t="str">
        <f>Model!A1</f>
        <v>Adobe Systems</v>
      </c>
      <c r="B187" s="394"/>
      <c r="C187" s="394"/>
      <c r="D187" s="394"/>
      <c r="E187" s="394"/>
      <c r="F187" s="394"/>
      <c r="G187" s="394"/>
      <c r="H187" s="394"/>
      <c r="I187" s="394"/>
      <c r="J187" s="394"/>
      <c r="K187" s="394"/>
      <c r="L187" s="394"/>
      <c r="M187" s="394"/>
      <c r="N187" s="394"/>
      <c r="O187" s="394"/>
      <c r="P187" s="394"/>
      <c r="Q187" s="394"/>
      <c r="R187" s="394"/>
      <c r="S187" s="394"/>
      <c r="T187" s="394"/>
      <c r="U187" s="394"/>
      <c r="V187" s="394"/>
      <c r="W187" s="394"/>
      <c r="X187" s="394"/>
      <c r="Y187" s="394"/>
      <c r="Z187" s="394"/>
      <c r="AA187" s="394"/>
      <c r="AB187" s="394"/>
      <c r="AC187" s="394"/>
      <c r="AD187" s="394"/>
      <c r="AE187" s="394"/>
      <c r="AF187" s="394"/>
      <c r="AG187" s="394"/>
      <c r="AH187" s="394"/>
      <c r="AI187" s="394"/>
      <c r="AJ187" s="394"/>
      <c r="AK187" s="394"/>
      <c r="AL187" s="394"/>
      <c r="AM187" s="394"/>
      <c r="AN187" s="394"/>
      <c r="AO187" s="394"/>
      <c r="AP187" s="394"/>
      <c r="AQ187" s="394"/>
      <c r="AR187" s="394"/>
      <c r="AS187" s="394"/>
      <c r="AT187" s="394"/>
      <c r="AU187" s="394"/>
      <c r="AV187" s="394"/>
      <c r="AW187" s="394"/>
      <c r="AX187" s="394"/>
      <c r="AY187" s="394"/>
      <c r="AZ187" s="394"/>
      <c r="BA187" s="394"/>
      <c r="BB187" s="394"/>
      <c r="BC187" s="394"/>
      <c r="BD187" s="1364"/>
      <c r="BE187" s="394"/>
      <c r="BF187" s="394"/>
      <c r="BG187" s="394"/>
      <c r="BH187" s="394"/>
      <c r="BI187" s="1364"/>
      <c r="BJ187" s="394"/>
      <c r="BK187" s="394"/>
      <c r="BL187" s="394"/>
      <c r="BM187" s="394"/>
      <c r="BN187" s="1364"/>
      <c r="BO187" s="394"/>
      <c r="BP187" s="394"/>
      <c r="BQ187" s="394"/>
      <c r="BR187" s="394"/>
      <c r="BS187" s="1364"/>
      <c r="BT187" s="394"/>
      <c r="BU187" s="394"/>
      <c r="BV187" s="394"/>
      <c r="BW187" s="394"/>
      <c r="BX187" s="1364"/>
      <c r="BY187" s="394"/>
      <c r="BZ187" s="394"/>
      <c r="CA187" s="394"/>
      <c r="CB187" s="394"/>
      <c r="CC187" s="1364"/>
      <c r="CD187" s="394"/>
      <c r="CE187" s="394"/>
      <c r="CF187" s="394"/>
      <c r="CG187" s="394"/>
      <c r="CH187" s="1364"/>
      <c r="CI187" s="394"/>
      <c r="CJ187" s="394"/>
      <c r="CK187" s="394"/>
      <c r="CL187" s="394"/>
      <c r="CM187" s="1364"/>
      <c r="CN187" s="394"/>
      <c r="CO187" s="394"/>
      <c r="CP187" s="394"/>
      <c r="CQ187" s="394"/>
      <c r="CR187" s="1364"/>
      <c r="CS187" s="394"/>
      <c r="CT187" s="394"/>
      <c r="CU187" s="394"/>
      <c r="CV187" s="394"/>
      <c r="CW187" s="1364"/>
      <c r="CZ187" s="126"/>
      <c r="DA187" s="117"/>
      <c r="DB187" s="117"/>
    </row>
    <row r="188" spans="1:112" ht="20.100000000000001" customHeight="1">
      <c r="A188" s="846" t="s">
        <v>261</v>
      </c>
      <c r="B188" s="390"/>
      <c r="C188" s="847"/>
      <c r="D188" s="390"/>
      <c r="E188" s="847"/>
      <c r="F188" s="390"/>
      <c r="G188" s="390"/>
      <c r="H188" s="847"/>
      <c r="I188" s="390"/>
      <c r="J188" s="847"/>
      <c r="K188" s="390"/>
      <c r="L188" s="390"/>
      <c r="M188" s="847"/>
      <c r="N188" s="390"/>
      <c r="O188" s="847"/>
      <c r="P188" s="390"/>
      <c r="Q188" s="390"/>
      <c r="R188" s="847"/>
      <c r="S188" s="390"/>
      <c r="T188" s="847"/>
      <c r="U188" s="390"/>
      <c r="V188" s="390"/>
      <c r="W188" s="847"/>
      <c r="X188" s="390"/>
      <c r="Y188" s="847"/>
      <c r="Z188" s="390"/>
      <c r="AA188" s="390"/>
      <c r="AB188" s="847"/>
      <c r="AC188" s="390"/>
      <c r="AD188" s="847"/>
      <c r="AE188" s="390"/>
      <c r="AF188" s="390"/>
      <c r="AG188" s="847"/>
      <c r="AH188" s="390"/>
      <c r="AI188" s="847"/>
      <c r="AJ188" s="390"/>
      <c r="AK188" s="390"/>
      <c r="AL188" s="847"/>
      <c r="AM188" s="390"/>
      <c r="AN188" s="847"/>
      <c r="AO188" s="390"/>
      <c r="AP188" s="390"/>
      <c r="AQ188" s="847"/>
      <c r="AR188" s="390"/>
      <c r="AS188" s="847"/>
      <c r="AT188" s="390"/>
      <c r="AU188" s="390"/>
      <c r="AV188" s="847"/>
      <c r="AW188" s="390"/>
      <c r="AX188" s="847"/>
      <c r="AY188" s="390"/>
      <c r="AZ188" s="390"/>
      <c r="BA188" s="847"/>
      <c r="BB188" s="390"/>
      <c r="BC188" s="847"/>
      <c r="BD188" s="1365"/>
      <c r="BE188" s="390"/>
      <c r="BF188" s="847"/>
      <c r="BG188" s="390"/>
      <c r="BH188" s="847"/>
      <c r="BI188" s="1365"/>
      <c r="BJ188" s="390"/>
      <c r="BK188" s="847"/>
      <c r="BL188" s="390"/>
      <c r="BM188" s="847"/>
      <c r="BN188" s="1365"/>
      <c r="BO188" s="390"/>
      <c r="BP188" s="847"/>
      <c r="BQ188" s="390"/>
      <c r="BR188" s="847"/>
      <c r="BS188" s="1365"/>
      <c r="BT188" s="390"/>
      <c r="BU188" s="847"/>
      <c r="BV188" s="390"/>
      <c r="BW188" s="847"/>
      <c r="BX188" s="1365"/>
      <c r="BY188" s="390"/>
      <c r="BZ188" s="847"/>
      <c r="CA188" s="390"/>
      <c r="CB188" s="847"/>
      <c r="CC188" s="1365"/>
      <c r="CD188" s="390"/>
      <c r="CE188" s="847"/>
      <c r="CF188" s="390"/>
      <c r="CG188" s="847"/>
      <c r="CH188" s="1365"/>
      <c r="CI188" s="390"/>
      <c r="CJ188" s="847"/>
      <c r="CK188" s="390"/>
      <c r="CL188" s="847"/>
      <c r="CM188" s="1365"/>
      <c r="CN188" s="390"/>
      <c r="CO188" s="847"/>
      <c r="CP188" s="390"/>
      <c r="CQ188" s="847"/>
      <c r="CR188" s="1365"/>
      <c r="CS188" s="390"/>
      <c r="CT188" s="847"/>
      <c r="CU188" s="390"/>
      <c r="CV188" s="847"/>
      <c r="CW188" s="1365"/>
      <c r="CZ188" s="126"/>
      <c r="DA188" s="117"/>
      <c r="DB188" s="117"/>
    </row>
    <row r="189" spans="1:112">
      <c r="A189" s="103"/>
      <c r="B189" s="105" t="str">
        <f t="shared" ref="B189:AG189" si="201">B5</f>
        <v>2/01</v>
      </c>
      <c r="C189" s="105" t="str">
        <f t="shared" si="201"/>
        <v>5/01</v>
      </c>
      <c r="D189" s="105" t="str">
        <f t="shared" si="201"/>
        <v>8/01</v>
      </c>
      <c r="E189" s="105" t="str">
        <f t="shared" si="201"/>
        <v>11/01</v>
      </c>
      <c r="F189" s="844" t="str">
        <f t="shared" si="201"/>
        <v>FY01</v>
      </c>
      <c r="G189" s="105" t="str">
        <f t="shared" si="201"/>
        <v>2/02</v>
      </c>
      <c r="H189" s="105" t="str">
        <f t="shared" si="201"/>
        <v>5/02</v>
      </c>
      <c r="I189" s="105" t="str">
        <f t="shared" si="201"/>
        <v>8/02</v>
      </c>
      <c r="J189" s="105" t="str">
        <f t="shared" si="201"/>
        <v>11/02</v>
      </c>
      <c r="K189" s="844" t="str">
        <f t="shared" si="201"/>
        <v>FY02</v>
      </c>
      <c r="L189" s="105" t="str">
        <f t="shared" si="201"/>
        <v>2/03</v>
      </c>
      <c r="M189" s="105" t="str">
        <f t="shared" si="201"/>
        <v>5/03</v>
      </c>
      <c r="N189" s="105" t="str">
        <f t="shared" si="201"/>
        <v>8/03</v>
      </c>
      <c r="O189" s="105" t="str">
        <f t="shared" si="201"/>
        <v>11/03</v>
      </c>
      <c r="P189" s="844" t="str">
        <f t="shared" si="201"/>
        <v>FY03</v>
      </c>
      <c r="Q189" s="105" t="str">
        <f t="shared" si="201"/>
        <v>2/04</v>
      </c>
      <c r="R189" s="105" t="str">
        <f t="shared" si="201"/>
        <v>5/04</v>
      </c>
      <c r="S189" s="105" t="str">
        <f t="shared" si="201"/>
        <v>8/04</v>
      </c>
      <c r="T189" s="105" t="str">
        <f t="shared" si="201"/>
        <v>11/04</v>
      </c>
      <c r="U189" s="844" t="str">
        <f t="shared" si="201"/>
        <v>FY04</v>
      </c>
      <c r="V189" s="105" t="str">
        <f t="shared" si="201"/>
        <v>2/05</v>
      </c>
      <c r="W189" s="105" t="str">
        <f t="shared" si="201"/>
        <v xml:space="preserve"> 5/05</v>
      </c>
      <c r="X189" s="105" t="str">
        <f t="shared" si="201"/>
        <v>8/05</v>
      </c>
      <c r="Y189" s="105" t="str">
        <f t="shared" si="201"/>
        <v>11/05</v>
      </c>
      <c r="Z189" s="844" t="str">
        <f t="shared" si="201"/>
        <v>FY05</v>
      </c>
      <c r="AA189" s="105" t="str">
        <f t="shared" si="201"/>
        <v>2/06</v>
      </c>
      <c r="AB189" s="105" t="str">
        <f t="shared" si="201"/>
        <v xml:space="preserve"> 5/06</v>
      </c>
      <c r="AC189" s="105" t="str">
        <f t="shared" si="201"/>
        <v>8/06</v>
      </c>
      <c r="AD189" s="105" t="str">
        <f t="shared" si="201"/>
        <v>11/06</v>
      </c>
      <c r="AE189" s="844" t="str">
        <f t="shared" si="201"/>
        <v>FY06</v>
      </c>
      <c r="AF189" s="105" t="str">
        <f t="shared" si="201"/>
        <v xml:space="preserve"> 2/07</v>
      </c>
      <c r="AG189" s="105" t="str">
        <f t="shared" si="201"/>
        <v>5/07</v>
      </c>
      <c r="AH189" s="105" t="str">
        <f t="shared" ref="AH189:BM189" si="202">AH5</f>
        <v>8/07</v>
      </c>
      <c r="AI189" s="105" t="str">
        <f t="shared" si="202"/>
        <v>11/07</v>
      </c>
      <c r="AJ189" s="844" t="str">
        <f t="shared" si="202"/>
        <v>FY07</v>
      </c>
      <c r="AK189" s="105" t="str">
        <f t="shared" si="202"/>
        <v xml:space="preserve"> 2/08</v>
      </c>
      <c r="AL189" s="105" t="str">
        <f t="shared" si="202"/>
        <v>5/08</v>
      </c>
      <c r="AM189" s="105" t="str">
        <f t="shared" si="202"/>
        <v>8/08</v>
      </c>
      <c r="AN189" s="105" t="str">
        <f t="shared" si="202"/>
        <v>11/08</v>
      </c>
      <c r="AO189" s="844" t="str">
        <f t="shared" si="202"/>
        <v>FY08</v>
      </c>
      <c r="AP189" s="105" t="str">
        <f t="shared" si="202"/>
        <v xml:space="preserve"> 2/09</v>
      </c>
      <c r="AQ189" s="105" t="str">
        <f t="shared" si="202"/>
        <v>5/09</v>
      </c>
      <c r="AR189" s="105" t="str">
        <f t="shared" si="202"/>
        <v>8/09</v>
      </c>
      <c r="AS189" s="105" t="str">
        <f t="shared" si="202"/>
        <v>11/09</v>
      </c>
      <c r="AT189" s="844" t="str">
        <f t="shared" si="202"/>
        <v>FY09</v>
      </c>
      <c r="AU189" s="105" t="str">
        <f t="shared" si="202"/>
        <v xml:space="preserve"> 2/10</v>
      </c>
      <c r="AV189" s="105" t="str">
        <f t="shared" si="202"/>
        <v>5/10</v>
      </c>
      <c r="AW189" s="105" t="str">
        <f t="shared" si="202"/>
        <v>8/10</v>
      </c>
      <c r="AX189" s="105" t="str">
        <f t="shared" si="202"/>
        <v>11/10</v>
      </c>
      <c r="AY189" s="844" t="str">
        <f t="shared" si="202"/>
        <v>FY10</v>
      </c>
      <c r="AZ189" s="105" t="str">
        <f t="shared" si="202"/>
        <v xml:space="preserve"> 2/11</v>
      </c>
      <c r="BA189" s="105" t="str">
        <f t="shared" si="202"/>
        <v>5/11</v>
      </c>
      <c r="BB189" s="105" t="str">
        <f t="shared" si="202"/>
        <v>8/11</v>
      </c>
      <c r="BC189" s="105" t="str">
        <f t="shared" si="202"/>
        <v>11/11</v>
      </c>
      <c r="BD189" s="844" t="str">
        <f t="shared" si="202"/>
        <v>FY11</v>
      </c>
      <c r="BE189" s="105" t="str">
        <f t="shared" si="202"/>
        <v xml:space="preserve"> 2/12</v>
      </c>
      <c r="BF189" s="105" t="str">
        <f t="shared" si="202"/>
        <v>5/12</v>
      </c>
      <c r="BG189" s="105" t="str">
        <f t="shared" si="202"/>
        <v>8/12</v>
      </c>
      <c r="BH189" s="105" t="str">
        <f t="shared" si="202"/>
        <v>11/12</v>
      </c>
      <c r="BI189" s="844" t="str">
        <f t="shared" si="202"/>
        <v>FY12</v>
      </c>
      <c r="BJ189" s="105" t="str">
        <f t="shared" si="202"/>
        <v xml:space="preserve"> 2/13</v>
      </c>
      <c r="BK189" s="105" t="str">
        <f t="shared" si="202"/>
        <v>5/13</v>
      </c>
      <c r="BL189" s="105" t="str">
        <f t="shared" si="202"/>
        <v>8/13</v>
      </c>
      <c r="BM189" s="105" t="str">
        <f t="shared" si="202"/>
        <v>11/13</v>
      </c>
      <c r="BN189" s="844" t="str">
        <f t="shared" ref="BN189:CW189" si="203">BN5</f>
        <v>FY13</v>
      </c>
      <c r="BO189" s="105" t="str">
        <f t="shared" si="203"/>
        <v xml:space="preserve"> 2/14</v>
      </c>
      <c r="BP189" s="105" t="str">
        <f t="shared" si="203"/>
        <v>5/14</v>
      </c>
      <c r="BQ189" s="105" t="str">
        <f t="shared" si="203"/>
        <v>8/14</v>
      </c>
      <c r="BR189" s="105" t="str">
        <f t="shared" si="203"/>
        <v>11/14</v>
      </c>
      <c r="BS189" s="844" t="str">
        <f t="shared" si="203"/>
        <v>FY14</v>
      </c>
      <c r="BT189" s="105" t="str">
        <f t="shared" si="203"/>
        <v xml:space="preserve"> 2/15</v>
      </c>
      <c r="BU189" s="105" t="str">
        <f t="shared" si="203"/>
        <v>5/15</v>
      </c>
      <c r="BV189" s="105" t="str">
        <f t="shared" si="203"/>
        <v>8/15</v>
      </c>
      <c r="BW189" s="105" t="str">
        <f t="shared" si="203"/>
        <v>11/15</v>
      </c>
      <c r="BX189" s="844" t="str">
        <f t="shared" si="203"/>
        <v>FY15</v>
      </c>
      <c r="BY189" s="105" t="str">
        <f t="shared" si="203"/>
        <v xml:space="preserve"> 2/16</v>
      </c>
      <c r="BZ189" s="105" t="str">
        <f t="shared" si="203"/>
        <v>5/16</v>
      </c>
      <c r="CA189" s="105" t="str">
        <f t="shared" si="203"/>
        <v>8/16</v>
      </c>
      <c r="CB189" s="105" t="str">
        <f t="shared" si="203"/>
        <v>11/16</v>
      </c>
      <c r="CC189" s="844" t="str">
        <f t="shared" si="203"/>
        <v>FY16</v>
      </c>
      <c r="CD189" s="105" t="str">
        <f t="shared" si="203"/>
        <v xml:space="preserve"> 2/17</v>
      </c>
      <c r="CE189" s="105" t="str">
        <f t="shared" si="203"/>
        <v>5/17</v>
      </c>
      <c r="CF189" s="105" t="str">
        <f t="shared" si="203"/>
        <v>8/17</v>
      </c>
      <c r="CG189" s="105" t="str">
        <f t="shared" si="203"/>
        <v>11/17</v>
      </c>
      <c r="CH189" s="844" t="str">
        <f t="shared" si="203"/>
        <v>FY17</v>
      </c>
      <c r="CI189" s="105" t="str">
        <f t="shared" si="203"/>
        <v xml:space="preserve"> 2/18</v>
      </c>
      <c r="CJ189" s="105" t="str">
        <f t="shared" si="203"/>
        <v>5/18E</v>
      </c>
      <c r="CK189" s="105" t="str">
        <f t="shared" si="203"/>
        <v>8/18E</v>
      </c>
      <c r="CL189" s="105" t="str">
        <f t="shared" si="203"/>
        <v>11/18E</v>
      </c>
      <c r="CM189" s="844" t="str">
        <f t="shared" si="203"/>
        <v>FY18E</v>
      </c>
      <c r="CN189" s="105" t="str">
        <f t="shared" si="203"/>
        <v xml:space="preserve"> 2/19E</v>
      </c>
      <c r="CO189" s="105" t="str">
        <f t="shared" si="203"/>
        <v>5/19E</v>
      </c>
      <c r="CP189" s="105" t="str">
        <f t="shared" si="203"/>
        <v>8/19E</v>
      </c>
      <c r="CQ189" s="105" t="str">
        <f t="shared" si="203"/>
        <v>11/19E</v>
      </c>
      <c r="CR189" s="844" t="str">
        <f t="shared" si="203"/>
        <v>FY19E</v>
      </c>
      <c r="CS189" s="105" t="str">
        <f t="shared" si="203"/>
        <v xml:space="preserve"> 2/20E</v>
      </c>
      <c r="CT189" s="105" t="str">
        <f t="shared" si="203"/>
        <v>5/20E</v>
      </c>
      <c r="CU189" s="105" t="str">
        <f t="shared" si="203"/>
        <v>8/20E</v>
      </c>
      <c r="CV189" s="105" t="str">
        <f t="shared" si="203"/>
        <v>11/20E</v>
      </c>
      <c r="CW189" s="844" t="str">
        <f t="shared" si="203"/>
        <v>FY20E</v>
      </c>
      <c r="CZ189" s="112"/>
      <c r="DA189" s="111"/>
      <c r="DB189" s="111"/>
    </row>
    <row r="190" spans="1:112">
      <c r="A190" s="411" t="s">
        <v>370</v>
      </c>
      <c r="B190" s="411"/>
      <c r="C190" s="411"/>
      <c r="D190" s="411"/>
      <c r="E190" s="411"/>
      <c r="F190" s="845"/>
      <c r="G190" s="411"/>
      <c r="H190" s="411"/>
      <c r="I190" s="411"/>
      <c r="J190" s="411"/>
      <c r="K190" s="845"/>
      <c r="L190" s="411"/>
      <c r="M190" s="411"/>
      <c r="N190" s="411"/>
      <c r="O190" s="411"/>
      <c r="P190" s="845"/>
      <c r="Q190" s="411"/>
      <c r="R190" s="411"/>
      <c r="S190" s="411"/>
      <c r="T190" s="411"/>
      <c r="U190" s="845"/>
      <c r="V190" s="411"/>
      <c r="W190" s="411"/>
      <c r="X190" s="411"/>
      <c r="Y190" s="411"/>
      <c r="Z190" s="845"/>
      <c r="AA190" s="411"/>
      <c r="AB190" s="411"/>
      <c r="AC190" s="411"/>
      <c r="AD190" s="411"/>
      <c r="AE190" s="845"/>
      <c r="AF190" s="411"/>
      <c r="AG190" s="411"/>
      <c r="AH190" s="411"/>
      <c r="AI190" s="411"/>
      <c r="AJ190" s="845"/>
      <c r="AK190" s="411"/>
      <c r="AL190" s="411"/>
      <c r="AM190" s="411"/>
      <c r="AN190" s="411"/>
      <c r="AO190" s="845"/>
      <c r="AP190" s="411"/>
      <c r="AQ190" s="411"/>
      <c r="AR190" s="411"/>
      <c r="AS190" s="411"/>
      <c r="AT190" s="845"/>
      <c r="AU190" s="411"/>
      <c r="AV190" s="411"/>
      <c r="AW190" s="411"/>
      <c r="AX190" s="411"/>
      <c r="AY190" s="845"/>
      <c r="AZ190" s="411"/>
      <c r="BA190" s="411"/>
      <c r="BB190" s="411"/>
      <c r="BC190" s="411"/>
      <c r="BD190" s="845"/>
      <c r="BE190" s="411"/>
      <c r="BF190" s="411"/>
      <c r="BG190" s="411"/>
      <c r="BH190" s="411"/>
      <c r="BI190" s="845"/>
      <c r="BJ190" s="411"/>
      <c r="BK190" s="411"/>
      <c r="BL190" s="411"/>
      <c r="BM190" s="411"/>
      <c r="BN190" s="845"/>
      <c r="BO190" s="411"/>
      <c r="BP190" s="411"/>
      <c r="BQ190" s="411"/>
      <c r="BR190" s="411"/>
      <c r="BS190" s="845"/>
      <c r="BT190" s="411"/>
      <c r="BU190" s="411"/>
      <c r="BV190" s="411"/>
      <c r="BW190" s="411"/>
      <c r="BX190" s="845"/>
      <c r="BY190" s="411"/>
      <c r="BZ190" s="411"/>
      <c r="CA190" s="411"/>
      <c r="CB190" s="411"/>
      <c r="CC190" s="845"/>
      <c r="CD190" s="411"/>
      <c r="CE190" s="411"/>
      <c r="CF190" s="411"/>
      <c r="CG190" s="411"/>
      <c r="CH190" s="845"/>
      <c r="CI190" s="411"/>
      <c r="CJ190" s="411"/>
      <c r="CK190" s="411"/>
      <c r="CL190" s="411"/>
      <c r="CM190" s="845"/>
      <c r="CN190" s="411"/>
      <c r="CO190" s="411"/>
      <c r="CP190" s="411"/>
      <c r="CQ190" s="411"/>
      <c r="CR190" s="845"/>
      <c r="CS190" s="411"/>
      <c r="CT190" s="411"/>
      <c r="CU190" s="411"/>
      <c r="CV190" s="411"/>
      <c r="CW190" s="845"/>
      <c r="CZ190" s="415"/>
      <c r="DA190" s="414"/>
      <c r="DB190" s="414"/>
    </row>
    <row r="191" spans="1:112">
      <c r="A191" s="90" t="s">
        <v>552</v>
      </c>
      <c r="B191" s="439"/>
      <c r="C191" s="439"/>
      <c r="D191" s="439"/>
      <c r="E191" s="439"/>
      <c r="F191" s="647"/>
      <c r="G191" s="439" t="s">
        <v>131</v>
      </c>
      <c r="H191" s="439" t="s">
        <v>131</v>
      </c>
      <c r="I191" s="439" t="s">
        <v>131</v>
      </c>
      <c r="J191" s="439" t="s">
        <v>131</v>
      </c>
      <c r="K191" s="647" t="s">
        <v>131</v>
      </c>
      <c r="L191" s="439" t="s">
        <v>131</v>
      </c>
      <c r="M191" s="439" t="s">
        <v>131</v>
      </c>
      <c r="N191" s="439" t="s">
        <v>131</v>
      </c>
      <c r="O191" s="439" t="s">
        <v>131</v>
      </c>
      <c r="P191" s="647"/>
      <c r="Q191" s="439" t="s">
        <v>131</v>
      </c>
      <c r="R191" s="439" t="s">
        <v>131</v>
      </c>
      <c r="S191" s="439" t="s">
        <v>131</v>
      </c>
      <c r="T191" s="439" t="s">
        <v>131</v>
      </c>
      <c r="U191" s="647"/>
      <c r="V191" s="439" t="s">
        <v>131</v>
      </c>
      <c r="W191" s="439" t="s">
        <v>131</v>
      </c>
      <c r="X191" s="439" t="s">
        <v>131</v>
      </c>
      <c r="Y191" s="439" t="s">
        <v>131</v>
      </c>
      <c r="Z191" s="647"/>
      <c r="AA191" s="439" t="s">
        <v>131</v>
      </c>
      <c r="AB191" s="439" t="s">
        <v>131</v>
      </c>
      <c r="AC191" s="439" t="s">
        <v>131</v>
      </c>
      <c r="AD191" s="439" t="s">
        <v>131</v>
      </c>
      <c r="AE191" s="647" t="e">
        <v>#REF!</v>
      </c>
      <c r="AF191" s="439" t="s">
        <v>131</v>
      </c>
      <c r="AG191" s="439" t="s">
        <v>131</v>
      </c>
      <c r="AH191" s="439" t="s">
        <v>131</v>
      </c>
      <c r="AI191" s="439" t="s">
        <v>131</v>
      </c>
      <c r="AJ191" s="647" t="e">
        <v>#REF!</v>
      </c>
      <c r="AK191" s="439" t="s">
        <v>131</v>
      </c>
      <c r="AL191" s="439" t="s">
        <v>131</v>
      </c>
      <c r="AM191" s="439" t="s">
        <v>131</v>
      </c>
      <c r="AN191" s="439" t="s">
        <v>131</v>
      </c>
      <c r="AO191" s="647" t="e">
        <v>#REF!</v>
      </c>
      <c r="AP191" s="439" t="s">
        <v>131</v>
      </c>
      <c r="AQ191" s="439" t="s">
        <v>131</v>
      </c>
      <c r="AR191" s="439" t="s">
        <v>131</v>
      </c>
      <c r="AS191" s="439" t="s">
        <v>131</v>
      </c>
      <c r="AT191" s="647">
        <v>1194.940180142607</v>
      </c>
      <c r="AU191" s="439" t="s">
        <v>131</v>
      </c>
      <c r="AV191" s="439" t="s">
        <v>131</v>
      </c>
      <c r="AW191" s="439" t="s">
        <v>131</v>
      </c>
      <c r="AX191" s="439" t="s">
        <v>131</v>
      </c>
      <c r="AY191" s="647">
        <v>1305.9659276305745</v>
      </c>
      <c r="AZ191" s="439" t="s">
        <v>131</v>
      </c>
      <c r="BA191" s="439" t="s">
        <v>131</v>
      </c>
      <c r="BB191" s="439" t="s">
        <v>131</v>
      </c>
      <c r="BC191" s="439" t="s">
        <v>131</v>
      </c>
      <c r="BD191" s="647">
        <v>4416.0407916266004</v>
      </c>
      <c r="BE191" s="439" t="s">
        <v>131</v>
      </c>
      <c r="BF191" s="439" t="s">
        <v>131</v>
      </c>
      <c r="BG191" s="439" t="s">
        <v>131</v>
      </c>
      <c r="BH191" s="439" t="s">
        <v>131</v>
      </c>
      <c r="BI191" s="647"/>
      <c r="BJ191" s="439" t="s">
        <v>131</v>
      </c>
      <c r="BK191" s="439" t="s">
        <v>131</v>
      </c>
      <c r="BL191" s="439" t="s">
        <v>131</v>
      </c>
      <c r="BM191" s="439" t="s">
        <v>131</v>
      </c>
      <c r="BN191" s="647"/>
      <c r="BO191" s="439" t="s">
        <v>131</v>
      </c>
      <c r="BP191" s="439" t="s">
        <v>131</v>
      </c>
      <c r="BQ191" s="439" t="s">
        <v>131</v>
      </c>
      <c r="BR191" s="439" t="s">
        <v>131</v>
      </c>
      <c r="BS191" s="647">
        <v>7431.0329015861926</v>
      </c>
      <c r="BT191" s="439" t="s">
        <v>131</v>
      </c>
      <c r="BU191" s="439" t="s">
        <v>131</v>
      </c>
      <c r="BV191" s="439" t="s">
        <v>131</v>
      </c>
      <c r="BW191" s="439" t="s">
        <v>131</v>
      </c>
      <c r="BX191" s="647">
        <v>0</v>
      </c>
      <c r="BY191" s="439" t="s">
        <v>131</v>
      </c>
      <c r="BZ191" s="439" t="s">
        <v>131</v>
      </c>
      <c r="CA191" s="439" t="s">
        <v>131</v>
      </c>
      <c r="CB191" s="439" t="s">
        <v>131</v>
      </c>
      <c r="CC191" s="647">
        <v>0</v>
      </c>
      <c r="CD191" s="439" t="s">
        <v>131</v>
      </c>
      <c r="CE191" s="439" t="s">
        <v>131</v>
      </c>
      <c r="CF191" s="439" t="s">
        <v>131</v>
      </c>
      <c r="CG191" s="439" t="s">
        <v>131</v>
      </c>
      <c r="CH191" s="647">
        <v>0</v>
      </c>
      <c r="CI191" s="439" t="s">
        <v>131</v>
      </c>
      <c r="CJ191" s="439" t="s">
        <v>131</v>
      </c>
      <c r="CK191" s="439" t="s">
        <v>131</v>
      </c>
      <c r="CL191" s="439" t="s">
        <v>131</v>
      </c>
      <c r="CM191" s="647">
        <v>0</v>
      </c>
      <c r="CN191" s="439" t="s">
        <v>131</v>
      </c>
      <c r="CO191" s="439" t="s">
        <v>131</v>
      </c>
      <c r="CP191" s="439" t="s">
        <v>131</v>
      </c>
      <c r="CQ191" s="439" t="s">
        <v>131</v>
      </c>
      <c r="CR191" s="647">
        <v>0</v>
      </c>
      <c r="CS191" s="439" t="s">
        <v>131</v>
      </c>
      <c r="CT191" s="439" t="s">
        <v>131</v>
      </c>
      <c r="CU191" s="439" t="s">
        <v>131</v>
      </c>
      <c r="CV191" s="439" t="s">
        <v>131</v>
      </c>
      <c r="CW191" s="647">
        <v>0</v>
      </c>
      <c r="CZ191" s="201"/>
      <c r="DA191" s="200"/>
      <c r="DB191" s="200"/>
    </row>
    <row r="192" spans="1:112">
      <c r="A192" s="90" t="s">
        <v>651</v>
      </c>
      <c r="B192" s="439"/>
      <c r="C192" s="439"/>
      <c r="D192" s="439"/>
      <c r="E192" s="439"/>
      <c r="F192" s="311"/>
      <c r="G192" s="439" t="s">
        <v>131</v>
      </c>
      <c r="H192" s="439" t="s">
        <v>131</v>
      </c>
      <c r="I192" s="439" t="s">
        <v>131</v>
      </c>
      <c r="J192" s="439" t="s">
        <v>131</v>
      </c>
      <c r="K192" s="647" t="s">
        <v>131</v>
      </c>
      <c r="L192" s="439" t="s">
        <v>131</v>
      </c>
      <c r="M192" s="439" t="s">
        <v>131</v>
      </c>
      <c r="N192" s="439" t="s">
        <v>131</v>
      </c>
      <c r="O192" s="439" t="s">
        <v>131</v>
      </c>
      <c r="P192" s="311"/>
      <c r="Q192" s="439" t="s">
        <v>131</v>
      </c>
      <c r="R192" s="439" t="s">
        <v>131</v>
      </c>
      <c r="S192" s="439" t="s">
        <v>131</v>
      </c>
      <c r="T192" s="439" t="s">
        <v>131</v>
      </c>
      <c r="U192" s="311"/>
      <c r="V192" s="439" t="s">
        <v>131</v>
      </c>
      <c r="W192" s="439" t="s">
        <v>131</v>
      </c>
      <c r="X192" s="439" t="s">
        <v>131</v>
      </c>
      <c r="Y192" s="439" t="s">
        <v>131</v>
      </c>
      <c r="Z192" s="311"/>
      <c r="AA192" s="439" t="s">
        <v>131</v>
      </c>
      <c r="AB192" s="439" t="s">
        <v>131</v>
      </c>
      <c r="AC192" s="439" t="s">
        <v>131</v>
      </c>
      <c r="AD192" s="439" t="s">
        <v>131</v>
      </c>
      <c r="AE192" s="311" t="e">
        <v>#REF!</v>
      </c>
      <c r="AF192" s="439" t="s">
        <v>131</v>
      </c>
      <c r="AG192" s="439" t="s">
        <v>131</v>
      </c>
      <c r="AH192" s="439" t="s">
        <v>131</v>
      </c>
      <c r="AI192" s="439" t="s">
        <v>131</v>
      </c>
      <c r="AJ192" s="311" t="e">
        <v>#REF!</v>
      </c>
      <c r="AK192" s="439" t="s">
        <v>131</v>
      </c>
      <c r="AL192" s="439" t="s">
        <v>131</v>
      </c>
      <c r="AM192" s="439" t="s">
        <v>131</v>
      </c>
      <c r="AN192" s="439" t="s">
        <v>131</v>
      </c>
      <c r="AO192" s="311" t="e">
        <v>#REF!</v>
      </c>
      <c r="AP192" s="439" t="s">
        <v>131</v>
      </c>
      <c r="AQ192" s="439" t="s">
        <v>131</v>
      </c>
      <c r="AR192" s="439" t="s">
        <v>131</v>
      </c>
      <c r="AS192" s="439" t="s">
        <v>131</v>
      </c>
      <c r="AT192" s="311">
        <v>1.5064210914247982</v>
      </c>
      <c r="AU192" s="439" t="s">
        <v>131</v>
      </c>
      <c r="AV192" s="439" t="s">
        <v>131</v>
      </c>
      <c r="AW192" s="439" t="s">
        <v>131</v>
      </c>
      <c r="AX192" s="439" t="s">
        <v>131</v>
      </c>
      <c r="AY192" s="311">
        <v>1.1933899589937618</v>
      </c>
      <c r="AZ192" s="439" t="s">
        <v>131</v>
      </c>
      <c r="BA192" s="439" t="s">
        <v>131</v>
      </c>
      <c r="BB192" s="439" t="s">
        <v>131</v>
      </c>
      <c r="BC192" s="439" t="s">
        <v>131</v>
      </c>
      <c r="BD192" s="311"/>
      <c r="BE192" s="439" t="s">
        <v>131</v>
      </c>
      <c r="BF192" s="439" t="s">
        <v>131</v>
      </c>
      <c r="BG192" s="439" t="s">
        <v>131</v>
      </c>
      <c r="BH192" s="439" t="s">
        <v>131</v>
      </c>
      <c r="BI192" s="311"/>
      <c r="BJ192" s="439" t="s">
        <v>131</v>
      </c>
      <c r="BK192" s="439" t="s">
        <v>131</v>
      </c>
      <c r="BL192" s="439" t="s">
        <v>131</v>
      </c>
      <c r="BM192" s="439" t="s">
        <v>131</v>
      </c>
      <c r="BN192" s="311"/>
      <c r="BO192" s="439" t="s">
        <v>131</v>
      </c>
      <c r="BP192" s="439" t="s">
        <v>131</v>
      </c>
      <c r="BQ192" s="439" t="s">
        <v>131</v>
      </c>
      <c r="BR192" s="439" t="s">
        <v>131</v>
      </c>
      <c r="BS192" s="311"/>
      <c r="BT192" s="439" t="s">
        <v>131</v>
      </c>
      <c r="BU192" s="439" t="s">
        <v>131</v>
      </c>
      <c r="BV192" s="439" t="s">
        <v>131</v>
      </c>
      <c r="BW192" s="439" t="s">
        <v>131</v>
      </c>
      <c r="BX192" s="311"/>
      <c r="BY192" s="439" t="s">
        <v>131</v>
      </c>
      <c r="BZ192" s="439" t="s">
        <v>131</v>
      </c>
      <c r="CA192" s="439" t="s">
        <v>131</v>
      </c>
      <c r="CB192" s="439" t="s">
        <v>131</v>
      </c>
      <c r="CC192" s="311"/>
      <c r="CD192" s="439" t="s">
        <v>131</v>
      </c>
      <c r="CE192" s="439" t="s">
        <v>131</v>
      </c>
      <c r="CF192" s="439" t="s">
        <v>131</v>
      </c>
      <c r="CG192" s="439" t="s">
        <v>131</v>
      </c>
      <c r="CH192" s="311"/>
      <c r="CI192" s="439" t="s">
        <v>131</v>
      </c>
      <c r="CJ192" s="439" t="s">
        <v>131</v>
      </c>
      <c r="CK192" s="439" t="s">
        <v>131</v>
      </c>
      <c r="CL192" s="439" t="s">
        <v>131</v>
      </c>
      <c r="CM192" s="311"/>
      <c r="CN192" s="439" t="s">
        <v>131</v>
      </c>
      <c r="CO192" s="439" t="s">
        <v>131</v>
      </c>
      <c r="CP192" s="439" t="s">
        <v>131</v>
      </c>
      <c r="CQ192" s="439" t="s">
        <v>131</v>
      </c>
      <c r="CR192" s="311"/>
      <c r="CS192" s="439" t="s">
        <v>131</v>
      </c>
      <c r="CT192" s="439" t="s">
        <v>131</v>
      </c>
      <c r="CU192" s="439" t="s">
        <v>131</v>
      </c>
      <c r="CV192" s="439" t="s">
        <v>131</v>
      </c>
      <c r="CW192" s="311"/>
      <c r="CZ192" s="201"/>
      <c r="DA192" s="200"/>
      <c r="DB192" s="200"/>
    </row>
    <row r="193" spans="1:106" ht="5.25" customHeight="1">
      <c r="A193" s="114"/>
      <c r="B193" s="117"/>
      <c r="C193" s="117"/>
      <c r="D193" s="117"/>
      <c r="E193" s="117"/>
      <c r="F193" s="119"/>
      <c r="G193" s="117"/>
      <c r="H193" s="117"/>
      <c r="I193" s="117"/>
      <c r="J193" s="117"/>
      <c r="K193" s="119"/>
      <c r="L193" s="117"/>
      <c r="M193" s="117"/>
      <c r="N193" s="117"/>
      <c r="O193" s="117"/>
      <c r="P193" s="119"/>
      <c r="Q193" s="117"/>
      <c r="R193" s="117"/>
      <c r="S193" s="117"/>
      <c r="T193" s="117"/>
      <c r="U193" s="119"/>
      <c r="V193" s="117"/>
      <c r="W193" s="117"/>
      <c r="X193" s="117"/>
      <c r="Y193" s="117"/>
      <c r="Z193" s="119"/>
      <c r="AA193" s="117"/>
      <c r="AB193" s="117"/>
      <c r="AC193" s="117"/>
      <c r="AD193" s="117"/>
      <c r="AE193" s="119"/>
      <c r="AF193" s="117"/>
      <c r="AG193" s="117"/>
      <c r="AH193" s="117"/>
      <c r="AI193" s="117"/>
      <c r="AJ193" s="119"/>
      <c r="AK193" s="117"/>
      <c r="AL193" s="117"/>
      <c r="AM193" s="117"/>
      <c r="AN193" s="117"/>
      <c r="AO193" s="119"/>
      <c r="AP193" s="117"/>
      <c r="AQ193" s="117"/>
      <c r="AR193" s="117"/>
      <c r="AS193" s="117"/>
      <c r="AT193" s="119"/>
      <c r="AU193" s="117"/>
      <c r="AV193" s="117"/>
      <c r="AW193" s="117"/>
      <c r="AX193" s="117"/>
      <c r="AY193" s="119"/>
      <c r="AZ193" s="117"/>
      <c r="BA193" s="117"/>
      <c r="BB193" s="117"/>
      <c r="BC193" s="117"/>
      <c r="BD193" s="119"/>
      <c r="BE193" s="117"/>
      <c r="BF193" s="117"/>
      <c r="BG193" s="117"/>
      <c r="BH193" s="117"/>
      <c r="BI193" s="119"/>
      <c r="BJ193" s="117"/>
      <c r="BK193" s="117"/>
      <c r="BL193" s="117"/>
      <c r="BM193" s="117"/>
      <c r="BN193" s="119"/>
      <c r="BO193" s="117"/>
      <c r="BP193" s="117"/>
      <c r="BQ193" s="117"/>
      <c r="BR193" s="117"/>
      <c r="BS193" s="119"/>
      <c r="BT193" s="117"/>
      <c r="BU193" s="117"/>
      <c r="BV193" s="117"/>
      <c r="BW193" s="117"/>
      <c r="BX193" s="119"/>
      <c r="BY193" s="117"/>
      <c r="BZ193" s="117"/>
      <c r="CA193" s="117"/>
      <c r="CB193" s="117"/>
      <c r="CC193" s="119"/>
      <c r="CD193" s="117"/>
      <c r="CE193" s="117"/>
      <c r="CF193" s="117"/>
      <c r="CG193" s="117"/>
      <c r="CH193" s="119"/>
      <c r="CI193" s="117"/>
      <c r="CJ193" s="117"/>
      <c r="CK193" s="117"/>
      <c r="CL193" s="117"/>
      <c r="CM193" s="119"/>
      <c r="CN193" s="117"/>
      <c r="CO193" s="117"/>
      <c r="CP193" s="117"/>
      <c r="CQ193" s="117"/>
      <c r="CR193" s="119"/>
      <c r="CS193" s="117"/>
      <c r="CT193" s="117"/>
      <c r="CU193" s="117"/>
      <c r="CV193" s="117"/>
      <c r="CW193" s="119"/>
      <c r="CZ193" s="126"/>
      <c r="DA193" s="117"/>
      <c r="DB193" s="117"/>
    </row>
    <row r="194" spans="1:106">
      <c r="A194" s="90" t="s">
        <v>555</v>
      </c>
      <c r="B194" s="419"/>
      <c r="C194" s="419"/>
      <c r="D194" s="419"/>
      <c r="E194" s="419"/>
      <c r="F194" s="782"/>
      <c r="G194" s="419">
        <f>Model!H41</f>
        <v>0.92162256995251879</v>
      </c>
      <c r="H194" s="419">
        <f>Model!I41</f>
        <v>0.92080577516314344</v>
      </c>
      <c r="I194" s="419">
        <f>Model!J41</f>
        <v>0.88894934340544585</v>
      </c>
      <c r="J194" s="419">
        <f>Model!K41</f>
        <v>0.90998934343331506</v>
      </c>
      <c r="K194" s="782">
        <f>Model!L41</f>
        <v>0.91046611057119409</v>
      </c>
      <c r="L194" s="419">
        <f>Model!M41</f>
        <v>0.92468044258071025</v>
      </c>
      <c r="M194" s="419">
        <f>Model!N41</f>
        <v>0.92704578536042936</v>
      </c>
      <c r="N194" s="419">
        <f>Model!O41</f>
        <v>0.93081956117096287</v>
      </c>
      <c r="O194" s="419">
        <f>Model!P41</f>
        <v>0.92964867563150821</v>
      </c>
      <c r="P194" s="782">
        <f>Model!Q41</f>
        <v>0.92815441448496971</v>
      </c>
      <c r="Q194" s="419">
        <f>Model!R41</f>
        <v>0.9428701028394848</v>
      </c>
      <c r="R194" s="419">
        <f>Model!S41</f>
        <v>0.93353816891620034</v>
      </c>
      <c r="S194" s="419">
        <f>Model!T41</f>
        <v>0.94161941775469205</v>
      </c>
      <c r="T194" s="419">
        <f>Model!U41</f>
        <v>0.93161382252003477</v>
      </c>
      <c r="U194" s="782">
        <f>Model!V41</f>
        <v>0.93736998081701373</v>
      </c>
      <c r="V194" s="419">
        <f>Model!W41</f>
        <v>0.94296885903882999</v>
      </c>
      <c r="W194" s="419">
        <f>Model!X41</f>
        <v>0.94469274981906293</v>
      </c>
      <c r="X194" s="419">
        <f>Model!Y41</f>
        <v>0.94357741371840853</v>
      </c>
      <c r="Y194" s="419">
        <f>Model!Z41</f>
        <v>0.93985747622807725</v>
      </c>
      <c r="Z194" s="782">
        <f>Model!AA41</f>
        <v>0.94274688618999658</v>
      </c>
      <c r="AA194" s="419">
        <f>Model!AB41</f>
        <v>0.9379826630336946</v>
      </c>
      <c r="AB194" s="419">
        <f>Model!AC41</f>
        <v>0.95444845905932119</v>
      </c>
      <c r="AC194" s="419">
        <f>Model!AD41</f>
        <v>0.94332861168632554</v>
      </c>
      <c r="AD194" s="419">
        <f>Model!AE41</f>
        <v>0.93693846886795906</v>
      </c>
      <c r="AE194" s="782">
        <f>Model!AF41</f>
        <v>0.94301906573991379</v>
      </c>
      <c r="AF194" s="419">
        <f>Model!AG41</f>
        <v>0.93353474785458113</v>
      </c>
      <c r="AG194" s="419">
        <f>Model!AH41</f>
        <v>0.93038814233808187</v>
      </c>
      <c r="AH194" s="419">
        <f>Model!AI41</f>
        <v>0.92673003900498541</v>
      </c>
      <c r="AI194" s="419">
        <f>Model!AJ41</f>
        <v>0.9246102165140675</v>
      </c>
      <c r="AJ194" s="782">
        <f>Model!AK41</f>
        <v>0.92838140512577894</v>
      </c>
      <c r="AK194" s="419">
        <f>Model!AL41</f>
        <v>0.93296048604911019</v>
      </c>
      <c r="AL194" s="419">
        <f>Model!AM41</f>
        <v>0.9349341403517476</v>
      </c>
      <c r="AM194" s="419">
        <f>Model!AN41</f>
        <v>0.93209295615588272</v>
      </c>
      <c r="AN194" s="419">
        <f>Model!AO41</f>
        <v>0.93049281056177147</v>
      </c>
      <c r="AO194" s="782">
        <f>Model!AP41</f>
        <v>0.93260349692406652</v>
      </c>
      <c r="AP194" s="419">
        <f>Model!AQ41</f>
        <v>0.9200651076437899</v>
      </c>
      <c r="AQ194" s="419">
        <f>Model!AR41</f>
        <v>0.92001396392369217</v>
      </c>
      <c r="AR194" s="419">
        <f>Model!AS41</f>
        <v>0.92755771626664685</v>
      </c>
      <c r="AS194" s="419">
        <f>Model!AT41</f>
        <v>0.91632718547755587</v>
      </c>
      <c r="AT194" s="782">
        <f>Model!AU41</f>
        <v>0.92086604457180998</v>
      </c>
      <c r="AU194" s="419">
        <f>Model!AV41</f>
        <v>0.91769884709444505</v>
      </c>
      <c r="AV194" s="419">
        <f>Model!AW41</f>
        <v>0.90630994607835336</v>
      </c>
      <c r="AW194" s="419">
        <f>Model!AX41</f>
        <v>0.9185393797352166</v>
      </c>
      <c r="AX194" s="419">
        <f>Model!AY41</f>
        <v>0.91178198038386982</v>
      </c>
      <c r="AY194" s="782">
        <f>Model!AZ41</f>
        <v>0.91352210526315791</v>
      </c>
      <c r="AZ194" s="419">
        <f>Model!BA41</f>
        <v>0.91433444973562483</v>
      </c>
      <c r="BA194" s="419">
        <f>Model!BB41</f>
        <v>0.91203787411586834</v>
      </c>
      <c r="BB194" s="419">
        <f>Model!BC41</f>
        <v>0.91408115971780834</v>
      </c>
      <c r="BC194" s="419">
        <f>Model!BD41</f>
        <v>0.91687012492177744</v>
      </c>
      <c r="BD194" s="782">
        <f>Model!BE41</f>
        <v>0.91440917515009768</v>
      </c>
      <c r="BE194" s="419">
        <f>Model!BF41</f>
        <v>0.9164147260863742</v>
      </c>
      <c r="BF194" s="419">
        <f>Model!BG41</f>
        <v>0.90366214919485011</v>
      </c>
      <c r="BG194" s="419">
        <f>Model!BH41</f>
        <v>0.9105841307446001</v>
      </c>
      <c r="BH194" s="419">
        <f>Model!BI41</f>
        <v>0.91262740283745492</v>
      </c>
      <c r="BI194" s="782">
        <f>Model!BJ41</f>
        <v>0.91073573288867471</v>
      </c>
      <c r="BJ194" s="419">
        <f>Model!BK41</f>
        <v>0.89405014322240994</v>
      </c>
      <c r="BK194" s="419">
        <f>Model!BL41</f>
        <v>0.88928691236149859</v>
      </c>
      <c r="BL194" s="419">
        <f>Model!BM41</f>
        <v>0.87672228145578568</v>
      </c>
      <c r="BM194" s="419">
        <f>Model!BN41</f>
        <v>0.87893239793836797</v>
      </c>
      <c r="BN194" s="782">
        <f>Model!BO41</f>
        <v>0.8847276610015683</v>
      </c>
      <c r="BO194" s="419">
        <f>Model!BP41</f>
        <v>0.87410610726712801</v>
      </c>
      <c r="BP194" s="419">
        <f>Model!BQ41</f>
        <v>0.87661204559411654</v>
      </c>
      <c r="BQ194" s="419">
        <f>Model!BR41</f>
        <v>0.86629918769376446</v>
      </c>
      <c r="BR194" s="419">
        <f>Model!BS41</f>
        <v>0.8723195518983945</v>
      </c>
      <c r="BS194" s="782">
        <f>Model!BT41</f>
        <v>0.87239650210450059</v>
      </c>
      <c r="BT194" s="419">
        <f>Model!BU41</f>
        <v>0.87170894560941814</v>
      </c>
      <c r="BU194" s="419">
        <f>Model!BV41</f>
        <v>0.86389716372472591</v>
      </c>
      <c r="BV194" s="419">
        <f>Model!BW41</f>
        <v>0.8656681732481063</v>
      </c>
      <c r="BW194" s="419">
        <f>Model!BX41</f>
        <v>0.86461997973061921</v>
      </c>
      <c r="BX194" s="782">
        <f>Model!BY41</f>
        <v>0.86635063500010734</v>
      </c>
      <c r="BY194" s="419">
        <f>Model!BZ41</f>
        <v>0.87336979112073354</v>
      </c>
      <c r="BZ194" s="419">
        <f>Model!CA41</f>
        <v>0.86903923546641948</v>
      </c>
      <c r="CA194" s="419">
        <f>Model!CB41</f>
        <v>0.87410850107960092</v>
      </c>
      <c r="CB194" s="419">
        <f>Model!CC41</f>
        <v>0.87648989473514061</v>
      </c>
      <c r="CC194" s="782">
        <f>Model!CD41</f>
        <v>0.87337708367851352</v>
      </c>
      <c r="CD194" s="419">
        <f>Model!CE41</f>
        <v>0.87295958840326682</v>
      </c>
      <c r="CE194" s="419">
        <f>Model!CF41</f>
        <v>0.87955016110010775</v>
      </c>
      <c r="CF194" s="419">
        <f>Model!CG41</f>
        <v>0.87104157681874816</v>
      </c>
      <c r="CG194" s="419">
        <f>Model!CH41</f>
        <v>0.87746804910806608</v>
      </c>
      <c r="CH194" s="782">
        <f>Model!CI41</f>
        <v>0.87531460979619946</v>
      </c>
      <c r="CI194" s="419">
        <f>Model!CJ41</f>
        <v>0.88715344835630727</v>
      </c>
      <c r="CJ194" s="419">
        <f>Model!CK41</f>
        <v>0.88346832576898826</v>
      </c>
      <c r="CK194" s="419">
        <f>Model!CL41</f>
        <v>0.87566302215809277</v>
      </c>
      <c r="CL194" s="419">
        <f>Model!CM41</f>
        <v>0.88174202039869698</v>
      </c>
      <c r="CM194" s="782">
        <f>Model!CN41</f>
        <v>0.88188336378061971</v>
      </c>
      <c r="CN194" s="419">
        <f>Model!CO41</f>
        <v>0.89207398002722149</v>
      </c>
      <c r="CO194" s="419">
        <f>Model!CP41</f>
        <v>0.88844787083433119</v>
      </c>
      <c r="CP194" s="419">
        <f>Model!CQ41</f>
        <v>0.88080595815029761</v>
      </c>
      <c r="CQ194" s="419">
        <f>Model!CR41</f>
        <v>0.88686345564780045</v>
      </c>
      <c r="CR194" s="782">
        <f>Model!CS41</f>
        <v>0.88693110401402808</v>
      </c>
      <c r="CS194" s="419">
        <f>Model!CT41</f>
        <v>0.89725995424070781</v>
      </c>
      <c r="CT194" s="419">
        <f>Model!CU41</f>
        <v>0.89355041806769775</v>
      </c>
      <c r="CU194" s="419">
        <f>Model!CV41</f>
        <v>0.88609814376230267</v>
      </c>
      <c r="CV194" s="419">
        <f>Model!CW41</f>
        <v>0.89214596556062598</v>
      </c>
      <c r="CW194" s="782">
        <f>Model!CX41</f>
        <v>0.89216989674853209</v>
      </c>
      <c r="CZ194" s="201"/>
      <c r="DA194" s="200"/>
      <c r="DB194" s="200"/>
    </row>
    <row r="195" spans="1:106">
      <c r="A195" s="90" t="s">
        <v>554</v>
      </c>
      <c r="B195" s="419"/>
      <c r="C195" s="419"/>
      <c r="D195" s="419"/>
      <c r="E195" s="419"/>
      <c r="F195" s="782"/>
      <c r="G195" s="419">
        <f>Model!H68</f>
        <v>0.27131797413921821</v>
      </c>
      <c r="H195" s="419">
        <f>Model!I68</f>
        <v>0.30376954805126072</v>
      </c>
      <c r="I195" s="419">
        <f>Model!J68</f>
        <v>0.25628775725834485</v>
      </c>
      <c r="J195" s="419">
        <f>Model!K68</f>
        <v>0.28445906045735003</v>
      </c>
      <c r="K195" s="782">
        <f>Model!L68</f>
        <v>0.27980799939559825</v>
      </c>
      <c r="L195" s="419">
        <f>Model!M68</f>
        <v>0.2711665740413276</v>
      </c>
      <c r="M195" s="419">
        <f>Model!N68</f>
        <v>0.28568528109050234</v>
      </c>
      <c r="N195" s="419">
        <f>Model!O68</f>
        <v>0.28758907251772048</v>
      </c>
      <c r="O195" s="419">
        <f>Model!P68</f>
        <v>0.32114471842180115</v>
      </c>
      <c r="P195" s="782">
        <f>Model!Q68</f>
        <v>0.29264591052010847</v>
      </c>
      <c r="Q195" s="419">
        <f>Model!R68</f>
        <v>0.38570594947564379</v>
      </c>
      <c r="R195" s="419">
        <f>Model!S68</f>
        <v>0.34587707426509134</v>
      </c>
      <c r="S195" s="419">
        <f>Model!T68</f>
        <v>0.3475587855729193</v>
      </c>
      <c r="T195" s="419">
        <f>Model!U68</f>
        <v>0.34081098574628288</v>
      </c>
      <c r="U195" s="782">
        <f>Model!V68</f>
        <v>0.35509465186510575</v>
      </c>
      <c r="V195" s="419">
        <f>Model!W68</f>
        <v>0.36100337927855147</v>
      </c>
      <c r="W195" s="419">
        <f>Model!X68</f>
        <v>0.36732529751284693</v>
      </c>
      <c r="X195" s="419">
        <f>Model!Y68</f>
        <v>0.37694722599216895</v>
      </c>
      <c r="Y195" s="419">
        <f>Model!Z68</f>
        <v>0.37605976828620774</v>
      </c>
      <c r="Z195" s="782">
        <f>Model!AA68</f>
        <v>0.37045528171646447</v>
      </c>
      <c r="AA195" s="419">
        <f>Model!AB68</f>
        <v>0.38506402960892666</v>
      </c>
      <c r="AB195" s="419">
        <f>Model!AC68</f>
        <v>0.3825048469130829</v>
      </c>
      <c r="AC195" s="419">
        <f>Model!AD68</f>
        <v>0.3441582487948176</v>
      </c>
      <c r="AD195" s="419">
        <f>Model!AE68</f>
        <v>0.37229303331256641</v>
      </c>
      <c r="AE195" s="782">
        <f>Model!AF68</f>
        <v>0.37148448724420458</v>
      </c>
      <c r="AF195" s="419">
        <f>Model!AG68</f>
        <v>0.34265876407245394</v>
      </c>
      <c r="AG195" s="419">
        <f>Model!AH68</f>
        <v>0.37830297876678065</v>
      </c>
      <c r="AH195" s="419">
        <f>Model!AI68</f>
        <v>0.40021439826414895</v>
      </c>
      <c r="AI195" s="419">
        <f>Model!AJ68</f>
        <v>0.39748532447479229</v>
      </c>
      <c r="AJ195" s="782">
        <f>Model!AK68</f>
        <v>0.3824175135161838</v>
      </c>
      <c r="AK195" s="419">
        <f>Model!AL68</f>
        <v>0.40310294291056714</v>
      </c>
      <c r="AL195" s="419">
        <f>Model!AM68</f>
        <v>0.39422992357529602</v>
      </c>
      <c r="AM195" s="419">
        <f>Model!AN68</f>
        <v>0.39663705104608926</v>
      </c>
      <c r="AN195" s="419">
        <f>Model!AO68</f>
        <v>0.40955161198338036</v>
      </c>
      <c r="AO195" s="782">
        <f>Model!AP68</f>
        <v>0.40095097920633849</v>
      </c>
      <c r="AP195" s="419">
        <f>Model!AQ68</f>
        <v>0.375100141151337</v>
      </c>
      <c r="AQ195" s="419">
        <f>Model!AR68</f>
        <v>0.33731390304439085</v>
      </c>
      <c r="AR195" s="419">
        <f>Model!AS68</f>
        <v>0.33990913352840918</v>
      </c>
      <c r="AS195" s="419">
        <f>Model!AT68</f>
        <v>0.35018084388531101</v>
      </c>
      <c r="AT195" s="782">
        <f>Model!AU68</f>
        <v>0.35132302935686199</v>
      </c>
      <c r="AU195" s="419">
        <f>Model!AV68</f>
        <v>0.3368883195528124</v>
      </c>
      <c r="AV195" s="419">
        <f>Model!AW68</f>
        <v>0.3546697630522726</v>
      </c>
      <c r="AW195" s="419">
        <f>Model!AX68</f>
        <v>0.38870303407285939</v>
      </c>
      <c r="AX195" s="419">
        <f>Model!AY68</f>
        <v>0.38089143664442332</v>
      </c>
      <c r="AY195" s="782">
        <f>Model!AZ68</f>
        <v>0.36647631578947365</v>
      </c>
      <c r="AZ195" s="419">
        <f>Model!BA68</f>
        <v>0.38932340572109153</v>
      </c>
      <c r="BA195" s="419">
        <f>Model!BB68</f>
        <v>0.36790239049081341</v>
      </c>
      <c r="BB195" s="419">
        <f>Model!BC68</f>
        <v>0.36132813271062719</v>
      </c>
      <c r="BC195" s="419">
        <f>Model!BD68</f>
        <v>0.38585145652387115</v>
      </c>
      <c r="BD195" s="782">
        <f>Model!BE68</f>
        <v>0.37644873724520656</v>
      </c>
      <c r="BE195" s="419">
        <f>Model!BF68</f>
        <v>0.36985802032108067</v>
      </c>
      <c r="BF195" s="419">
        <f>Model!BG68</f>
        <v>0.35960457077199592</v>
      </c>
      <c r="BG195" s="419">
        <f>Model!BH68</f>
        <v>0.36277647189472312</v>
      </c>
      <c r="BH195" s="419">
        <f>Model!BI68</f>
        <v>0.35942685629272042</v>
      </c>
      <c r="BI195" s="782">
        <f>Model!BJ68</f>
        <v>0.36277002150702697</v>
      </c>
      <c r="BJ195" s="419">
        <f>Model!BK68</f>
        <v>0.23878504533805348</v>
      </c>
      <c r="BK195" s="419">
        <f>Model!BL68</f>
        <v>0.24471153798578782</v>
      </c>
      <c r="BL195" s="419">
        <f>Model!BM68</f>
        <v>0.22412093428022167</v>
      </c>
      <c r="BM195" s="419">
        <f>Model!BN68</f>
        <v>0.21540675377436277</v>
      </c>
      <c r="BN195" s="782">
        <f>Model!BO68</f>
        <v>0.23065811148045484</v>
      </c>
      <c r="BO195" s="419">
        <f>Model!BP68</f>
        <v>0.20493640763108417</v>
      </c>
      <c r="BP195" s="419">
        <f>Model!BQ68</f>
        <v>0.23435885145964094</v>
      </c>
      <c r="BQ195" s="419">
        <f>Model!BR68</f>
        <v>0.18886343766566649</v>
      </c>
      <c r="BR195" s="419">
        <f>Model!BS68</f>
        <v>0.2242576360627879</v>
      </c>
      <c r="BS195" s="782">
        <f>Model!BT68</f>
        <v>0.21361902936172938</v>
      </c>
      <c r="BT195" s="419">
        <f>Model!BU68</f>
        <v>0.26609904064350187</v>
      </c>
      <c r="BU195" s="419">
        <f>Model!BV68</f>
        <v>0.27460293695005322</v>
      </c>
      <c r="BV195" s="419">
        <f>Model!BW68</f>
        <v>0.2962091301463004</v>
      </c>
      <c r="BW195" s="419">
        <f>Model!BX68</f>
        <v>0.31399551746626603</v>
      </c>
      <c r="BX195" s="782">
        <f>Model!BY68</f>
        <v>0.28885409709205123</v>
      </c>
      <c r="BY195" s="419">
        <f>Model!BZ68</f>
        <v>0.31469817506243974</v>
      </c>
      <c r="BZ195" s="419">
        <f>Model!CA68</f>
        <v>0.33142276198980641</v>
      </c>
      <c r="CA195" s="419">
        <f>Model!CB68</f>
        <v>0.33548502117875612</v>
      </c>
      <c r="CB195" s="419">
        <f>Model!CC68</f>
        <v>0.36663021264981327</v>
      </c>
      <c r="CC195" s="782">
        <f>Model!CD68</f>
        <v>0.33815947923196626</v>
      </c>
      <c r="CD195" s="419">
        <f>Model!CE68</f>
        <v>0.36156658416813048</v>
      </c>
      <c r="CE195" s="419">
        <f>Model!CF68</f>
        <v>0.37197027406767896</v>
      </c>
      <c r="CF195" s="419">
        <f>Model!CG68</f>
        <v>0.38037688870735231</v>
      </c>
      <c r="CG195" s="419">
        <f>Model!CH68</f>
        <v>0.40183793939484541</v>
      </c>
      <c r="CH195" s="782">
        <f>Model!CI68</f>
        <v>0.37990208867897785</v>
      </c>
      <c r="CI195" s="419">
        <f>Model!CJ68</f>
        <v>0.41846136529695083</v>
      </c>
      <c r="CJ195" s="419">
        <f>Model!CK68</f>
        <v>0.4133884387365595</v>
      </c>
      <c r="CK195" s="419">
        <f>Model!CL68</f>
        <v>0.409998334046697</v>
      </c>
      <c r="CL195" s="419">
        <f>Model!CM68</f>
        <v>0.41188233831336962</v>
      </c>
      <c r="CM195" s="782">
        <f>Model!CN68</f>
        <v>0.4133092368701024</v>
      </c>
      <c r="CN195" s="419">
        <f>Model!CO68</f>
        <v>0.42988189696786505</v>
      </c>
      <c r="CO195" s="419">
        <f>Model!CP68</f>
        <v>0.42686798380190244</v>
      </c>
      <c r="CP195" s="419">
        <f>Model!CQ68</f>
        <v>0.42414127003890173</v>
      </c>
      <c r="CQ195" s="419">
        <f>Model!CR68</f>
        <v>0.42600377356247315</v>
      </c>
      <c r="CR195" s="782">
        <f>Model!CS68</f>
        <v>0.42664993139142909</v>
      </c>
      <c r="CS195" s="419">
        <f>Model!CT68</f>
        <v>0.43756787118135132</v>
      </c>
      <c r="CT195" s="419">
        <f>Model!CU68</f>
        <v>0.43947053103526895</v>
      </c>
      <c r="CU195" s="419">
        <f>Model!CV68</f>
        <v>0.43693345565090691</v>
      </c>
      <c r="CV195" s="419">
        <f>Model!CW68</f>
        <v>0.43878628347529874</v>
      </c>
      <c r="CW195" s="782">
        <f>Model!CX68</f>
        <v>0.43819578851298507</v>
      </c>
      <c r="CZ195" s="201"/>
      <c r="DA195" s="200"/>
      <c r="DB195" s="200"/>
    </row>
    <row r="196" spans="1:106" ht="5.25" customHeight="1">
      <c r="A196" s="114"/>
      <c r="B196" s="117"/>
      <c r="C196" s="117"/>
      <c r="D196" s="117"/>
      <c r="E196" s="117"/>
      <c r="F196" s="119"/>
      <c r="G196" s="117"/>
      <c r="H196" s="117"/>
      <c r="I196" s="117"/>
      <c r="J196" s="117"/>
      <c r="K196" s="119"/>
      <c r="L196" s="117"/>
      <c r="M196" s="117"/>
      <c r="N196" s="117"/>
      <c r="O196" s="117"/>
      <c r="P196" s="119"/>
      <c r="Q196" s="117"/>
      <c r="R196" s="117"/>
      <c r="S196" s="117"/>
      <c r="T196" s="117"/>
      <c r="U196" s="119"/>
      <c r="V196" s="117"/>
      <c r="W196" s="117"/>
      <c r="X196" s="117"/>
      <c r="Y196" s="117"/>
      <c r="Z196" s="119"/>
      <c r="AA196" s="117"/>
      <c r="AB196" s="117"/>
      <c r="AC196" s="117"/>
      <c r="AD196" s="117"/>
      <c r="AE196" s="119"/>
      <c r="AF196" s="117"/>
      <c r="AG196" s="117"/>
      <c r="AH196" s="117"/>
      <c r="AI196" s="117"/>
      <c r="AJ196" s="119"/>
      <c r="AK196" s="117"/>
      <c r="AL196" s="117"/>
      <c r="AM196" s="117"/>
      <c r="AN196" s="117"/>
      <c r="AO196" s="119"/>
      <c r="AP196" s="117"/>
      <c r="AQ196" s="117"/>
      <c r="AR196" s="117"/>
      <c r="AS196" s="117"/>
      <c r="AT196" s="119"/>
      <c r="AU196" s="117"/>
      <c r="AV196" s="117"/>
      <c r="AW196" s="117"/>
      <c r="AX196" s="117"/>
      <c r="AY196" s="119"/>
      <c r="AZ196" s="117"/>
      <c r="BA196" s="117"/>
      <c r="BB196" s="117"/>
      <c r="BC196" s="117"/>
      <c r="BD196" s="119"/>
      <c r="BE196" s="117"/>
      <c r="BF196" s="117"/>
      <c r="BG196" s="117"/>
      <c r="BH196" s="117"/>
      <c r="BI196" s="119"/>
      <c r="BJ196" s="117"/>
      <c r="BK196" s="117"/>
      <c r="BL196" s="117"/>
      <c r="BM196" s="117"/>
      <c r="BN196" s="119"/>
      <c r="BO196" s="117"/>
      <c r="BP196" s="117"/>
      <c r="BQ196" s="117"/>
      <c r="BR196" s="117"/>
      <c r="BS196" s="119"/>
      <c r="BT196" s="117"/>
      <c r="BU196" s="117"/>
      <c r="BV196" s="117"/>
      <c r="BW196" s="117"/>
      <c r="BX196" s="119"/>
      <c r="BY196" s="117"/>
      <c r="BZ196" s="117"/>
      <c r="CA196" s="117"/>
      <c r="CB196" s="117"/>
      <c r="CC196" s="119"/>
      <c r="CD196" s="117"/>
      <c r="CE196" s="117"/>
      <c r="CF196" s="117"/>
      <c r="CG196" s="117"/>
      <c r="CH196" s="119"/>
      <c r="CI196" s="117"/>
      <c r="CJ196" s="117"/>
      <c r="CK196" s="117"/>
      <c r="CL196" s="117"/>
      <c r="CM196" s="119"/>
      <c r="CN196" s="117"/>
      <c r="CO196" s="117"/>
      <c r="CP196" s="117"/>
      <c r="CQ196" s="117"/>
      <c r="CR196" s="119"/>
      <c r="CS196" s="117"/>
      <c r="CT196" s="117"/>
      <c r="CU196" s="117"/>
      <c r="CV196" s="117"/>
      <c r="CW196" s="119"/>
      <c r="CZ196" s="126"/>
      <c r="DA196" s="117"/>
      <c r="DB196" s="117"/>
    </row>
    <row r="197" spans="1:106">
      <c r="A197" s="90" t="s">
        <v>258</v>
      </c>
      <c r="B197" s="329"/>
      <c r="C197" s="329"/>
      <c r="D197" s="329"/>
      <c r="E197" s="329"/>
      <c r="F197" s="139"/>
      <c r="G197" s="329">
        <f>BS!H95</f>
        <v>48.930690454504727</v>
      </c>
      <c r="H197" s="329">
        <f>BS!I95</f>
        <v>38.492980347177799</v>
      </c>
      <c r="I197" s="329">
        <f>BS!J95</f>
        <v>46.416009077538178</v>
      </c>
      <c r="J197" s="329">
        <f>BS!K95</f>
        <v>36.080190664304574</v>
      </c>
      <c r="K197" s="139">
        <f>BS!L95</f>
        <v>36.508523439458514</v>
      </c>
      <c r="L197" s="329">
        <f>BS!M95</f>
        <v>41.684341265430547</v>
      </c>
      <c r="M197" s="329">
        <f>BS!N95</f>
        <v>36.832796599051683</v>
      </c>
      <c r="N197" s="329">
        <f>BS!O95</f>
        <v>31.083766553230429</v>
      </c>
      <c r="O197" s="329">
        <f>BS!P95</f>
        <v>37.232013380332759</v>
      </c>
      <c r="P197" s="139">
        <f>BS!Q95</f>
        <v>41.24622996426335</v>
      </c>
      <c r="Q197" s="329">
        <f>BS!R95</f>
        <v>26.506372244442815</v>
      </c>
      <c r="R197" s="329">
        <f>BS!S95</f>
        <v>23.509583379055563</v>
      </c>
      <c r="S197" s="329">
        <f>BS!T95</f>
        <v>24.99247299442921</v>
      </c>
      <c r="T197" s="329">
        <f>BS!U95</f>
        <v>30.156975404072625</v>
      </c>
      <c r="U197" s="139">
        <f>BS!V95</f>
        <v>31.087552900219066</v>
      </c>
      <c r="V197" s="329">
        <f>BS!W95</f>
        <v>26.697188727843312</v>
      </c>
      <c r="W197" s="329">
        <f>BS!X95</f>
        <v>31.673120422394661</v>
      </c>
      <c r="X197" s="329">
        <f>BS!Y95</f>
        <v>29.459211685306517</v>
      </c>
      <c r="Y197" s="329">
        <f>BS!Z95</f>
        <v>30.974734555842705</v>
      </c>
      <c r="Z197" s="139">
        <f>BS!AA95</f>
        <v>32.158749766696282</v>
      </c>
      <c r="AA197" s="329">
        <f>BS!AB95</f>
        <v>39.192181125834885</v>
      </c>
      <c r="AB197" s="329">
        <f>BS!AC95</f>
        <v>39.667419931513749</v>
      </c>
      <c r="AC197" s="329">
        <f>BS!AD95</f>
        <v>43.123315526137063</v>
      </c>
      <c r="AD197" s="329">
        <f>BS!AE95</f>
        <v>47.72876278081138</v>
      </c>
      <c r="AE197" s="139">
        <f>BS!AF95</f>
        <v>50.571768337669404</v>
      </c>
      <c r="AF197" s="329">
        <f>BS!AG95</f>
        <v>42.820996693906899</v>
      </c>
      <c r="AG197" s="329">
        <f>BS!AH95</f>
        <v>38.930536349699629</v>
      </c>
      <c r="AH197" s="329">
        <f>BS!AI95</f>
        <v>27.958615323018105</v>
      </c>
      <c r="AI197" s="329">
        <f>BS!AJ95</f>
        <v>31.85950482380041</v>
      </c>
      <c r="AJ197" s="139">
        <f>BS!AK95</f>
        <v>36.772419543358346</v>
      </c>
      <c r="AK197" s="329">
        <f>BS!AL95</f>
        <v>30.052976320828353</v>
      </c>
      <c r="AL197" s="329">
        <f>BS!AM95</f>
        <v>33.042507718015614</v>
      </c>
      <c r="AM197" s="329">
        <f>BS!AN95</f>
        <v>33.730094549831676</v>
      </c>
      <c r="AN197" s="329">
        <f>BS!AO95</f>
        <v>46.58041726164398</v>
      </c>
      <c r="AO197" s="139">
        <f>BS!AP95</f>
        <v>47.638463092012067</v>
      </c>
      <c r="AP197" s="329">
        <f>BS!AQ95</f>
        <v>34.816541410750396</v>
      </c>
      <c r="AQ197" s="329">
        <f>BS!AR95</f>
        <v>34.004520536475788</v>
      </c>
      <c r="AR197" s="329">
        <f>BS!AS95</f>
        <v>36.866854024404056</v>
      </c>
      <c r="AS197" s="329">
        <f>BS!AT95</f>
        <v>49.509508004273179</v>
      </c>
      <c r="AT197" s="139">
        <f>BS!AU95</f>
        <v>50.909137353425322</v>
      </c>
      <c r="AU197" s="329">
        <f>BS!AV95</f>
        <v>37.254164725748218</v>
      </c>
      <c r="AV197" s="329">
        <f>BS!AW95</f>
        <v>42.493151102557171</v>
      </c>
      <c r="AW197" s="329">
        <f>BS!AX95</f>
        <v>44.647419164935741</v>
      </c>
      <c r="AX197" s="329">
        <f>BS!AY95</f>
        <v>50.18367055377967</v>
      </c>
      <c r="AY197" s="139">
        <f>BS!AZ95</f>
        <v>53.244663157894735</v>
      </c>
      <c r="AZ197" s="329">
        <f>BS!BA95</f>
        <v>47.356404701344538</v>
      </c>
      <c r="BA197" s="329">
        <f>BS!BB95</f>
        <v>50.706682310719827</v>
      </c>
      <c r="BB197" s="329">
        <f>BS!BC95</f>
        <v>50.372429461948741</v>
      </c>
      <c r="BC197" s="329">
        <f>BS!BD95</f>
        <v>50.241707756120903</v>
      </c>
      <c r="BD197" s="139">
        <f>BS!BE95</f>
        <v>54.917451683459603</v>
      </c>
      <c r="BE197" s="329">
        <f>BS!BF95</f>
        <v>44.717144476760879</v>
      </c>
      <c r="BF197" s="329">
        <f>BS!BG95</f>
        <v>42.960533336772052</v>
      </c>
      <c r="BG197" s="329">
        <f>BS!BH95</f>
        <v>47.852753845157238</v>
      </c>
      <c r="BH197" s="329">
        <f>BS!BI95</f>
        <v>48.830539270765058</v>
      </c>
      <c r="BI197" s="139">
        <f>BS!BJ95</f>
        <v>51.159529865610033</v>
      </c>
      <c r="BJ197" s="329">
        <f>BS!BK95</f>
        <v>43.983062598164651</v>
      </c>
      <c r="BK197" s="329">
        <f>BS!BL95</f>
        <v>42.444497990696149</v>
      </c>
      <c r="BL197" s="329">
        <f>BS!BM95</f>
        <v>47.90363891152716</v>
      </c>
      <c r="BM197" s="329">
        <f>BS!BN95</f>
        <v>52.54260107766256</v>
      </c>
      <c r="BN197" s="139">
        <f>BS!BO95</f>
        <v>53.988000710192253</v>
      </c>
      <c r="BO197" s="329">
        <f>BS!BP95</f>
        <v>46.578174369075711</v>
      </c>
      <c r="BP197" s="329">
        <f>BS!BQ95</f>
        <v>45.40742650307805</v>
      </c>
      <c r="BQ197" s="329">
        <f>BS!BR95</f>
        <v>47.950837669048113</v>
      </c>
      <c r="BR197" s="329">
        <f>BS!BS95</f>
        <v>50.31243944069287</v>
      </c>
      <c r="BS197" s="139">
        <f>BS!BT95</f>
        <v>52.086716750280019</v>
      </c>
      <c r="BT197" s="329">
        <f>BS!BU95</f>
        <v>43.801655230300554</v>
      </c>
      <c r="BU197" s="329">
        <f>BS!BV95</f>
        <v>39.464342412993766</v>
      </c>
      <c r="BV197" s="329">
        <f>BS!BW95</f>
        <v>44.476289818750367</v>
      </c>
      <c r="BW197" s="329">
        <f>BS!BX95</f>
        <v>46.938426015229602</v>
      </c>
      <c r="BX197" s="139">
        <f>BS!BY95</f>
        <v>51.148290557565197</v>
      </c>
      <c r="BY197" s="329">
        <f>BS!BZ95</f>
        <v>39.52595629402856</v>
      </c>
      <c r="BZ197" s="329">
        <f>BS!CA95</f>
        <v>43.497010457500444</v>
      </c>
      <c r="CA197" s="329">
        <f>BS!CB95</f>
        <v>45.574044701827297</v>
      </c>
      <c r="CB197" s="329">
        <f>BS!CC95</f>
        <v>47.260235827853315</v>
      </c>
      <c r="CC197" s="139">
        <f>BS!CD95</f>
        <v>51.936233758025971</v>
      </c>
      <c r="CD197" s="329">
        <f>BS!CE95</f>
        <v>46.168545579747466</v>
      </c>
      <c r="CE197" s="329">
        <f>BS!CF95</f>
        <v>46.415731383203827</v>
      </c>
      <c r="CF197" s="329">
        <f>BS!CG95</f>
        <v>49.870110462697319</v>
      </c>
      <c r="CG197" s="329">
        <f>BS!CH95</f>
        <v>55.387150870006153</v>
      </c>
      <c r="CH197" s="139">
        <f>BS!CI95</f>
        <v>60.88584750678114</v>
      </c>
      <c r="CI197" s="329">
        <f>BS!CJ95</f>
        <v>46.644028202739179</v>
      </c>
      <c r="CJ197" s="329">
        <f>BS!CK95</f>
        <v>44.415731383203827</v>
      </c>
      <c r="CK197" s="329">
        <f>BS!CL95</f>
        <v>47.870110462697319</v>
      </c>
      <c r="CL197" s="329">
        <f>BS!CM95</f>
        <v>50.387150870006153</v>
      </c>
      <c r="CM197" s="139">
        <f>BS!CN95</f>
        <v>53.92174507684279</v>
      </c>
      <c r="CN197" s="329">
        <f>BS!CO95</f>
        <v>46.644028202739179</v>
      </c>
      <c r="CO197" s="329">
        <f>BS!CP95</f>
        <v>44.415731383203827</v>
      </c>
      <c r="CP197" s="329">
        <f>BS!CQ95</f>
        <v>47.870110462697319</v>
      </c>
      <c r="CQ197" s="329">
        <f>BS!CR95</f>
        <v>50.387150870006153</v>
      </c>
      <c r="CR197" s="139">
        <f>BS!CS95</f>
        <v>53.8911275926611</v>
      </c>
      <c r="CS197" s="329">
        <f>BS!CT95</f>
        <v>46.644028202739179</v>
      </c>
      <c r="CT197" s="329">
        <f>BS!CU95</f>
        <v>44.415731383203827</v>
      </c>
      <c r="CU197" s="329">
        <f>BS!CV95</f>
        <v>47.870110462697319</v>
      </c>
      <c r="CV197" s="329">
        <f>BS!CW95</f>
        <v>50.387150870006153</v>
      </c>
      <c r="CW197" s="139">
        <f>BS!CX95</f>
        <v>53.312969801828785</v>
      </c>
      <c r="CZ197" s="201"/>
      <c r="DA197" s="200"/>
      <c r="DB197" s="200"/>
    </row>
    <row r="198" spans="1:106" ht="5.25" customHeight="1">
      <c r="A198" s="114"/>
      <c r="B198" s="117"/>
      <c r="C198" s="117"/>
      <c r="D198" s="117"/>
      <c r="E198" s="117"/>
      <c r="F198" s="119"/>
      <c r="G198" s="117"/>
      <c r="H198" s="117"/>
      <c r="I198" s="117"/>
      <c r="J198" s="117"/>
      <c r="K198" s="119"/>
      <c r="L198" s="117"/>
      <c r="M198" s="117"/>
      <c r="N198" s="117"/>
      <c r="O198" s="117"/>
      <c r="P198" s="119"/>
      <c r="Q198" s="117"/>
      <c r="R198" s="117"/>
      <c r="S198" s="117"/>
      <c r="T198" s="117"/>
      <c r="U198" s="119"/>
      <c r="V198" s="117"/>
      <c r="W198" s="117"/>
      <c r="X198" s="117"/>
      <c r="Y198" s="117"/>
      <c r="Z198" s="119"/>
      <c r="AA198" s="117"/>
      <c r="AB198" s="117"/>
      <c r="AC198" s="117"/>
      <c r="AD198" s="117"/>
      <c r="AE198" s="119"/>
      <c r="AF198" s="117"/>
      <c r="AG198" s="117"/>
      <c r="AH198" s="117"/>
      <c r="AI198" s="117"/>
      <c r="AJ198" s="119"/>
      <c r="AK198" s="117"/>
      <c r="AL198" s="117"/>
      <c r="AM198" s="117"/>
      <c r="AN198" s="117"/>
      <c r="AO198" s="119"/>
      <c r="AP198" s="117"/>
      <c r="AQ198" s="117"/>
      <c r="AR198" s="117"/>
      <c r="AS198" s="117"/>
      <c r="AT198" s="119"/>
      <c r="AU198" s="117"/>
      <c r="AV198" s="117"/>
      <c r="AW198" s="117"/>
      <c r="AX198" s="117"/>
      <c r="AY198" s="119"/>
      <c r="AZ198" s="117"/>
      <c r="BA198" s="117"/>
      <c r="BB198" s="117"/>
      <c r="BC198" s="117"/>
      <c r="BD198" s="119"/>
      <c r="BE198" s="117"/>
      <c r="BF198" s="117"/>
      <c r="BG198" s="117"/>
      <c r="BH198" s="117"/>
      <c r="BI198" s="119"/>
      <c r="BJ198" s="117"/>
      <c r="BK198" s="117"/>
      <c r="BL198" s="117"/>
      <c r="BM198" s="117"/>
      <c r="BN198" s="119"/>
      <c r="BO198" s="117"/>
      <c r="BP198" s="117"/>
      <c r="BQ198" s="117"/>
      <c r="BR198" s="117"/>
      <c r="BS198" s="119"/>
      <c r="BT198" s="117"/>
      <c r="BU198" s="117"/>
      <c r="BV198" s="117"/>
      <c r="BW198" s="117"/>
      <c r="BX198" s="119"/>
      <c r="BY198" s="117"/>
      <c r="BZ198" s="117"/>
      <c r="CA198" s="117"/>
      <c r="CB198" s="117"/>
      <c r="CC198" s="119"/>
      <c r="CD198" s="117"/>
      <c r="CE198" s="117"/>
      <c r="CF198" s="117"/>
      <c r="CG198" s="117"/>
      <c r="CH198" s="119"/>
      <c r="CI198" s="117"/>
      <c r="CJ198" s="117"/>
      <c r="CK198" s="117"/>
      <c r="CL198" s="117"/>
      <c r="CM198" s="119"/>
      <c r="CN198" s="117"/>
      <c r="CO198" s="117"/>
      <c r="CP198" s="117"/>
      <c r="CQ198" s="117"/>
      <c r="CR198" s="119"/>
      <c r="CS198" s="117"/>
      <c r="CT198" s="117"/>
      <c r="CU198" s="117"/>
      <c r="CV198" s="117"/>
      <c r="CW198" s="119"/>
      <c r="CZ198" s="126"/>
      <c r="DA198" s="117"/>
      <c r="DB198" s="117"/>
    </row>
    <row r="199" spans="1:106">
      <c r="A199" s="90" t="s">
        <v>132</v>
      </c>
      <c r="B199" s="417"/>
      <c r="C199" s="417"/>
      <c r="D199" s="417"/>
      <c r="E199" s="417"/>
      <c r="F199" s="311"/>
      <c r="G199" s="417">
        <f>(BS!H14+BS!H22)/BS!H24</f>
        <v>9.2337732917686072E-2</v>
      </c>
      <c r="H199" s="417">
        <f>(BS!I14+BS!I22)/BS!I24</f>
        <v>4.6802240773172361E-2</v>
      </c>
      <c r="I199" s="417">
        <f>(BS!J14+BS!J22)/BS!J24</f>
        <v>5.6546377243151411E-2</v>
      </c>
      <c r="J199" s="417">
        <f>(BS!K14+BS!K22)/BS!K24</f>
        <v>4.0397105390781757E-2</v>
      </c>
      <c r="K199" s="311">
        <f>(BS!L14+BS!L22)/BS!L24</f>
        <v>4.0397105390781757E-2</v>
      </c>
      <c r="L199" s="417">
        <f>(BS!M14+BS!M22)/BS!M24</f>
        <v>5.6039954735616099E-2</v>
      </c>
      <c r="M199" s="417">
        <f>(BS!N14+BS!N22)/BS!N24</f>
        <v>5.3956648834913232E-2</v>
      </c>
      <c r="N199" s="417">
        <f>(BS!O14+BS!O22)/BS!O24</f>
        <v>5.4969726783345406E-2</v>
      </c>
      <c r="O199" s="417">
        <f>(BS!P14+BS!P22)/BS!P24</f>
        <v>3.8776369815664499E-2</v>
      </c>
      <c r="P199" s="311">
        <f>(BS!Q14+BS!Q22)/BS!Q24</f>
        <v>3.8776369815664499E-2</v>
      </c>
      <c r="Q199" s="417">
        <f>(BS!R14+BS!R22)/BS!R24</f>
        <v>3.8771367053974388E-2</v>
      </c>
      <c r="R199" s="417">
        <f>(BS!S14+BS!S22)/BS!S24</f>
        <v>3.8459385838429616E-2</v>
      </c>
      <c r="S199" s="417">
        <f>(BS!T14+BS!T22)/BS!T24</f>
        <v>4.2737481462196823E-2</v>
      </c>
      <c r="T199" s="417">
        <f>(BS!U14+BS!U22)/BS!U24</f>
        <v>3.7753391142389188E-2</v>
      </c>
      <c r="U199" s="311">
        <f>(BS!V14+BS!V22)/BS!V24</f>
        <v>3.7753391142389188E-2</v>
      </c>
      <c r="V199" s="417">
        <f>(BS!W14+BS!W22)/BS!W24</f>
        <v>4.1080925754071247E-2</v>
      </c>
      <c r="W199" s="417">
        <f>(BS!X14+BS!X22)/BS!X24</f>
        <v>4.2777678654031696E-2</v>
      </c>
      <c r="X199" s="417">
        <f>(BS!Y14+BS!Y22)/BS!Y24</f>
        <v>3.6351389989618489E-2</v>
      </c>
      <c r="Y199" s="417">
        <f>(BS!Z14+BS!Z22)/BS!Z24</f>
        <v>4.5286366719050598E-2</v>
      </c>
      <c r="Z199" s="311">
        <f>(BS!AA14+BS!AA22)/BS!AA24</f>
        <v>4.5286366719050598E-2</v>
      </c>
      <c r="AA199" s="417">
        <f>(BS!AB14+BS!AB22)/BS!AB24</f>
        <v>2.3674133228812837E-2</v>
      </c>
      <c r="AB199" s="417">
        <f>(BS!AC14+BS!AC22)/BS!AC24</f>
        <v>2.5488204459667804E-2</v>
      </c>
      <c r="AC199" s="417">
        <f>(BS!AD14+BS!AD22)/BS!AD24</f>
        <v>2.426066821627227E-2</v>
      </c>
      <c r="AD199" s="417">
        <f>(BS!AE14+BS!AE22)/BS!AE24</f>
        <v>1.8052055966848193E-2</v>
      </c>
      <c r="AE199" s="311">
        <f>(BS!AF14+BS!AF22)/BS!AF24</f>
        <v>1.8052055966848193E-2</v>
      </c>
      <c r="AF199" s="417">
        <f>(BS!AG14+BS!AG22)/BS!AG24</f>
        <v>1.7812114256601758E-2</v>
      </c>
      <c r="AG199" s="417">
        <f>(BS!AH14+BS!AH22)/BS!AH24</f>
        <v>2.3944625354610997E-2</v>
      </c>
      <c r="AH199" s="417">
        <f>(BS!AI14+BS!AI22)/BS!AI24</f>
        <v>2.5231974595783857E-2</v>
      </c>
      <c r="AI199" s="417">
        <f>(BS!AJ14+BS!AJ22)/BS!AJ24</f>
        <v>2.4121761127987768E-2</v>
      </c>
      <c r="AJ199" s="311">
        <f>(BS!AK14+BS!AK22)/BS!AK24</f>
        <v>2.4121761127987768E-2</v>
      </c>
      <c r="AK199" s="417">
        <f>(BS!AL14+BS!AL22)/BS!AL24</f>
        <v>2.8892128874884595E-2</v>
      </c>
      <c r="AL199" s="417">
        <f>(BS!AM14+BS!AM22)/BS!AM24</f>
        <v>3.1375442571510571E-2</v>
      </c>
      <c r="AM199" s="417">
        <f>(BS!AN14+BS!AN22)/BS!AN24</f>
        <v>4.9114786078474852E-2</v>
      </c>
      <c r="AN199" s="417">
        <f>(BS!AO14+BS!AO22)/BS!AO24</f>
        <v>5.3017745299486503E-2</v>
      </c>
      <c r="AO199" s="311">
        <f>(BS!AP14+BS!AP22)/BS!AP24</f>
        <v>5.3017745299486503E-2</v>
      </c>
      <c r="AP199" s="417">
        <f>(BS!AQ14+BS!AQ22)/BS!AQ24</f>
        <v>5.1170460744928828E-2</v>
      </c>
      <c r="AQ199" s="417">
        <f>(BS!AR14+BS!AR22)/BS!AR24</f>
        <v>4.5778969927000555E-2</v>
      </c>
      <c r="AR199" s="417">
        <f>(BS!AS14+BS!AS22)/BS!AS24</f>
        <v>4.4483357821924342E-2</v>
      </c>
      <c r="AS199" s="417">
        <f>(BS!AT14+BS!AT22)/BS!AT24</f>
        <v>3.7503829684836412E-2</v>
      </c>
      <c r="AT199" s="311">
        <f>(BS!AU14+BS!AU22)/BS!AU24</f>
        <v>3.7503829684836412E-2</v>
      </c>
      <c r="AU199" s="417">
        <f>(BS!AV14+BS!AV22)/BS!AV24</f>
        <v>3.5206868562123253E-2</v>
      </c>
      <c r="AV199" s="417">
        <f>(BS!AW14+BS!AW22)/BS!AW24</f>
        <v>3.7669738879977863E-2</v>
      </c>
      <c r="AW199" s="417">
        <f>(BS!AX14+BS!AX22)/BS!AX24</f>
        <v>3.4510003675587438E-2</v>
      </c>
      <c r="AX199" s="417">
        <f>(BS!AY14+BS!AY22)/BS!AY24</f>
        <v>3.4433841517191435E-2</v>
      </c>
      <c r="AY199" s="311">
        <f>(BS!AZ14+BS!AZ22)/BS!AZ24</f>
        <v>3.4433841517191435E-2</v>
      </c>
      <c r="AZ199" s="417">
        <f>(BS!BA14+BS!BA22)/BS!BA24</f>
        <v>3.3511696235775011E-2</v>
      </c>
      <c r="BA199" s="417">
        <f>(BS!BB14+BS!BB22)/BS!BB24</f>
        <v>3.468355517142311E-2</v>
      </c>
      <c r="BB199" s="417">
        <f>(BS!BC14+BS!BC22)/BS!BC24</f>
        <v>3.2587058291311262E-2</v>
      </c>
      <c r="BC199" s="417">
        <f>(BS!BD14+BS!BD22)/BS!BD24</f>
        <v>2.4840446468501417E-2</v>
      </c>
      <c r="BD199" s="311">
        <f>(BS!BE14+BS!BE22)/BS!BE24</f>
        <v>2.4840446468501417E-2</v>
      </c>
      <c r="BE199" s="417">
        <f>(BS!BF14+BS!BF22)/BS!BF24</f>
        <v>2.6711025908197225E-2</v>
      </c>
      <c r="BF199" s="417">
        <f>(BS!BG14+BS!BG22)/BS!BG24</f>
        <v>2.7228120256694754E-2</v>
      </c>
      <c r="BG199" s="417">
        <f>(BS!BH14+BS!BH22)/BS!BH24</f>
        <v>2.3761961692055866E-2</v>
      </c>
      <c r="BH199" s="417">
        <f>(BS!BI14+BS!BI22)/BS!BI24</f>
        <v>2.1009926990994958E-2</v>
      </c>
      <c r="BI199" s="311">
        <f>(BS!BJ14+BS!BJ22)/BS!BJ24</f>
        <v>2.1009926990994958E-2</v>
      </c>
      <c r="BJ199" s="417">
        <f>(BS!BK14+BS!BK22)/BS!BK24</f>
        <v>2.5476132461369403E-2</v>
      </c>
      <c r="BK199" s="417">
        <f>(BS!BL14+BS!BL22)/BS!BL24</f>
        <v>2.5344031911695007E-2</v>
      </c>
      <c r="BL199" s="417">
        <f>(BS!BM14+BS!BM22)/BS!BM24</f>
        <v>2.3728581037850121E-2</v>
      </c>
      <c r="BM199" s="417">
        <f>(BS!BN14+BS!BN22)/BS!BN24</f>
        <v>2.5069704164562518E-2</v>
      </c>
      <c r="BN199" s="311">
        <f>(BS!BO14+BS!BO22)/BS!BO24</f>
        <v>2.5069704164562518E-2</v>
      </c>
      <c r="BO199" s="417">
        <f>(BS!BP14+BS!BP22)/BS!BP24</f>
        <v>2.9396493147198065E-2</v>
      </c>
      <c r="BP199" s="417">
        <f>(BS!BQ14+BS!BQ22)/BS!BQ24</f>
        <v>2.7201367810239668E-2</v>
      </c>
      <c r="BQ199" s="417">
        <f>(BS!BR14+BS!BR22)/BS!BR24</f>
        <v>2.4922048318607008E-2</v>
      </c>
      <c r="BR199" s="417">
        <f>(BS!BS14+BS!BS22)/BS!BS24</f>
        <v>2.8006470341779006E-2</v>
      </c>
      <c r="BS199" s="311">
        <f>(BS!BT14+BS!BT22)/BS!BT24</f>
        <v>2.8006470341779006E-2</v>
      </c>
      <c r="BT199" s="417">
        <f>(BS!BU14+BS!BU22)/BS!BU24</f>
        <v>3.1654037245301823E-2</v>
      </c>
      <c r="BU199" s="417">
        <f>(BS!BV14+BS!BV22)/BS!BV24</f>
        <v>3.0495416055141146E-2</v>
      </c>
      <c r="BV199" s="417">
        <f>(BS!BW14+BS!BW22)/BS!BW24</f>
        <v>2.8396487955097131E-2</v>
      </c>
      <c r="BW199" s="417">
        <f>(BS!BX14+BS!BX22)/BS!BX24</f>
        <v>2.7428027798983363E-2</v>
      </c>
      <c r="BX199" s="311">
        <f>(BS!BY14+BS!BY22)/BS!BY24</f>
        <v>2.7428027798983363E-2</v>
      </c>
      <c r="BY199" s="417">
        <f>(BS!BZ14+BS!BZ22)/BS!BZ24</f>
        <v>3.5016990451623403E-2</v>
      </c>
      <c r="BZ199" s="417">
        <f>(BS!CA14+BS!CA22)/BS!CA24</f>
        <v>3.4082131114222133E-2</v>
      </c>
      <c r="CA199" s="417">
        <f>(BS!CB14+BS!CB22)/BS!CB24</f>
        <v>3.3192315208942579E-2</v>
      </c>
      <c r="CB199" s="417">
        <f>(BS!CC14+BS!CC22)/BS!CC24</f>
        <v>3.1100610256585403E-2</v>
      </c>
      <c r="CC199" s="311">
        <f>(BS!CD14+BS!CD22)/BS!CD24</f>
        <v>3.1100610256585403E-2</v>
      </c>
      <c r="CD199" s="417">
        <f>(BS!CE14+BS!CE22)/BS!CE24</f>
        <v>3.0769388804704537E-2</v>
      </c>
      <c r="CE199" s="417">
        <f>(BS!CF14+BS!CF22)/BS!CF24</f>
        <v>2.7332041392004423E-2</v>
      </c>
      <c r="CF199" s="417">
        <f>(BS!CG14+BS!CG22)/BS!CG24</f>
        <v>2.5240143052165428E-2</v>
      </c>
      <c r="CG199" s="417">
        <f>(BS!CH14+BS!CH22)/BS!CH24</f>
        <v>2.432786196826596E-2</v>
      </c>
      <c r="CH199" s="311">
        <f>(BS!CI14+BS!CI22)/BS!CI24</f>
        <v>2.432786196826596E-2</v>
      </c>
      <c r="CI199" s="417">
        <f>(BS!CJ14+BS!CJ22)/BS!CJ24</f>
        <v>2.8303497816306623E-2</v>
      </c>
      <c r="CJ199" s="417">
        <f>(BS!CK14+BS!CK22)/BS!CK24</f>
        <v>2.8468430138327758E-2</v>
      </c>
      <c r="CK199" s="417">
        <f>(BS!CL14+BS!CL22)/BS!CL24</f>
        <v>2.6313306409860567E-2</v>
      </c>
      <c r="CL199" s="417">
        <f>(BS!CM14+BS!CM22)/BS!CM24</f>
        <v>2.4240336810868384E-2</v>
      </c>
      <c r="CM199" s="311">
        <f>(BS!CN14+BS!CN22)/BS!CN24</f>
        <v>2.4240336810868384E-2</v>
      </c>
      <c r="CN199" s="417">
        <f>(BS!CO14+BS!CO22)/BS!CO24</f>
        <v>3.0077484090350066E-2</v>
      </c>
      <c r="CO199" s="417">
        <f>(BS!CP14+BS!CP22)/BS!CP24</f>
        <v>3.065820192097678E-2</v>
      </c>
      <c r="CP199" s="417">
        <f>(BS!CQ14+BS!CQ22)/BS!CQ24</f>
        <v>2.8559967355079579E-2</v>
      </c>
      <c r="CQ199" s="417">
        <f>(BS!CR14+BS!CR22)/BS!CR24</f>
        <v>2.6479653902023084E-2</v>
      </c>
      <c r="CR199" s="311">
        <f>(BS!CS14+BS!CS22)/BS!CS24</f>
        <v>2.6479653902023084E-2</v>
      </c>
      <c r="CS199" s="417">
        <f>(BS!CT14+BS!CT22)/BS!CT24</f>
        <v>3.0084811974267451E-2</v>
      </c>
      <c r="CT199" s="417">
        <f>(BS!CU14+BS!CU22)/BS!CU24</f>
        <v>3.0443922773227827E-2</v>
      </c>
      <c r="CU199" s="417">
        <f>(BS!CV14+BS!CV22)/BS!CV24</f>
        <v>2.815248705877799E-2</v>
      </c>
      <c r="CV199" s="417">
        <f>(BS!CW14+BS!CW22)/BS!CW24</f>
        <v>2.593974534974558E-2</v>
      </c>
      <c r="CW199" s="311">
        <f>(BS!CX14+BS!CX22)/BS!CX24</f>
        <v>2.593974534974558E-2</v>
      </c>
      <c r="CZ199" s="201"/>
      <c r="DA199" s="200"/>
      <c r="DB199" s="200"/>
    </row>
    <row r="200" spans="1:106">
      <c r="A200" s="90" t="s">
        <v>133</v>
      </c>
      <c r="B200" s="417"/>
      <c r="C200" s="417"/>
      <c r="D200" s="417"/>
      <c r="E200" s="417"/>
      <c r="F200" s="311"/>
      <c r="G200" s="417">
        <f>(BS!H30+BS!H41)/BS!H43</f>
        <v>0.41225106596855848</v>
      </c>
      <c r="H200" s="417">
        <f>(BS!I30+BS!I41)/BS!I43</f>
        <v>0.38489387112221413</v>
      </c>
      <c r="I200" s="417">
        <f>(BS!J30+BS!J41)/BS!J43</f>
        <v>0.4541408960627546</v>
      </c>
      <c r="J200" s="417">
        <f>(BS!K30+BS!K41)/BS!K43</f>
        <v>0.45935874091213902</v>
      </c>
      <c r="K200" s="311">
        <f>(BS!L30+BS!L41)/BS!L43</f>
        <v>0.45935874091213902</v>
      </c>
      <c r="L200" s="417">
        <f>(BS!M30+BS!M41)/BS!M43</f>
        <v>0.45646237941792733</v>
      </c>
      <c r="M200" s="417">
        <f>(BS!N30+BS!N41)/BS!N43</f>
        <v>0.44253799107668923</v>
      </c>
      <c r="N200" s="417">
        <f>(BS!O30+BS!O41)/BS!O43</f>
        <v>0.47523078923416984</v>
      </c>
      <c r="O200" s="417">
        <f>(BS!P30+BS!P41)/BS!P43</f>
        <v>0.42594635053770546</v>
      </c>
      <c r="P200" s="311">
        <f>(BS!Q30+BS!Q41)/BS!Q43</f>
        <v>0.42594635053770546</v>
      </c>
      <c r="Q200" s="417">
        <f>(BS!R30+BS!R41)/BS!R43</f>
        <v>0.39104303175801974</v>
      </c>
      <c r="R200" s="417">
        <f>(BS!S30+BS!S41)/BS!S43</f>
        <v>0.32757738253251922</v>
      </c>
      <c r="S200" s="417">
        <f>(BS!T30+BS!T41)/BS!T43</f>
        <v>0.36720990926205738</v>
      </c>
      <c r="T200" s="417">
        <f>(BS!U30+BS!U41)/BS!U43</f>
        <v>0.28169595724603153</v>
      </c>
      <c r="U200" s="311">
        <f>(BS!V30+BS!V41)/BS!V43</f>
        <v>0.28169595724603153</v>
      </c>
      <c r="V200" s="417">
        <f>(BS!W30+BS!W41)/BS!W43</f>
        <v>0.39542193097773182</v>
      </c>
      <c r="W200" s="417">
        <f>(BS!X30+BS!X41)/BS!X43</f>
        <v>0.37580466994248279</v>
      </c>
      <c r="X200" s="417">
        <f>(BS!Y30+BS!Y41)/BS!Y43</f>
        <v>0.34022274495474297</v>
      </c>
      <c r="Y200" s="417">
        <f>(BS!Z30+BS!Z41)/BS!Z43</f>
        <v>0.28054702433553413</v>
      </c>
      <c r="Z200" s="311">
        <f>(BS!AA30+BS!AA41)/BS!AA43</f>
        <v>0.28054702433553413</v>
      </c>
      <c r="AA200" s="417">
        <f>(BS!AB30+BS!AB41)/BS!AB43</f>
        <v>0.25328876146188017</v>
      </c>
      <c r="AB200" s="417">
        <f>(BS!AC30+BS!AC41)/BS!AC43</f>
        <v>0.25805897017106511</v>
      </c>
      <c r="AC200" s="417">
        <f>(BS!AD30+BS!AD41)/BS!AD43</f>
        <v>0.27525651870104073</v>
      </c>
      <c r="AD200" s="417">
        <f>(BS!AE30+BS!AE41)/BS!AE43</f>
        <v>0.27099744957913702</v>
      </c>
      <c r="AE200" s="311">
        <f>(BS!AF30+BS!AF41)/BS!AF43</f>
        <v>0.27099744957913702</v>
      </c>
      <c r="AF200" s="417">
        <f>(BS!AG30+BS!AG41)/BS!AG43</f>
        <v>0.2886790627916529</v>
      </c>
      <c r="AG200" s="417">
        <f>(BS!AH30+BS!AH41)/BS!AH43</f>
        <v>0.22246412340718347</v>
      </c>
      <c r="AH200" s="417">
        <f>(BS!AI30+BS!AI41)/BS!AI43</f>
        <v>0.28597338292654972</v>
      </c>
      <c r="AI200" s="417">
        <f>(BS!AJ30+BS!AJ41)/BS!AJ43</f>
        <v>0.23990196456321675</v>
      </c>
      <c r="AJ200" s="311">
        <f>(BS!AK30+BS!AK41)/BS!AK43</f>
        <v>0.23990196456321675</v>
      </c>
      <c r="AK200" s="417">
        <f>(BS!AL30+BS!AL41)/BS!AL43</f>
        <v>5.7017156039196965E-2</v>
      </c>
      <c r="AL200" s="417">
        <f>(BS!AM30+BS!AM41)/BS!AM43</f>
        <v>5.4129571195131572E-2</v>
      </c>
      <c r="AM200" s="417">
        <f>(BS!AN30+BS!AN41)/BS!AN43</f>
        <v>5.9773946033639815E-2</v>
      </c>
      <c r="AN200" s="417">
        <f>(BS!AO30+BS!AO41)/BS!AO43</f>
        <v>6.3493626899388048E-2</v>
      </c>
      <c r="AO200" s="311">
        <f>(BS!AP30+BS!AP41)/BS!AP43</f>
        <v>6.3493626899388048E-2</v>
      </c>
      <c r="AP200" s="417">
        <f>(BS!AQ30+BS!AQ41)/BS!AQ43</f>
        <v>6.202034414573078E-2</v>
      </c>
      <c r="AQ200" s="417">
        <f>(BS!AR30+BS!AR41)/BS!AR43</f>
        <v>4.1157706002356846E-2</v>
      </c>
      <c r="AR200" s="417">
        <f>(BS!AS30+BS!AS41)/BS!AS43</f>
        <v>4.6411477968316288E-2</v>
      </c>
      <c r="AS200" s="417">
        <f>(BS!AT30+BS!AT41)/BS!AT43</f>
        <v>4.9677442823400725E-2</v>
      </c>
      <c r="AT200" s="311">
        <f>(BS!AU30+BS!AU41)/BS!AU43</f>
        <v>4.9677442823400725E-2</v>
      </c>
      <c r="AU200" s="417">
        <f>(BS!AV30+BS!AV41)/BS!AV43</f>
        <v>7.4916472848583215E-2</v>
      </c>
      <c r="AV200" s="417">
        <f>(BS!AW30+BS!AW41)/BS!AW43</f>
        <v>4.4914814353845027E-2</v>
      </c>
      <c r="AW200" s="417">
        <f>(BS!AX30+BS!AX41)/BS!AX43</f>
        <v>3.389734575607118E-2</v>
      </c>
      <c r="AX200" s="417">
        <f>(BS!AY30+BS!AY41)/BS!AY43</f>
        <v>3.8017662333434274E-2</v>
      </c>
      <c r="AY200" s="311">
        <f>(BS!AZ30+BS!AZ41)/BS!AZ43</f>
        <v>3.8017662333434274E-2</v>
      </c>
      <c r="AZ200" s="417">
        <f>(BS!BA30+BS!BA41)/BS!BA43</f>
        <v>4.0242430797572094E-2</v>
      </c>
      <c r="BA200" s="417">
        <f>(BS!BB30+BS!BB41)/BS!BB43</f>
        <v>3.3134246302326441E-2</v>
      </c>
      <c r="BB200" s="417">
        <f>(BS!BC30+BS!BC41)/BS!BC43</f>
        <v>4.052308112537558E-2</v>
      </c>
      <c r="BC200" s="417">
        <f>(BS!BD30+BS!BD41)/BS!BD43</f>
        <v>5.6699510920896375E-2</v>
      </c>
      <c r="BD200" s="311">
        <f>(BS!BE30+BS!BE41)/BS!BE43</f>
        <v>5.6699510920896375E-2</v>
      </c>
      <c r="BE200" s="417">
        <f>(BS!BF30+BS!BF41)/BS!BF43</f>
        <v>4.279835469421301E-2</v>
      </c>
      <c r="BF200" s="417">
        <f>(BS!BG30+BS!BG41)/BS!BG43</f>
        <v>4.1775636782473508E-2</v>
      </c>
      <c r="BG200" s="417">
        <f>(BS!BH30+BS!BH41)/BS!BH43</f>
        <v>3.3899138914305051E-2</v>
      </c>
      <c r="BH200" s="417">
        <f>(BS!BI30+BS!BI41)/BS!BI43</f>
        <v>3.6720301715658793E-2</v>
      </c>
      <c r="BI200" s="311">
        <f>(BS!BJ30+BS!BJ41)/BS!BJ43</f>
        <v>3.6720301715658793E-2</v>
      </c>
      <c r="BJ200" s="417">
        <f>(BS!BK30+BS!BK41)/BS!BK43</f>
        <v>2.9197353984215444E-2</v>
      </c>
      <c r="BK200" s="417">
        <f>(BS!BL30+BS!BL41)/BS!BL43</f>
        <v>2.8640942754797317E-2</v>
      </c>
      <c r="BL200" s="417">
        <f>(BS!BM30+BS!BM41)/BS!BM43</f>
        <v>2.2824342081845691E-2</v>
      </c>
      <c r="BM200" s="417">
        <f>(BS!BN30+BS!BN41)/BS!BN43</f>
        <v>2.343349935880322E-2</v>
      </c>
      <c r="BN200" s="311">
        <f>(BS!BO30+BS!BO41)/BS!BO43</f>
        <v>2.343349935880322E-2</v>
      </c>
      <c r="BO200" s="417">
        <f>(BS!BP30+BS!BP41)/BS!BP43</f>
        <v>2.6779099526574833E-2</v>
      </c>
      <c r="BP200" s="417">
        <f>(BS!BQ30+BS!BQ41)/BS!BQ43</f>
        <v>2.6004260421689119E-2</v>
      </c>
      <c r="BQ200" s="417">
        <f>(BS!BR30+BS!BR41)/BS!BR43</f>
        <v>2.3114910084466912E-2</v>
      </c>
      <c r="BR200" s="417">
        <f>(BS!BS30+BS!BS41)/BS!BS43</f>
        <v>2.9921015959404721E-2</v>
      </c>
      <c r="BS200" s="311">
        <f>(BS!BT30+BS!BT41)/BS!BT43</f>
        <v>2.9921015959404721E-2</v>
      </c>
      <c r="BT200" s="417">
        <f>(BS!BU30+BS!BU41)/BS!BU43</f>
        <v>2.3742352472121798E-2</v>
      </c>
      <c r="BU200" s="417">
        <f>(BS!BV30+BS!BV41)/BS!BV43</f>
        <v>3.2205484624435808E-2</v>
      </c>
      <c r="BV200" s="417">
        <f>(BS!BW30+BS!BW41)/BS!BW43</f>
        <v>3.4296515817335227E-2</v>
      </c>
      <c r="BW200" s="417">
        <f>(BS!BX30+BS!BX41)/BS!BX43</f>
        <v>2.0393693654796766E-2</v>
      </c>
      <c r="BX200" s="311">
        <f>(BS!BY30+BS!BY41)/BS!BY43</f>
        <v>2.0393693654796766E-2</v>
      </c>
      <c r="BY200" s="417">
        <f>(BS!BZ30+BS!BZ41)/BS!BZ43</f>
        <v>2.0643632618139833E-2</v>
      </c>
      <c r="BZ200" s="417">
        <f>(BS!CA30+BS!CA41)/BS!CA43</f>
        <v>2.2689230566091519E-2</v>
      </c>
      <c r="CA200" s="417">
        <f>(BS!CB30+BS!CB41)/BS!CB43</f>
        <v>2.1732411565391067E-2</v>
      </c>
      <c r="CB200" s="417">
        <f>(BS!CC30+BS!CC41)/BS!CC43</f>
        <v>2.5702163781958502E-2</v>
      </c>
      <c r="CC200" s="311">
        <f>(BS!CD30+BS!CD41)/BS!CD43</f>
        <v>2.5702163781958502E-2</v>
      </c>
      <c r="CD200" s="417">
        <f>(BS!CE30+BS!CE41)/BS!CE43</f>
        <v>2.2373885489121975E-2</v>
      </c>
      <c r="CE200" s="417">
        <f>(BS!CF30+BS!CF41)/BS!CF43</f>
        <v>3.7934313534027396E-2</v>
      </c>
      <c r="CF200" s="417">
        <f>(BS!CG30+BS!CG41)/BS!CG43</f>
        <v>2.9702699315125689E-2</v>
      </c>
      <c r="CG200" s="417">
        <f>(BS!CH30+BS!CH41)/BS!CH43</f>
        <v>2.2941273966219793E-2</v>
      </c>
      <c r="CH200" s="311">
        <f>(BS!CI30+BS!CI41)/BS!CI43</f>
        <v>2.2941273966219793E-2</v>
      </c>
      <c r="CI200" s="417">
        <f>(BS!CJ30+BS!CJ41)/BS!CJ43</f>
        <v>2.5216197538685099E-2</v>
      </c>
      <c r="CJ200" s="417">
        <f>(BS!CK30+BS!CK41)/BS!CK43</f>
        <v>2.4991067874510012E-2</v>
      </c>
      <c r="CK200" s="417">
        <f>(BS!CL30+BS!CL41)/BS!CL43</f>
        <v>2.4465750982297318E-2</v>
      </c>
      <c r="CL200" s="417">
        <f>(BS!CM30+BS!CM41)/BS!CM43</f>
        <v>2.3120359133552894E-2</v>
      </c>
      <c r="CM200" s="311">
        <f>(BS!CN30+BS!CN41)/BS!CN43</f>
        <v>2.3120359133552894E-2</v>
      </c>
      <c r="CN200" s="417">
        <f>(BS!CO30+BS!CO41)/BS!CO43</f>
        <v>2.2703645775863836E-2</v>
      </c>
      <c r="CO200" s="417">
        <f>(BS!CP30+BS!CP41)/BS!CP43</f>
        <v>2.261836118171592E-2</v>
      </c>
      <c r="CP200" s="417">
        <f>(BS!CQ30+BS!CQ41)/BS!CQ43</f>
        <v>2.2092050295568936E-2</v>
      </c>
      <c r="CQ200" s="417">
        <f>(BS!CR30+BS!CR41)/BS!CR43</f>
        <v>2.081599269187057E-2</v>
      </c>
      <c r="CR200" s="311">
        <f>(BS!CS30+BS!CS41)/BS!CS43</f>
        <v>2.081599269187057E-2</v>
      </c>
      <c r="CS200" s="417">
        <f>(BS!CT30+BS!CT41)/BS!CT43</f>
        <v>2.0468111970391587E-2</v>
      </c>
      <c r="CT200" s="417">
        <f>(BS!CU30+BS!CU41)/BS!CU43</f>
        <v>2.0465944298359587E-2</v>
      </c>
      <c r="CU200" s="417">
        <f>(BS!CV30+BS!CV41)/BS!CV43</f>
        <v>2.0051918054111051E-2</v>
      </c>
      <c r="CV200" s="417">
        <f>(BS!CW30+BS!CW41)/BS!CW43</f>
        <v>1.893013559156765E-2</v>
      </c>
      <c r="CW200" s="311">
        <f>(BS!CX30+BS!CX41)/BS!CX43</f>
        <v>1.893013559156765E-2</v>
      </c>
      <c r="CZ200" s="201"/>
      <c r="DA200" s="200"/>
      <c r="DB200" s="200"/>
    </row>
    <row r="201" spans="1:106" ht="5.25" customHeight="1">
      <c r="A201" s="114"/>
      <c r="B201" s="117"/>
      <c r="C201" s="117"/>
      <c r="D201" s="117"/>
      <c r="E201" s="117"/>
      <c r="F201" s="119"/>
      <c r="G201" s="117"/>
      <c r="H201" s="117"/>
      <c r="I201" s="117"/>
      <c r="J201" s="117"/>
      <c r="K201" s="119"/>
      <c r="L201" s="117"/>
      <c r="M201" s="117"/>
      <c r="N201" s="117"/>
      <c r="O201" s="117"/>
      <c r="P201" s="119"/>
      <c r="Q201" s="117"/>
      <c r="R201" s="117"/>
      <c r="S201" s="117"/>
      <c r="T201" s="117"/>
      <c r="U201" s="119"/>
      <c r="V201" s="117"/>
      <c r="W201" s="117"/>
      <c r="X201" s="117"/>
      <c r="Y201" s="117"/>
      <c r="Z201" s="119"/>
      <c r="AA201" s="117"/>
      <c r="AB201" s="117"/>
      <c r="AC201" s="117"/>
      <c r="AD201" s="117"/>
      <c r="AE201" s="119"/>
      <c r="AF201" s="117"/>
      <c r="AG201" s="117"/>
      <c r="AH201" s="117"/>
      <c r="AI201" s="117"/>
      <c r="AJ201" s="119"/>
      <c r="AK201" s="117"/>
      <c r="AL201" s="117"/>
      <c r="AM201" s="117"/>
      <c r="AN201" s="117"/>
      <c r="AO201" s="119"/>
      <c r="AP201" s="117"/>
      <c r="AQ201" s="117"/>
      <c r="AR201" s="117"/>
      <c r="AS201" s="117"/>
      <c r="AT201" s="119"/>
      <c r="AU201" s="117"/>
      <c r="AV201" s="117"/>
      <c r="AW201" s="117"/>
      <c r="AX201" s="117"/>
      <c r="AY201" s="119"/>
      <c r="AZ201" s="117"/>
      <c r="BA201" s="117"/>
      <c r="BB201" s="117"/>
      <c r="BC201" s="117"/>
      <c r="BD201" s="119"/>
      <c r="BE201" s="117"/>
      <c r="BF201" s="117"/>
      <c r="BG201" s="117"/>
      <c r="BH201" s="117"/>
      <c r="BI201" s="119"/>
      <c r="BJ201" s="117"/>
      <c r="BK201" s="117"/>
      <c r="BL201" s="117"/>
      <c r="BM201" s="117"/>
      <c r="BN201" s="119"/>
      <c r="BO201" s="117"/>
      <c r="BP201" s="117"/>
      <c r="BQ201" s="117"/>
      <c r="BR201" s="117"/>
      <c r="BS201" s="119"/>
      <c r="BT201" s="117"/>
      <c r="BU201" s="117"/>
      <c r="BV201" s="117"/>
      <c r="BW201" s="117"/>
      <c r="BX201" s="119"/>
      <c r="BY201" s="117"/>
      <c r="BZ201" s="117"/>
      <c r="CA201" s="117"/>
      <c r="CB201" s="117"/>
      <c r="CC201" s="119"/>
      <c r="CD201" s="117"/>
      <c r="CE201" s="117"/>
      <c r="CF201" s="117"/>
      <c r="CG201" s="117"/>
      <c r="CH201" s="119"/>
      <c r="CI201" s="117"/>
      <c r="CJ201" s="117"/>
      <c r="CK201" s="117"/>
      <c r="CL201" s="117"/>
      <c r="CM201" s="119"/>
      <c r="CN201" s="117"/>
      <c r="CO201" s="117"/>
      <c r="CP201" s="117"/>
      <c r="CQ201" s="117"/>
      <c r="CR201" s="119"/>
      <c r="CS201" s="117"/>
      <c r="CT201" s="117"/>
      <c r="CU201" s="117"/>
      <c r="CV201" s="117"/>
      <c r="CW201" s="119"/>
      <c r="CZ201" s="126"/>
      <c r="DA201" s="117"/>
      <c r="DB201" s="117"/>
    </row>
    <row r="202" spans="1:106">
      <c r="A202" s="90" t="s">
        <v>257</v>
      </c>
      <c r="B202" s="417"/>
      <c r="C202" s="417"/>
      <c r="D202" s="417"/>
      <c r="E202" s="417"/>
      <c r="F202" s="311"/>
      <c r="G202" s="439" t="s">
        <v>131</v>
      </c>
      <c r="H202" s="439" t="s">
        <v>131</v>
      </c>
      <c r="I202" s="439" t="s">
        <v>131</v>
      </c>
      <c r="J202" s="439" t="s">
        <v>131</v>
      </c>
      <c r="K202" s="647" t="s">
        <v>131</v>
      </c>
      <c r="L202" s="417">
        <f>(BS!M28+BS!M39)/(BS!H28+BS!H39)-1</f>
        <v>0.37556637730256215</v>
      </c>
      <c r="M202" s="417">
        <f>(BS!N28+BS!N39)/(BS!I28+BS!I39)-1</f>
        <v>0.62897348426112587</v>
      </c>
      <c r="N202" s="417">
        <f>(BS!O28+BS!O39)/(BS!J28+BS!J39)-1</f>
        <v>0.52330221490023798</v>
      </c>
      <c r="O202" s="417">
        <f>(BS!P28+BS!P39)/(BS!K28+BS!K39)-1</f>
        <v>0.46224146224146234</v>
      </c>
      <c r="P202" s="311">
        <f>(BS!Q28+BS!Q39)/(BS!L28+BS!L39)-1</f>
        <v>0.46224146224146234</v>
      </c>
      <c r="Q202" s="417">
        <f>(BS!R28+BS!R39)/(BS!M28+BS!M39)-1</f>
        <v>0.33376431473956414</v>
      </c>
      <c r="R202" s="417">
        <f>(BS!S28+BS!S39)/(BS!N28+BS!N39)-1</f>
        <v>6.5657647366792693E-2</v>
      </c>
      <c r="S202" s="417">
        <f>(BS!T28+BS!T39)/(BS!O28+BS!O39)-1</f>
        <v>0.13312023840995946</v>
      </c>
      <c r="T202" s="417">
        <f>(BS!U28+BS!U39)/(BS!P28+BS!P39)-1</f>
        <v>0.3057236842105262</v>
      </c>
      <c r="U202" s="311">
        <f>(BS!V28+BS!V39)/(BS!Q28+BS!Q39)-1</f>
        <v>0.3057236842105262</v>
      </c>
      <c r="V202" s="417">
        <f>(BS!W28+BS!W39)/(BS!R28+BS!R39)-1</f>
        <v>0.31761528874117162</v>
      </c>
      <c r="W202" s="417">
        <f>(BS!X28+BS!X39)/(BS!S28+BS!S39)-1</f>
        <v>0.36295221080839668</v>
      </c>
      <c r="X202" s="417">
        <f>(BS!Y28+BS!Y39)/(BS!T28+BS!T39)-1</f>
        <v>0.27280054297106959</v>
      </c>
      <c r="Y202" s="417">
        <f>(BS!Z28+BS!Z39)/(BS!U28+BS!U39)-1</f>
        <v>0.13484825582371807</v>
      </c>
      <c r="Z202" s="311">
        <f>(BS!AA28+BS!AA39)/(BS!V28+BS!V39)-1</f>
        <v>0.13484825582371807</v>
      </c>
      <c r="AA202" s="417">
        <f>(BS!AB28+BS!AB39)/(BS!W28+BS!W39)-1</f>
        <v>0.65997512568535743</v>
      </c>
      <c r="AB202" s="417">
        <f>(BS!AC28+BS!AC39)/(BS!X28+BS!X39)-1</f>
        <v>0.66500090115183563</v>
      </c>
      <c r="AC202" s="417">
        <f>(BS!AD28+BS!AD39)/(BS!Y28+BS!Y39)-1</f>
        <v>1.0795034160973169</v>
      </c>
      <c r="AD202" s="417">
        <f>(BS!AE28+BS!AE39)/(BS!Z28+BS!Z39)-1</f>
        <v>1.4116323812342761</v>
      </c>
      <c r="AE202" s="311">
        <f>(BS!AF28+BS!AF39)/(BS!AA28+BS!AA39)-1</f>
        <v>1.4116323812342761</v>
      </c>
      <c r="AF202" s="417">
        <f>(BS!AG28+BS!AG39)/(BS!AB28+BS!AB39)-1</f>
        <v>0.7996369891202264</v>
      </c>
      <c r="AG202" s="417">
        <f>(BS!AH28+BS!AH39)/(BS!AC28+BS!AC39)-1</f>
        <v>1.0546742767171819</v>
      </c>
      <c r="AH202" s="417">
        <f>(BS!AI28+BS!AI39)/(BS!AD28+BS!AD39)-1</f>
        <v>0.53938985984566212</v>
      </c>
      <c r="AI202" s="417">
        <f>(BS!AJ28+BS!AJ39)/(BS!AE28+BS!AE39)-1</f>
        <v>0.28421517728929624</v>
      </c>
      <c r="AJ202" s="311">
        <f>(BS!AK28+BS!AK39)/(BS!AF28+BS!AF39)-1</f>
        <v>0.28421517728929624</v>
      </c>
      <c r="AK202" s="417">
        <f>(BS!AL28+BS!AL39)/(BS!AG28+BS!AG39)-1</f>
        <v>0.25846873735626441</v>
      </c>
      <c r="AL202" s="417">
        <f>(BS!AM28+BS!AM39)/(BS!AH28+BS!AH39)-1</f>
        <v>3.6480583919232146E-2</v>
      </c>
      <c r="AM202" s="417">
        <f>(BS!AN28+BS!AN39)/(BS!AI28+BS!AI39)-1</f>
        <v>0.20993534684698734</v>
      </c>
      <c r="AN202" s="417">
        <f>(BS!AO28+BS!AO39)/(BS!AJ28+BS!AJ39)-1</f>
        <v>0.31563354167861313</v>
      </c>
      <c r="AO202" s="311">
        <f>(BS!AP28+BS!AP39)/(BS!AK28+BS!AK39)-1</f>
        <v>0.31563354167861313</v>
      </c>
      <c r="AP202" s="417">
        <f>(BS!AQ28+BS!AQ39)/(BS!AL28+BS!AL39)-1</f>
        <v>4.9706921134294424E-2</v>
      </c>
      <c r="AQ202" s="417">
        <f>(BS!AR28+BS!AR39)/(BS!AM28+BS!AM39)-1</f>
        <v>-1.4315221359160413E-2</v>
      </c>
      <c r="AR202" s="417">
        <f>(BS!AS28+BS!AS39)/(BS!AN28+BS!AN39)-1</f>
        <v>-6.1252586789197538E-2</v>
      </c>
      <c r="AS202" s="417">
        <f>(BS!AT28+BS!AT39)/(BS!AO28+BS!AO39)-1</f>
        <v>0.15608382972541057</v>
      </c>
      <c r="AT202" s="311">
        <f>(BS!AU28+BS!AU39)/(BS!AP28+BS!AP39)-1</f>
        <v>0.15608382972541057</v>
      </c>
      <c r="AU202" s="417">
        <f>(BS!AV28+BS!AV39)/(BS!AQ28+BS!AQ39)-1</f>
        <v>0.59682803192386591</v>
      </c>
      <c r="AV202" s="417">
        <f>(BS!AW28+BS!AW39)/(BS!AR28+BS!AR39)-1</f>
        <v>0.89552070881091317</v>
      </c>
      <c r="AW202" s="417">
        <f>(BS!AX28+BS!AX39)/(BS!AS28+BS!AS39)-1</f>
        <v>0.92908604269594952</v>
      </c>
      <c r="AX202" s="417">
        <f>(BS!AY28+BS!AY39)/(BS!AT28+BS!AT39)-1</f>
        <v>0.34994172036456983</v>
      </c>
      <c r="AY202" s="311">
        <f>(BS!AZ28+BS!AZ39)/(BS!AU28+BS!AU39)-1</f>
        <v>0.34994172036456983</v>
      </c>
      <c r="AZ202" s="417">
        <f>(BS!BA28+BS!BA39)/(BS!AV28+BS!AV39)-1</f>
        <v>0.23254100844213776</v>
      </c>
      <c r="BA202" s="417">
        <f>(BS!BB28+BS!BB39)/(BS!AW28+BS!AW39)-1</f>
        <v>0.19212401352317232</v>
      </c>
      <c r="BB202" s="417">
        <f>(BS!BC28+BS!BC39)/(BS!AX28+BS!AX39)-1</f>
        <v>0.15001603649192807</v>
      </c>
      <c r="BC202" s="417">
        <f>(BS!BD28+BS!BD39)/(BS!AY28+BS!AY39)-1</f>
        <v>0.23745278430076522</v>
      </c>
      <c r="BD202" s="311">
        <f>(BS!BE28+BS!BE39)/(BS!AZ28+BS!AZ39)-1</f>
        <v>0.23745278430076522</v>
      </c>
      <c r="BE202" s="417">
        <f>(BS!BF28+BS!BF39)/(BS!BA28+BS!BA39)-1</f>
        <v>0.23808406894032008</v>
      </c>
      <c r="BF202" s="417">
        <f>(BS!BG28+BS!BG39)/(BS!BB28+BS!BB39)-1</f>
        <v>0.22976098849234594</v>
      </c>
      <c r="BG202" s="417">
        <f>(BS!BH28+BS!BH39)/(BS!BC28+BS!BC39)-1</f>
        <v>0.15757170097033635</v>
      </c>
      <c r="BH202" s="417">
        <f>(BS!BI28+BS!BI39)/(BS!BD28+BS!BD39)-1</f>
        <v>0.16524200449497384</v>
      </c>
      <c r="BI202" s="311">
        <f>(BS!BJ28+BS!BJ39)/(BS!BE28+BS!BE39)-1</f>
        <v>0.16524200449497384</v>
      </c>
      <c r="BJ202" s="417">
        <f>(BS!BK28+BS!BK39)/(BS!BF28+BS!BF39)-1</f>
        <v>0.27518562237232302</v>
      </c>
      <c r="BK202" s="417">
        <f>(BS!BL28+BS!BL39)/(BS!BG28+BS!BG39)-1</f>
        <v>0.16613808204757929</v>
      </c>
      <c r="BL202" s="417">
        <f>(BS!BM28+BS!BM39)/(BS!BH28+BS!BH39)-1</f>
        <v>0.31006919099892394</v>
      </c>
      <c r="BM202" s="417">
        <f>(BS!BN28+BS!BN39)/(BS!BI28+BS!BI39)-1</f>
        <v>0.33773211850249796</v>
      </c>
      <c r="BN202" s="311">
        <f>(BS!BO28+BS!BO39)/(BS!BJ28+BS!BJ39)-1</f>
        <v>0.33773211850249796</v>
      </c>
      <c r="BO202" s="417">
        <f>(BS!BP28+BS!BP39)/(BS!BK28+BS!BK39)-1</f>
        <v>0.25863997451541443</v>
      </c>
      <c r="BP202" s="417">
        <f>(BS!BQ28+BS!BQ39)/(BS!BL28+BS!BL39)-1</f>
        <v>0.34334788162503038</v>
      </c>
      <c r="BQ202" s="417">
        <f>(BS!BR28+BS!BR39)/(BS!BM28+BS!BM39)-1</f>
        <v>0.35754248544086087</v>
      </c>
      <c r="BR202" s="417">
        <f>(BS!BS28+BS!BS39)/(BS!BN28+BS!BN39)-1</f>
        <v>0.39395182502183856</v>
      </c>
      <c r="BS202" s="311">
        <f>(BS!BT28+BS!BT39)/(BS!BO28+BS!BO39)-1</f>
        <v>0.39395182502183856</v>
      </c>
      <c r="BT202" s="417">
        <f>(BS!BU28+BS!BU39)/(BS!BP28+BS!BP39)-1</f>
        <v>0.34296499664618829</v>
      </c>
      <c r="BU202" s="417">
        <f>(BS!BV28+BS!BV39)/(BS!BQ28+BS!BQ39)-1</f>
        <v>0.32258206942894918</v>
      </c>
      <c r="BV202" s="417">
        <f>(BS!BW28+BS!BW39)/(BS!BR28+BS!BR39)-1</f>
        <v>0.31056618011556014</v>
      </c>
      <c r="BW202" s="417">
        <f>(BS!BX28+BS!BX39)/(BS!BS28+BS!BS39)-1</f>
        <v>0.28560819302637186</v>
      </c>
      <c r="BX202" s="311">
        <f>(BS!BY28+BS!BY39)/(BS!BT28+BS!BT39)-1</f>
        <v>0.28560819302637186</v>
      </c>
      <c r="BY202" s="417">
        <f>(BS!BZ28+BS!BZ39)/(BS!BU28+BS!BU39)-1</f>
        <v>0.359504897026796</v>
      </c>
      <c r="BZ202" s="417">
        <f>(BS!CA28+BS!CA39)/(BS!BV28+BS!BV39)-1</f>
        <v>0.36923433931384886</v>
      </c>
      <c r="CA202" s="417">
        <f>(BS!CB28+BS!CB39)/(BS!BW28+BS!BW39)-1</f>
        <v>0.37668076283145324</v>
      </c>
      <c r="CB202" s="417">
        <f>(BS!CC28+BS!CC39)/(BS!BX28+BS!BX39)-1</f>
        <v>0.35646545397746165</v>
      </c>
      <c r="CC202" s="311">
        <f>(BS!CD28+BS!CD39)/(BS!BY28+BS!BY39)-1</f>
        <v>0.35646545397746165</v>
      </c>
      <c r="CD202" s="417">
        <f>(BS!CE28+BS!CE39)/(BS!BZ28+BS!BZ39)-1</f>
        <v>0.28072184302462944</v>
      </c>
      <c r="CE202" s="417">
        <f>(BS!CF28+BS!CF39)/(BS!CA28+BS!CA39)-1</f>
        <v>0.23391562482160189</v>
      </c>
      <c r="CF202" s="417">
        <f>(BS!CG28+BS!CG39)/(BS!CB28+BS!CB39)-1</f>
        <v>0.22629721605018971</v>
      </c>
      <c r="CG202" s="417">
        <f>(BS!CH28+BS!CH39)/(BS!CC28+BS!CC39)-1</f>
        <v>0.23813971956818469</v>
      </c>
      <c r="CH202" s="311">
        <f>(BS!CI28+BS!CI39)/(BS!CD28+BS!CD39)-1</f>
        <v>0.23813971956818469</v>
      </c>
      <c r="CI202" s="417">
        <f>(BS!CJ28+BS!CJ39)/(BS!CE28+BS!CE39)-1</f>
        <v>0.24849362648926387</v>
      </c>
      <c r="CJ202" s="417">
        <f>(BS!CK28+BS!CK39)/(BS!CF28+BS!CF39)-1</f>
        <v>0.22939240333300748</v>
      </c>
      <c r="CK202" s="417">
        <f>(BS!CL28+BS!CL39)/(BS!CG28+BS!CG39)-1</f>
        <v>0.23039729731972503</v>
      </c>
      <c r="CL202" s="417">
        <f>(BS!CM28+BS!CM39)/(BS!CH28+BS!CH39)-1</f>
        <v>0.18789944152766669</v>
      </c>
      <c r="CM202" s="311">
        <f>(BS!CN28+BS!CN39)/(BS!CI28+BS!CI39)-1</f>
        <v>0.18789944152766669</v>
      </c>
      <c r="CN202" s="417">
        <f>(BS!CO28+BS!CO39)/(BS!CJ28+BS!CJ39)-1</f>
        <v>0.18831708524059065</v>
      </c>
      <c r="CO202" s="417">
        <f>(BS!CP28+BS!CP39)/(BS!CK28+BS!CK39)-1</f>
        <v>0.1830564748289274</v>
      </c>
      <c r="CP202" s="417">
        <f>(BS!CQ28+BS!CQ39)/(BS!CL28+BS!CL39)-1</f>
        <v>0.18522787333936774</v>
      </c>
      <c r="CQ202" s="417">
        <f>(BS!CR28+BS!CR39)/(BS!CM28+BS!CM39)-1</f>
        <v>0.18453590693739352</v>
      </c>
      <c r="CR202" s="311">
        <f>(BS!CS28+BS!CS39)/(BS!CN28+BS!CN39)-1</f>
        <v>0.18453590693739352</v>
      </c>
      <c r="CS202" s="417">
        <f>(BS!CT28+BS!CT39)/(BS!CO28+BS!CO39)-1</f>
        <v>0.17758021327430606</v>
      </c>
      <c r="CT202" s="417">
        <f>(BS!CU28+BS!CU39)/(BS!CP28+BS!CP39)-1</f>
        <v>0.16939115080149492</v>
      </c>
      <c r="CU202" s="417">
        <f>(BS!CV28+BS!CV39)/(BS!CQ28+BS!CQ39)-1</f>
        <v>0.16038194398237904</v>
      </c>
      <c r="CV202" s="417">
        <f>(BS!CW28+BS!CW39)/(BS!CR28+BS!CR39)-1</f>
        <v>0.1518009880000637</v>
      </c>
      <c r="CW202" s="311">
        <f>(BS!CX28+BS!CX39)/(BS!CS28+BS!CS39)-1</f>
        <v>0.1518009880000637</v>
      </c>
      <c r="CZ202" s="201"/>
      <c r="DA202" s="200"/>
      <c r="DB202" s="200"/>
    </row>
    <row r="203" spans="1:106" ht="5.25" customHeight="1">
      <c r="A203" s="114"/>
      <c r="B203" s="117"/>
      <c r="C203" s="117"/>
      <c r="D203" s="117"/>
      <c r="E203" s="117"/>
      <c r="F203" s="119"/>
      <c r="G203" s="117"/>
      <c r="H203" s="117"/>
      <c r="I203" s="117"/>
      <c r="J203" s="117"/>
      <c r="K203" s="119"/>
      <c r="L203" s="117"/>
      <c r="M203" s="117"/>
      <c r="N203" s="117"/>
      <c r="O203" s="117"/>
      <c r="P203" s="119"/>
      <c r="Q203" s="117"/>
      <c r="R203" s="117"/>
      <c r="S203" s="117"/>
      <c r="T203" s="117"/>
      <c r="U203" s="119"/>
      <c r="V203" s="117"/>
      <c r="W203" s="117"/>
      <c r="X203" s="117"/>
      <c r="Y203" s="117"/>
      <c r="Z203" s="119"/>
      <c r="AA203" s="117"/>
      <c r="AB203" s="117"/>
      <c r="AC203" s="117"/>
      <c r="AD203" s="117"/>
      <c r="AE203" s="119"/>
      <c r="AF203" s="117"/>
      <c r="AG203" s="117"/>
      <c r="AH203" s="117"/>
      <c r="AI203" s="117"/>
      <c r="AJ203" s="119"/>
      <c r="AK203" s="117"/>
      <c r="AL203" s="117"/>
      <c r="AM203" s="117"/>
      <c r="AN203" s="117"/>
      <c r="AO203" s="119"/>
      <c r="AP203" s="117"/>
      <c r="AQ203" s="117"/>
      <c r="AR203" s="117"/>
      <c r="AS203" s="117"/>
      <c r="AT203" s="119"/>
      <c r="AU203" s="117"/>
      <c r="AV203" s="117"/>
      <c r="AW203" s="117"/>
      <c r="AX203" s="117"/>
      <c r="AY203" s="119"/>
      <c r="AZ203" s="117"/>
      <c r="BA203" s="117"/>
      <c r="BB203" s="117"/>
      <c r="BC203" s="117"/>
      <c r="BD203" s="119"/>
      <c r="BE203" s="117"/>
      <c r="BF203" s="117"/>
      <c r="BG203" s="117"/>
      <c r="BH203" s="117"/>
      <c r="BI203" s="119"/>
      <c r="BJ203" s="117"/>
      <c r="BK203" s="117"/>
      <c r="BL203" s="117"/>
      <c r="BM203" s="117"/>
      <c r="BN203" s="119"/>
      <c r="BO203" s="117"/>
      <c r="BP203" s="117"/>
      <c r="BQ203" s="117"/>
      <c r="BR203" s="117"/>
      <c r="BS203" s="119"/>
      <c r="BT203" s="117"/>
      <c r="BU203" s="117"/>
      <c r="BV203" s="117"/>
      <c r="BW203" s="117"/>
      <c r="BX203" s="119"/>
      <c r="BY203" s="117"/>
      <c r="BZ203" s="117"/>
      <c r="CA203" s="117"/>
      <c r="CB203" s="117"/>
      <c r="CC203" s="119"/>
      <c r="CD203" s="117"/>
      <c r="CE203" s="117"/>
      <c r="CF203" s="117"/>
      <c r="CG203" s="117"/>
      <c r="CH203" s="119"/>
      <c r="CI203" s="117"/>
      <c r="CJ203" s="117"/>
      <c r="CK203" s="117"/>
      <c r="CL203" s="117"/>
      <c r="CM203" s="119"/>
      <c r="CN203" s="117"/>
      <c r="CO203" s="117"/>
      <c r="CP203" s="117"/>
      <c r="CQ203" s="117"/>
      <c r="CR203" s="119"/>
      <c r="CS203" s="117"/>
      <c r="CT203" s="117"/>
      <c r="CU203" s="117"/>
      <c r="CV203" s="117"/>
      <c r="CW203" s="119"/>
      <c r="CZ203" s="126"/>
      <c r="DA203" s="117"/>
      <c r="DB203" s="117"/>
    </row>
    <row r="204" spans="1:106">
      <c r="A204" s="90" t="s">
        <v>223</v>
      </c>
      <c r="B204" s="439"/>
      <c r="C204" s="439"/>
      <c r="D204" s="439"/>
      <c r="E204" s="439"/>
      <c r="F204" s="782"/>
      <c r="G204" s="439" t="s">
        <v>131</v>
      </c>
      <c r="H204" s="439" t="s">
        <v>131</v>
      </c>
      <c r="I204" s="439" t="s">
        <v>131</v>
      </c>
      <c r="J204" s="439" t="s">
        <v>131</v>
      </c>
      <c r="K204" s="647" t="s">
        <v>131</v>
      </c>
      <c r="L204" s="439" t="s">
        <v>131</v>
      </c>
      <c r="M204" s="439" t="s">
        <v>131</v>
      </c>
      <c r="N204" s="439" t="s">
        <v>131</v>
      </c>
      <c r="O204" s="439" t="s">
        <v>131</v>
      </c>
      <c r="P204" s="782"/>
      <c r="Q204" s="439" t="s">
        <v>131</v>
      </c>
      <c r="R204" s="439" t="s">
        <v>131</v>
      </c>
      <c r="S204" s="439" t="s">
        <v>131</v>
      </c>
      <c r="T204" s="439" t="s">
        <v>131</v>
      </c>
      <c r="U204" s="782"/>
      <c r="V204" s="439" t="s">
        <v>131</v>
      </c>
      <c r="W204" s="439" t="s">
        <v>131</v>
      </c>
      <c r="X204" s="439" t="s">
        <v>131</v>
      </c>
      <c r="Y204" s="439" t="s">
        <v>131</v>
      </c>
      <c r="Z204" s="782"/>
      <c r="AA204" s="439" t="s">
        <v>131</v>
      </c>
      <c r="AB204" s="439" t="s">
        <v>131</v>
      </c>
      <c r="AC204" s="439" t="s">
        <v>131</v>
      </c>
      <c r="AD204" s="439" t="s">
        <v>131</v>
      </c>
      <c r="AE204" s="782" t="e">
        <v>#REF!</v>
      </c>
      <c r="AF204" s="439" t="s">
        <v>131</v>
      </c>
      <c r="AG204" s="439" t="s">
        <v>131</v>
      </c>
      <c r="AH204" s="439" t="s">
        <v>131</v>
      </c>
      <c r="AI204" s="439" t="s">
        <v>131</v>
      </c>
      <c r="AJ204" s="782" t="e">
        <v>#REF!</v>
      </c>
      <c r="AK204" s="439" t="s">
        <v>131</v>
      </c>
      <c r="AL204" s="439" t="s">
        <v>131</v>
      </c>
      <c r="AM204" s="439" t="s">
        <v>131</v>
      </c>
      <c r="AN204" s="439" t="s">
        <v>131</v>
      </c>
      <c r="AO204" s="782" t="e">
        <v>#REF!</v>
      </c>
      <c r="AP204" s="439" t="s">
        <v>131</v>
      </c>
      <c r="AQ204" s="439" t="s">
        <v>131</v>
      </c>
      <c r="AR204" s="439" t="s">
        <v>131</v>
      </c>
      <c r="AS204" s="439" t="s">
        <v>131</v>
      </c>
      <c r="AT204" s="782">
        <v>0.45650505968172295</v>
      </c>
      <c r="AU204" s="439" t="s">
        <v>131</v>
      </c>
      <c r="AV204" s="439" t="s">
        <v>131</v>
      </c>
      <c r="AW204" s="439" t="s">
        <v>131</v>
      </c>
      <c r="AX204" s="439" t="s">
        <v>131</v>
      </c>
      <c r="AY204" s="782">
        <v>0.5447738111720225</v>
      </c>
      <c r="AZ204" s="439" t="s">
        <v>131</v>
      </c>
      <c r="BA204" s="439" t="s">
        <v>131</v>
      </c>
      <c r="BB204" s="439" t="s">
        <v>131</v>
      </c>
      <c r="BC204" s="439" t="s">
        <v>131</v>
      </c>
      <c r="BD204" s="782">
        <v>0.87170165960209611</v>
      </c>
      <c r="BE204" s="439" t="s">
        <v>131</v>
      </c>
      <c r="BF204" s="439" t="s">
        <v>131</v>
      </c>
      <c r="BG204" s="439" t="s">
        <v>131</v>
      </c>
      <c r="BH204" s="439" t="s">
        <v>131</v>
      </c>
      <c r="BI204" s="782"/>
      <c r="BJ204" s="439" t="s">
        <v>131</v>
      </c>
      <c r="BK204" s="439" t="s">
        <v>131</v>
      </c>
      <c r="BL204" s="439" t="s">
        <v>131</v>
      </c>
      <c r="BM204" s="439" t="s">
        <v>131</v>
      </c>
      <c r="BN204" s="782"/>
      <c r="BO204" s="439" t="s">
        <v>131</v>
      </c>
      <c r="BP204" s="439" t="s">
        <v>131</v>
      </c>
      <c r="BQ204" s="439" t="s">
        <v>131</v>
      </c>
      <c r="BR204" s="439" t="s">
        <v>131</v>
      </c>
      <c r="BS204" s="782">
        <v>0.98435639281561116</v>
      </c>
      <c r="BT204" s="439" t="s">
        <v>131</v>
      </c>
      <c r="BU204" s="439" t="s">
        <v>131</v>
      </c>
      <c r="BV204" s="439" t="s">
        <v>131</v>
      </c>
      <c r="BW204" s="439" t="s">
        <v>131</v>
      </c>
      <c r="BX204" s="782">
        <v>0</v>
      </c>
      <c r="BY204" s="439" t="s">
        <v>131</v>
      </c>
      <c r="BZ204" s="439" t="s">
        <v>131</v>
      </c>
      <c r="CA204" s="439" t="s">
        <v>131</v>
      </c>
      <c r="CB204" s="439" t="s">
        <v>131</v>
      </c>
      <c r="CC204" s="782">
        <v>0</v>
      </c>
      <c r="CD204" s="439" t="s">
        <v>131</v>
      </c>
      <c r="CE204" s="439" t="s">
        <v>131</v>
      </c>
      <c r="CF204" s="439" t="s">
        <v>131</v>
      </c>
      <c r="CG204" s="439" t="s">
        <v>131</v>
      </c>
      <c r="CH204" s="782">
        <v>0</v>
      </c>
      <c r="CI204" s="439" t="s">
        <v>131</v>
      </c>
      <c r="CJ204" s="439" t="s">
        <v>131</v>
      </c>
      <c r="CK204" s="439" t="s">
        <v>131</v>
      </c>
      <c r="CL204" s="439" t="s">
        <v>131</v>
      </c>
      <c r="CM204" s="782">
        <v>0</v>
      </c>
      <c r="CN204" s="439" t="s">
        <v>131</v>
      </c>
      <c r="CO204" s="439" t="s">
        <v>131</v>
      </c>
      <c r="CP204" s="439" t="s">
        <v>131</v>
      </c>
      <c r="CQ204" s="439" t="s">
        <v>131</v>
      </c>
      <c r="CR204" s="782">
        <v>0</v>
      </c>
      <c r="CS204" s="439" t="s">
        <v>131</v>
      </c>
      <c r="CT204" s="439" t="s">
        <v>131</v>
      </c>
      <c r="CU204" s="439" t="s">
        <v>131</v>
      </c>
      <c r="CV204" s="439" t="s">
        <v>131</v>
      </c>
      <c r="CW204" s="782">
        <v>0</v>
      </c>
      <c r="CZ204" s="201"/>
      <c r="DA204" s="200"/>
      <c r="DB204" s="200"/>
    </row>
    <row r="205" spans="1:106">
      <c r="A205" s="90" t="s">
        <v>493</v>
      </c>
      <c r="B205" s="439"/>
      <c r="C205" s="439"/>
      <c r="D205" s="439"/>
      <c r="E205" s="439"/>
      <c r="F205" s="782"/>
      <c r="G205" s="439" t="s">
        <v>131</v>
      </c>
      <c r="H205" s="439" t="s">
        <v>131</v>
      </c>
      <c r="I205" s="439" t="s">
        <v>131</v>
      </c>
      <c r="J205" s="439" t="s">
        <v>131</v>
      </c>
      <c r="K205" s="647" t="s">
        <v>131</v>
      </c>
      <c r="L205" s="439" t="s">
        <v>131</v>
      </c>
      <c r="M205" s="439" t="s">
        <v>131</v>
      </c>
      <c r="N205" s="439" t="s">
        <v>131</v>
      </c>
      <c r="O205" s="439" t="s">
        <v>131</v>
      </c>
      <c r="P205" s="782"/>
      <c r="Q205" s="439" t="s">
        <v>131</v>
      </c>
      <c r="R205" s="439" t="s">
        <v>131</v>
      </c>
      <c r="S205" s="439" t="s">
        <v>131</v>
      </c>
      <c r="T205" s="439" t="s">
        <v>131</v>
      </c>
      <c r="U205" s="782"/>
      <c r="V205" s="439" t="s">
        <v>131</v>
      </c>
      <c r="W205" s="439" t="s">
        <v>131</v>
      </c>
      <c r="X205" s="439" t="s">
        <v>131</v>
      </c>
      <c r="Y205" s="439" t="s">
        <v>131</v>
      </c>
      <c r="Z205" s="782"/>
      <c r="AA205" s="439" t="s">
        <v>131</v>
      </c>
      <c r="AB205" s="439" t="s">
        <v>131</v>
      </c>
      <c r="AC205" s="439" t="s">
        <v>131</v>
      </c>
      <c r="AD205" s="439" t="s">
        <v>131</v>
      </c>
      <c r="AE205" s="782" t="e">
        <v>#REF!</v>
      </c>
      <c r="AF205" s="439" t="s">
        <v>131</v>
      </c>
      <c r="AG205" s="439" t="s">
        <v>131</v>
      </c>
      <c r="AH205" s="439" t="s">
        <v>131</v>
      </c>
      <c r="AI205" s="439" t="s">
        <v>131</v>
      </c>
      <c r="AJ205" s="782" t="e">
        <v>#REF!</v>
      </c>
      <c r="AK205" s="439" t="s">
        <v>131</v>
      </c>
      <c r="AL205" s="439" t="s">
        <v>131</v>
      </c>
      <c r="AM205" s="439" t="s">
        <v>131</v>
      </c>
      <c r="AN205" s="439" t="s">
        <v>131</v>
      </c>
      <c r="AO205" s="782" t="e">
        <v>#REF!</v>
      </c>
      <c r="AP205" s="439" t="s">
        <v>131</v>
      </c>
      <c r="AQ205" s="439" t="s">
        <v>131</v>
      </c>
      <c r="AR205" s="439" t="s">
        <v>131</v>
      </c>
      <c r="AS205" s="439" t="s">
        <v>131</v>
      </c>
      <c r="AT205" s="782">
        <v>4.0596730386750463E-2</v>
      </c>
      <c r="AU205" s="439" t="s">
        <v>131</v>
      </c>
      <c r="AV205" s="439" t="s">
        <v>131</v>
      </c>
      <c r="AW205" s="439" t="s">
        <v>131</v>
      </c>
      <c r="AX205" s="439" t="s">
        <v>131</v>
      </c>
      <c r="AY205" s="782">
        <v>3.8564399080723621E-2</v>
      </c>
      <c r="AZ205" s="439" t="s">
        <v>131</v>
      </c>
      <c r="BA205" s="439" t="s">
        <v>131</v>
      </c>
      <c r="BB205" s="439" t="s">
        <v>131</v>
      </c>
      <c r="BC205" s="439" t="s">
        <v>131</v>
      </c>
      <c r="BD205" s="782">
        <v>2.6312198143088418E-2</v>
      </c>
      <c r="BE205" s="439" t="s">
        <v>131</v>
      </c>
      <c r="BF205" s="439" t="s">
        <v>131</v>
      </c>
      <c r="BG205" s="439" t="s">
        <v>131</v>
      </c>
      <c r="BH205" s="439" t="s">
        <v>131</v>
      </c>
      <c r="BI205" s="782"/>
      <c r="BJ205" s="439" t="s">
        <v>131</v>
      </c>
      <c r="BK205" s="439" t="s">
        <v>131</v>
      </c>
      <c r="BL205" s="439" t="s">
        <v>131</v>
      </c>
      <c r="BM205" s="439" t="s">
        <v>131</v>
      </c>
      <c r="BN205" s="782"/>
      <c r="BO205" s="439" t="s">
        <v>131</v>
      </c>
      <c r="BP205" s="439" t="s">
        <v>131</v>
      </c>
      <c r="BQ205" s="439" t="s">
        <v>131</v>
      </c>
      <c r="BR205" s="439" t="s">
        <v>131</v>
      </c>
      <c r="BS205" s="782">
        <v>2.6312198143088418E-2</v>
      </c>
      <c r="BT205" s="439" t="s">
        <v>131</v>
      </c>
      <c r="BU205" s="439" t="s">
        <v>131</v>
      </c>
      <c r="BV205" s="439" t="s">
        <v>131</v>
      </c>
      <c r="BW205" s="439" t="s">
        <v>131</v>
      </c>
      <c r="BX205" s="782">
        <v>0</v>
      </c>
      <c r="BY205" s="439" t="s">
        <v>131</v>
      </c>
      <c r="BZ205" s="439" t="s">
        <v>131</v>
      </c>
      <c r="CA205" s="439" t="s">
        <v>131</v>
      </c>
      <c r="CB205" s="439" t="s">
        <v>131</v>
      </c>
      <c r="CC205" s="782">
        <v>0</v>
      </c>
      <c r="CD205" s="439" t="s">
        <v>131</v>
      </c>
      <c r="CE205" s="439" t="s">
        <v>131</v>
      </c>
      <c r="CF205" s="439" t="s">
        <v>131</v>
      </c>
      <c r="CG205" s="439" t="s">
        <v>131</v>
      </c>
      <c r="CH205" s="782">
        <v>0</v>
      </c>
      <c r="CI205" s="439" t="s">
        <v>131</v>
      </c>
      <c r="CJ205" s="439" t="s">
        <v>131</v>
      </c>
      <c r="CK205" s="439" t="s">
        <v>131</v>
      </c>
      <c r="CL205" s="439" t="s">
        <v>131</v>
      </c>
      <c r="CM205" s="782">
        <v>0</v>
      </c>
      <c r="CN205" s="439" t="s">
        <v>131</v>
      </c>
      <c r="CO205" s="439" t="s">
        <v>131</v>
      </c>
      <c r="CP205" s="439" t="s">
        <v>131</v>
      </c>
      <c r="CQ205" s="439" t="s">
        <v>131</v>
      </c>
      <c r="CR205" s="782">
        <v>0</v>
      </c>
      <c r="CS205" s="439" t="s">
        <v>131</v>
      </c>
      <c r="CT205" s="439" t="s">
        <v>131</v>
      </c>
      <c r="CU205" s="439" t="s">
        <v>131</v>
      </c>
      <c r="CV205" s="439" t="s">
        <v>131</v>
      </c>
      <c r="CW205" s="782">
        <v>0</v>
      </c>
      <c r="CZ205" s="201"/>
      <c r="DA205" s="200"/>
      <c r="DB205" s="200"/>
    </row>
    <row r="206" spans="1:106" ht="5.25" customHeight="1">
      <c r="A206" s="114"/>
      <c r="B206" s="117"/>
      <c r="C206" s="117"/>
      <c r="D206" s="117"/>
      <c r="E206" s="117"/>
      <c r="F206" s="119"/>
      <c r="G206" s="117"/>
      <c r="H206" s="117"/>
      <c r="I206" s="117"/>
      <c r="J206" s="117"/>
      <c r="K206" s="119"/>
      <c r="L206" s="117"/>
      <c r="M206" s="117"/>
      <c r="N206" s="117"/>
      <c r="O206" s="117"/>
      <c r="P206" s="119"/>
      <c r="Q206" s="117"/>
      <c r="R206" s="117"/>
      <c r="S206" s="117"/>
      <c r="T206" s="117"/>
      <c r="U206" s="119"/>
      <c r="V206" s="117"/>
      <c r="W206" s="117"/>
      <c r="X206" s="117"/>
      <c r="Y206" s="117"/>
      <c r="Z206" s="119"/>
      <c r="AA206" s="117"/>
      <c r="AB206" s="117"/>
      <c r="AC206" s="117"/>
      <c r="AD206" s="117"/>
      <c r="AE206" s="119"/>
      <c r="AF206" s="117"/>
      <c r="AG206" s="117"/>
      <c r="AH206" s="117"/>
      <c r="AI206" s="117"/>
      <c r="AJ206" s="119"/>
      <c r="AK206" s="117"/>
      <c r="AL206" s="117"/>
      <c r="AM206" s="117"/>
      <c r="AN206" s="117"/>
      <c r="AO206" s="119"/>
      <c r="AP206" s="117"/>
      <c r="AQ206" s="117"/>
      <c r="AR206" s="117"/>
      <c r="AS206" s="117"/>
      <c r="AT206" s="119"/>
      <c r="AU206" s="117"/>
      <c r="AV206" s="117"/>
      <c r="AW206" s="117"/>
      <c r="AX206" s="117"/>
      <c r="AY206" s="119"/>
      <c r="AZ206" s="117"/>
      <c r="BA206" s="117"/>
      <c r="BB206" s="117"/>
      <c r="BC206" s="117"/>
      <c r="BD206" s="119"/>
      <c r="BE206" s="117"/>
      <c r="BF206" s="117"/>
      <c r="BG206" s="117"/>
      <c r="BH206" s="117"/>
      <c r="BI206" s="119"/>
      <c r="BJ206" s="117"/>
      <c r="BK206" s="117"/>
      <c r="BL206" s="117"/>
      <c r="BM206" s="117"/>
      <c r="BN206" s="119"/>
      <c r="BO206" s="117"/>
      <c r="BP206" s="117"/>
      <c r="BQ206" s="117"/>
      <c r="BR206" s="117"/>
      <c r="BS206" s="119"/>
      <c r="BT206" s="117"/>
      <c r="BU206" s="117"/>
      <c r="BV206" s="117"/>
      <c r="BW206" s="117"/>
      <c r="BX206" s="119"/>
      <c r="BY206" s="117"/>
      <c r="BZ206" s="117"/>
      <c r="CA206" s="117"/>
      <c r="CB206" s="117"/>
      <c r="CC206" s="119"/>
      <c r="CD206" s="117"/>
      <c r="CE206" s="117"/>
      <c r="CF206" s="117"/>
      <c r="CG206" s="117"/>
      <c r="CH206" s="119"/>
      <c r="CI206" s="117"/>
      <c r="CJ206" s="117"/>
      <c r="CK206" s="117"/>
      <c r="CL206" s="117"/>
      <c r="CM206" s="119"/>
      <c r="CN206" s="117"/>
      <c r="CO206" s="117"/>
      <c r="CP206" s="117"/>
      <c r="CQ206" s="117"/>
      <c r="CR206" s="119"/>
      <c r="CS206" s="117"/>
      <c r="CT206" s="117"/>
      <c r="CU206" s="117"/>
      <c r="CV206" s="117"/>
      <c r="CW206" s="119"/>
      <c r="CZ206" s="126"/>
      <c r="DA206" s="117"/>
      <c r="DB206" s="117"/>
    </row>
    <row r="207" spans="1:106">
      <c r="A207" s="200" t="s">
        <v>652</v>
      </c>
      <c r="B207" s="439"/>
      <c r="C207" s="439"/>
      <c r="D207" s="439"/>
      <c r="E207" s="439"/>
      <c r="F207" s="311"/>
      <c r="G207" s="439" t="s">
        <v>131</v>
      </c>
      <c r="H207" s="439" t="s">
        <v>131</v>
      </c>
      <c r="I207" s="439" t="s">
        <v>131</v>
      </c>
      <c r="J207" s="439" t="s">
        <v>131</v>
      </c>
      <c r="K207" s="311">
        <f>Model!L84/AVERAGE(BS!H50,BS!K50)</f>
        <v>0.3398072489866788</v>
      </c>
      <c r="L207" s="439" t="s">
        <v>131</v>
      </c>
      <c r="M207" s="439" t="s">
        <v>131</v>
      </c>
      <c r="N207" s="439" t="s">
        <v>131</v>
      </c>
      <c r="O207" s="439" t="s">
        <v>131</v>
      </c>
      <c r="P207" s="311">
        <f>Model!Q84/AVERAGE(BS!L50,BS!Q50)</f>
        <v>0.29947254299847714</v>
      </c>
      <c r="Q207" s="439" t="s">
        <v>131</v>
      </c>
      <c r="R207" s="439" t="s">
        <v>131</v>
      </c>
      <c r="S207" s="439" t="s">
        <v>131</v>
      </c>
      <c r="T207" s="439" t="s">
        <v>131</v>
      </c>
      <c r="U207" s="311">
        <f>Model!V84/AVERAGE(BS!Q50,BS!V50)</f>
        <v>0.35538413573470728</v>
      </c>
      <c r="V207" s="439" t="s">
        <v>131</v>
      </c>
      <c r="W207" s="439" t="s">
        <v>131</v>
      </c>
      <c r="X207" s="439" t="s">
        <v>131</v>
      </c>
      <c r="Y207" s="439" t="s">
        <v>131</v>
      </c>
      <c r="Z207" s="311">
        <f>Model!AA84/AVERAGE(BS!V50,BS!AA50)</f>
        <v>0.34950573376811217</v>
      </c>
      <c r="AA207" s="439" t="s">
        <v>131</v>
      </c>
      <c r="AB207" s="439" t="s">
        <v>131</v>
      </c>
      <c r="AC207" s="439" t="s">
        <v>131</v>
      </c>
      <c r="AD207" s="439" t="s">
        <v>131</v>
      </c>
      <c r="AE207" s="311">
        <f>Model!AF84/AVERAGE(BS!AA50,BS!AF50)</f>
        <v>0.21562542009316568</v>
      </c>
      <c r="AF207" s="439" t="s">
        <v>131</v>
      </c>
      <c r="AG207" s="439" t="s">
        <v>131</v>
      </c>
      <c r="AH207" s="439" t="s">
        <v>131</v>
      </c>
      <c r="AI207" s="439" t="s">
        <v>131</v>
      </c>
      <c r="AJ207" s="311">
        <f>Model!AK84/AVERAGE(BS!AF50,BS!AK50)</f>
        <v>0.19682976396333685</v>
      </c>
      <c r="AK207" s="439" t="s">
        <v>131</v>
      </c>
      <c r="AL207" s="439" t="s">
        <v>131</v>
      </c>
      <c r="AM207" s="439" t="s">
        <v>131</v>
      </c>
      <c r="AN207" s="439" t="s">
        <v>131</v>
      </c>
      <c r="AO207" s="311">
        <f>Model!AP84/AVERAGE(BS!AK50,BS!AP50)</f>
        <v>0.25069511770865888</v>
      </c>
      <c r="AP207" s="439" t="s">
        <v>131</v>
      </c>
      <c r="AQ207" s="439" t="s">
        <v>131</v>
      </c>
      <c r="AR207" s="439" t="s">
        <v>131</v>
      </c>
      <c r="AS207" s="439" t="s">
        <v>131</v>
      </c>
      <c r="AT207" s="311">
        <f>Model!AU84/AVERAGE(BS!AP50,BS!AU50)</f>
        <v>0.17567969133443681</v>
      </c>
      <c r="AU207" s="439" t="s">
        <v>131</v>
      </c>
      <c r="AV207" s="439" t="s">
        <v>131</v>
      </c>
      <c r="AW207" s="439" t="s">
        <v>131</v>
      </c>
      <c r="AX207" s="439" t="s">
        <v>131</v>
      </c>
      <c r="AY207" s="311">
        <f>Model!AZ84/AVERAGE(BS!AU50,BS!AZ50)</f>
        <v>0.20193158937316091</v>
      </c>
      <c r="AZ207" s="439" t="s">
        <v>131</v>
      </c>
      <c r="BA207" s="439" t="s">
        <v>131</v>
      </c>
      <c r="BB207" s="439" t="s">
        <v>131</v>
      </c>
      <c r="BC207" s="439" t="s">
        <v>131</v>
      </c>
      <c r="BD207" s="311">
        <f>Model!BE84/AVERAGE(BS!AZ50,BS!BE50)</f>
        <v>0.21568019680196795</v>
      </c>
      <c r="BE207" s="439" t="s">
        <v>131</v>
      </c>
      <c r="BF207" s="439" t="s">
        <v>131</v>
      </c>
      <c r="BG207" s="439" t="s">
        <v>131</v>
      </c>
      <c r="BH207" s="439" t="s">
        <v>131</v>
      </c>
      <c r="BI207" s="311">
        <f>Model!BJ84/AVERAGE(BS!BE50,BS!BJ50)</f>
        <v>0.190105391943234</v>
      </c>
      <c r="BJ207" s="439" t="s">
        <v>131</v>
      </c>
      <c r="BK207" s="439" t="s">
        <v>131</v>
      </c>
      <c r="BL207" s="439" t="s">
        <v>131</v>
      </c>
      <c r="BM207" s="439" t="s">
        <v>131</v>
      </c>
      <c r="BN207" s="311">
        <f>Model!BO84/AVERAGE(BS!BJ50,BS!BO50)</f>
        <v>0.10315795228254067</v>
      </c>
      <c r="BO207" s="439" t="s">
        <v>131</v>
      </c>
      <c r="BP207" s="439" t="s">
        <v>131</v>
      </c>
      <c r="BQ207" s="439" t="s">
        <v>131</v>
      </c>
      <c r="BR207" s="439" t="s">
        <v>131</v>
      </c>
      <c r="BS207" s="311">
        <f>Model!BT84/AVERAGE(BS!BO50,BS!BT50)</f>
        <v>9.7543661034570558E-2</v>
      </c>
      <c r="BT207" s="439" t="s">
        <v>131</v>
      </c>
      <c r="BU207" s="439" t="s">
        <v>131</v>
      </c>
      <c r="BV207" s="439" t="s">
        <v>131</v>
      </c>
      <c r="BW207" s="439" t="s">
        <v>131</v>
      </c>
      <c r="BX207" s="311">
        <f>Model!BY84/AVERAGE(BS!BT50,BS!BY50)</f>
        <v>0.1529341530765593</v>
      </c>
      <c r="BY207" s="439" t="s">
        <v>131</v>
      </c>
      <c r="BZ207" s="439" t="s">
        <v>131</v>
      </c>
      <c r="CA207" s="439" t="s">
        <v>131</v>
      </c>
      <c r="CB207" s="439" t="s">
        <v>131</v>
      </c>
      <c r="CC207" s="311">
        <f>Model!CD84/AVERAGE(BS!BY50,BS!CD50)</f>
        <v>0.21060395115487812</v>
      </c>
      <c r="CD207" s="439" t="s">
        <v>131</v>
      </c>
      <c r="CE207" s="439" t="s">
        <v>131</v>
      </c>
      <c r="CF207" s="439" t="s">
        <v>131</v>
      </c>
      <c r="CG207" s="439" t="s">
        <v>131</v>
      </c>
      <c r="CH207" s="311">
        <f>Model!CI84/AVERAGE(BS!CD50,BS!CI50)</f>
        <v>0.27213689345423114</v>
      </c>
      <c r="CI207" s="439" t="s">
        <v>131</v>
      </c>
      <c r="CJ207" s="439" t="s">
        <v>131</v>
      </c>
      <c r="CK207" s="439" t="s">
        <v>131</v>
      </c>
      <c r="CL207" s="439" t="s">
        <v>131</v>
      </c>
      <c r="CM207" s="311">
        <f>Model!CN84/AVERAGE(BS!CI50,BS!CN50)</f>
        <v>0.34637904135629816</v>
      </c>
      <c r="CN207" s="439" t="s">
        <v>131</v>
      </c>
      <c r="CO207" s="439" t="s">
        <v>131</v>
      </c>
      <c r="CP207" s="439" t="s">
        <v>131</v>
      </c>
      <c r="CQ207" s="439" t="s">
        <v>131</v>
      </c>
      <c r="CR207" s="311">
        <f>Model!CS84/AVERAGE(BS!CN50,BS!CS50)</f>
        <v>0.31678845620646823</v>
      </c>
      <c r="CS207" s="439" t="s">
        <v>131</v>
      </c>
      <c r="CT207" s="439" t="s">
        <v>131</v>
      </c>
      <c r="CU207" s="439" t="s">
        <v>131</v>
      </c>
      <c r="CV207" s="439" t="s">
        <v>131</v>
      </c>
      <c r="CW207" s="311">
        <f>Model!CX84/AVERAGE(BS!CS50,BS!CX50)</f>
        <v>0.31146768379259038</v>
      </c>
      <c r="CZ207" s="201"/>
      <c r="DA207" s="200"/>
      <c r="DB207" s="200"/>
    </row>
    <row r="208" spans="1:106" ht="5.25" customHeight="1">
      <c r="A208" s="114"/>
      <c r="B208" s="117"/>
      <c r="C208" s="117"/>
      <c r="D208" s="117"/>
      <c r="E208" s="117"/>
      <c r="F208" s="119"/>
      <c r="G208" s="117"/>
      <c r="H208" s="117"/>
      <c r="I208" s="117"/>
      <c r="J208" s="117"/>
      <c r="K208" s="119"/>
      <c r="L208" s="117"/>
      <c r="M208" s="117"/>
      <c r="N208" s="117"/>
      <c r="O208" s="117"/>
      <c r="P208" s="119"/>
      <c r="Q208" s="117"/>
      <c r="R208" s="117"/>
      <c r="S208" s="117"/>
      <c r="T208" s="117"/>
      <c r="U208" s="119"/>
      <c r="V208" s="117"/>
      <c r="W208" s="117"/>
      <c r="X208" s="117"/>
      <c r="Y208" s="117"/>
      <c r="Z208" s="119"/>
      <c r="AA208" s="117"/>
      <c r="AB208" s="117"/>
      <c r="AC208" s="117"/>
      <c r="AD208" s="117"/>
      <c r="AE208" s="119"/>
      <c r="AF208" s="117"/>
      <c r="AG208" s="117"/>
      <c r="AH208" s="117"/>
      <c r="AI208" s="117"/>
      <c r="AJ208" s="119"/>
      <c r="AK208" s="117"/>
      <c r="AL208" s="117"/>
      <c r="AM208" s="117"/>
      <c r="AN208" s="117"/>
      <c r="AO208" s="119"/>
      <c r="AP208" s="117"/>
      <c r="AQ208" s="117"/>
      <c r="AR208" s="117"/>
      <c r="AS208" s="117"/>
      <c r="AT208" s="119"/>
      <c r="AU208" s="117"/>
      <c r="AV208" s="117"/>
      <c r="AW208" s="117"/>
      <c r="AX208" s="117"/>
      <c r="AY208" s="119"/>
      <c r="AZ208" s="117"/>
      <c r="BA208" s="117"/>
      <c r="BB208" s="117"/>
      <c r="BC208" s="117"/>
      <c r="BD208" s="119"/>
      <c r="BE208" s="117"/>
      <c r="BF208" s="117"/>
      <c r="BG208" s="117"/>
      <c r="BH208" s="117"/>
      <c r="BI208" s="119"/>
      <c r="BJ208" s="117"/>
      <c r="BK208" s="117"/>
      <c r="BL208" s="117"/>
      <c r="BM208" s="117"/>
      <c r="BN208" s="119"/>
      <c r="BO208" s="117"/>
      <c r="BP208" s="117"/>
      <c r="BQ208" s="117"/>
      <c r="BR208" s="117"/>
      <c r="BS208" s="119"/>
      <c r="BT208" s="117"/>
      <c r="BU208" s="117"/>
      <c r="BV208" s="117"/>
      <c r="BW208" s="117"/>
      <c r="BX208" s="119"/>
      <c r="BY208" s="117"/>
      <c r="BZ208" s="117"/>
      <c r="CA208" s="117"/>
      <c r="CB208" s="117"/>
      <c r="CC208" s="119"/>
      <c r="CD208" s="117"/>
      <c r="CE208" s="117"/>
      <c r="CF208" s="117"/>
      <c r="CG208" s="117"/>
      <c r="CH208" s="119"/>
      <c r="CI208" s="117"/>
      <c r="CJ208" s="117"/>
      <c r="CK208" s="117"/>
      <c r="CL208" s="117"/>
      <c r="CM208" s="119"/>
      <c r="CN208" s="117"/>
      <c r="CO208" s="117"/>
      <c r="CP208" s="117"/>
      <c r="CQ208" s="117"/>
      <c r="CR208" s="119"/>
      <c r="CS208" s="117"/>
      <c r="CT208" s="117"/>
      <c r="CU208" s="117"/>
      <c r="CV208" s="117"/>
      <c r="CW208" s="119"/>
      <c r="CZ208" s="126"/>
      <c r="DA208" s="117"/>
      <c r="DB208" s="117"/>
    </row>
    <row r="209" spans="1:106">
      <c r="A209" s="411" t="s">
        <v>259</v>
      </c>
      <c r="B209" s="411"/>
      <c r="C209" s="411"/>
      <c r="D209" s="411"/>
      <c r="E209" s="411"/>
      <c r="F209" s="845"/>
      <c r="G209" s="411"/>
      <c r="H209" s="411"/>
      <c r="I209" s="411"/>
      <c r="J209" s="411"/>
      <c r="K209" s="845"/>
      <c r="L209" s="411"/>
      <c r="M209" s="411"/>
      <c r="N209" s="411"/>
      <c r="O209" s="411"/>
      <c r="P209" s="845"/>
      <c r="Q209" s="411"/>
      <c r="R209" s="411"/>
      <c r="S209" s="411"/>
      <c r="T209" s="411"/>
      <c r="U209" s="845"/>
      <c r="V209" s="411"/>
      <c r="W209" s="411"/>
      <c r="X209" s="411"/>
      <c r="Y209" s="411"/>
      <c r="Z209" s="845"/>
      <c r="AA209" s="411"/>
      <c r="AB209" s="411"/>
      <c r="AC209" s="411"/>
      <c r="AD209" s="411"/>
      <c r="AE209" s="845"/>
      <c r="AF209" s="411"/>
      <c r="AG209" s="411"/>
      <c r="AH209" s="411"/>
      <c r="AI209" s="411"/>
      <c r="AJ209" s="845"/>
      <c r="AK209" s="411"/>
      <c r="AL209" s="411"/>
      <c r="AM209" s="411"/>
      <c r="AN209" s="411"/>
      <c r="AO209" s="845"/>
      <c r="AP209" s="411"/>
      <c r="AQ209" s="411"/>
      <c r="AR209" s="411"/>
      <c r="AS209" s="411"/>
      <c r="AT209" s="845"/>
      <c r="AU209" s="411"/>
      <c r="AV209" s="411"/>
      <c r="AW209" s="411"/>
      <c r="AX209" s="411"/>
      <c r="AY209" s="845"/>
      <c r="AZ209" s="411"/>
      <c r="BA209" s="411"/>
      <c r="BB209" s="411"/>
      <c r="BC209" s="411"/>
      <c r="BD209" s="845"/>
      <c r="BE209" s="411"/>
      <c r="BF209" s="411"/>
      <c r="BG209" s="411"/>
      <c r="BH209" s="411"/>
      <c r="BI209" s="845"/>
      <c r="BJ209" s="411"/>
      <c r="BK209" s="411"/>
      <c r="BL209" s="411"/>
      <c r="BM209" s="411"/>
      <c r="BN209" s="845"/>
      <c r="BO209" s="411"/>
      <c r="BP209" s="411"/>
      <c r="BQ209" s="411"/>
      <c r="BR209" s="411"/>
      <c r="BS209" s="845"/>
      <c r="BT209" s="411"/>
      <c r="BU209" s="411"/>
      <c r="BV209" s="411"/>
      <c r="BW209" s="411"/>
      <c r="BX209" s="845"/>
      <c r="BY209" s="411"/>
      <c r="BZ209" s="411"/>
      <c r="CA209" s="411"/>
      <c r="CB209" s="411"/>
      <c r="CC209" s="845"/>
      <c r="CD209" s="411"/>
      <c r="CE209" s="411"/>
      <c r="CF209" s="411"/>
      <c r="CG209" s="411"/>
      <c r="CH209" s="845"/>
      <c r="CI209" s="411"/>
      <c r="CJ209" s="411"/>
      <c r="CK209" s="411"/>
      <c r="CL209" s="411"/>
      <c r="CM209" s="845"/>
      <c r="CN209" s="411"/>
      <c r="CO209" s="411"/>
      <c r="CP209" s="411"/>
      <c r="CQ209" s="411"/>
      <c r="CR209" s="845"/>
      <c r="CS209" s="411"/>
      <c r="CT209" s="411"/>
      <c r="CU209" s="411"/>
      <c r="CV209" s="411"/>
      <c r="CW209" s="845"/>
      <c r="CZ209" s="415"/>
      <c r="DA209" s="414"/>
      <c r="DB209" s="414"/>
    </row>
    <row r="210" spans="1:106">
      <c r="A210" s="848" t="s">
        <v>464</v>
      </c>
      <c r="B210" s="848"/>
      <c r="C210" s="848"/>
      <c r="D210" s="848"/>
      <c r="E210" s="848"/>
      <c r="F210" s="849"/>
      <c r="G210" s="848">
        <f>(BS!H8+BS!H9)</f>
        <v>620.79</v>
      </c>
      <c r="H210" s="848">
        <f>(BS!I8+BS!I9)</f>
        <v>699.91200000000003</v>
      </c>
      <c r="I210" s="848">
        <f>(BS!J8+BS!J9)</f>
        <v>636.23099999999999</v>
      </c>
      <c r="J210" s="848">
        <f>(BS!K8+BS!K9)</f>
        <v>617.73699999999997</v>
      </c>
      <c r="K210" s="849">
        <f>(BS!L8+BS!L9)</f>
        <v>617.73699999999997</v>
      </c>
      <c r="L210" s="848">
        <f>(BS!M8+BS!M9)</f>
        <v>652.65700000000004</v>
      </c>
      <c r="M210" s="848">
        <f>(BS!N8+BS!N9)</f>
        <v>782.62200000000007</v>
      </c>
      <c r="N210" s="848">
        <f>(BS!O8+BS!O9)</f>
        <v>852.73</v>
      </c>
      <c r="O210" s="848">
        <f>(BS!P8+BS!P9)</f>
        <v>1096.5329999999999</v>
      </c>
      <c r="P210" s="849">
        <f>(BS!Q8+BS!Q9)</f>
        <v>1096.5329999999999</v>
      </c>
      <c r="Q210" s="848">
        <f>(BS!R8+BS!R9)</f>
        <v>1249.335</v>
      </c>
      <c r="R210" s="848">
        <f>(BS!S8+BS!S9)</f>
        <v>1281.2190000000001</v>
      </c>
      <c r="S210" s="848">
        <f>(BS!T8+BS!T9)</f>
        <v>1139.7719999999999</v>
      </c>
      <c r="T210" s="848">
        <f>(BS!U8+BS!U9)</f>
        <v>1313.221</v>
      </c>
      <c r="U210" s="849">
        <f>(BS!V8+BS!V9)</f>
        <v>1313.221</v>
      </c>
      <c r="V210" s="848">
        <f>(BS!W8+BS!W9)</f>
        <v>1467.1030000000001</v>
      </c>
      <c r="W210" s="848">
        <f>(BS!X8+BS!X9)</f>
        <v>1690.5659999999998</v>
      </c>
      <c r="X210" s="848">
        <f>(BS!Y8+BS!Y9)</f>
        <v>1892.7849999999999</v>
      </c>
      <c r="Y210" s="848">
        <f>(BS!Z8+BS!Z9)</f>
        <v>1700.8340000000001</v>
      </c>
      <c r="Z210" s="849">
        <f>(BS!AA8+BS!AA9)</f>
        <v>1700.8340000000001</v>
      </c>
      <c r="AA210" s="848">
        <f>(BS!AB8+BS!AB9)</f>
        <v>2104.605</v>
      </c>
      <c r="AB210" s="848">
        <f>(BS!AC8+BS!AC9)</f>
        <v>1826.086</v>
      </c>
      <c r="AC210" s="848">
        <f>(BS!AD8+BS!AD9)</f>
        <v>1986.4520000000002</v>
      </c>
      <c r="AD210" s="848">
        <f>(BS!AE8+BS!AE9)</f>
        <v>2280.8789999999999</v>
      </c>
      <c r="AE210" s="849">
        <f>(BS!AF8+BS!AF9)</f>
        <v>2280.8789999999999</v>
      </c>
      <c r="AF210" s="848">
        <f>(BS!AG8+BS!AG9)</f>
        <v>2282.3999999999996</v>
      </c>
      <c r="AG210" s="848">
        <f>(BS!AH8+BS!AH9)</f>
        <v>2323.8249999999998</v>
      </c>
      <c r="AH210" s="848">
        <f>(BS!AI8+BS!AI9)</f>
        <v>1955.7139999999999</v>
      </c>
      <c r="AI210" s="848">
        <f>(BS!AJ8+BS!AJ9)</f>
        <v>1993.854</v>
      </c>
      <c r="AJ210" s="849">
        <f>(BS!AK8+BS!AK9)</f>
        <v>1993.854</v>
      </c>
      <c r="AK210" s="848">
        <f>(BS!AL8+BS!AL9)</f>
        <v>1715.2439999999999</v>
      </c>
      <c r="AL210" s="848">
        <f>(BS!AM8+BS!AM9)</f>
        <v>1864.7359999999999</v>
      </c>
      <c r="AM210" s="848">
        <f>(BS!AN8+BS!AN9)</f>
        <v>2000.904</v>
      </c>
      <c r="AN210" s="848">
        <f>(BS!AO8+BS!AO9)</f>
        <v>2019.202</v>
      </c>
      <c r="AO210" s="849">
        <f>(BS!AP8+BS!AP9)</f>
        <v>2019.202</v>
      </c>
      <c r="AP210" s="848">
        <f>(BS!AQ8+BS!AQ9)</f>
        <v>2383.694</v>
      </c>
      <c r="AQ210" s="848">
        <f>(BS!AR8+BS!AR9)</f>
        <v>2664.1849999999999</v>
      </c>
      <c r="AR210" s="848">
        <f>(BS!AS8+BS!AS9)</f>
        <v>2556.4610000000002</v>
      </c>
      <c r="AS210" s="848">
        <f>(BS!AT8+BS!AT9)</f>
        <v>1904.473</v>
      </c>
      <c r="AT210" s="849">
        <f>(BS!AU8+BS!AU9)</f>
        <v>1904.473</v>
      </c>
      <c r="AU210" s="848">
        <f>(BS!AV8+BS!AV9)</f>
        <v>2672.384</v>
      </c>
      <c r="AV210" s="848">
        <f>(BS!AW8+BS!AW9)</f>
        <v>2644.7219999999998</v>
      </c>
      <c r="AW210" s="848">
        <f>(BS!AX8+BS!AX9)</f>
        <v>2578.2739999999999</v>
      </c>
      <c r="AX210" s="848">
        <f>(BS!AY8+BS!AY9)</f>
        <v>2468.0149999999999</v>
      </c>
      <c r="AY210" s="849">
        <f>(BS!AZ8+BS!AZ9)</f>
        <v>2468.0149999999999</v>
      </c>
      <c r="AZ210" s="848">
        <f>(BS!BA8+BS!BA9)</f>
        <v>2636.835</v>
      </c>
      <c r="BA210" s="848">
        <f>(BS!BB8+BS!BB9)</f>
        <v>2625.52</v>
      </c>
      <c r="BB210" s="848">
        <f>(BS!BC8+BS!BC9)</f>
        <v>2719.2759999999998</v>
      </c>
      <c r="BC210" s="848">
        <f>(BS!BD8+BS!BD9)</f>
        <v>2911.692</v>
      </c>
      <c r="BD210" s="849">
        <f>(BS!BE8+BS!BE9)</f>
        <v>2911.692</v>
      </c>
      <c r="BE210" s="848">
        <f>(BS!BF8+BS!BF9)</f>
        <v>2766.1179999999999</v>
      </c>
      <c r="BF210" s="848">
        <f>(BS!BG8+BS!BG9)</f>
        <v>2998.1170000000002</v>
      </c>
      <c r="BG210" s="848">
        <f>(BS!BH8+BS!BH9)</f>
        <v>3247.3630000000003</v>
      </c>
      <c r="BH210" s="848">
        <f>(BS!BI8+BS!BI9)</f>
        <v>3538.3530000000001</v>
      </c>
      <c r="BI210" s="849">
        <f>(BS!BJ8+BS!BJ9)</f>
        <v>3538.3530000000001</v>
      </c>
      <c r="BJ210" s="848">
        <f>(BS!BK8+BS!BK9)</f>
        <v>3660.6889999999999</v>
      </c>
      <c r="BK210" s="848">
        <f>(BS!BL8+BS!BL9)</f>
        <v>3865.7079999999996</v>
      </c>
      <c r="BL210" s="848">
        <f>(BS!BM8+BS!BM9)</f>
        <v>3163.9369999999999</v>
      </c>
      <c r="BM210" s="848">
        <f>(BS!BN8+BS!BN9)</f>
        <v>3173.752</v>
      </c>
      <c r="BN210" s="849">
        <f>(BS!BO8+BS!BO9)</f>
        <v>3173.752</v>
      </c>
      <c r="BO210" s="848">
        <f>(BS!BP8+BS!BP9)</f>
        <v>3132.0920000000001</v>
      </c>
      <c r="BP210" s="848">
        <f>(BS!BQ8+BS!BQ9)</f>
        <v>3330.2109999999998</v>
      </c>
      <c r="BQ210" s="848">
        <f>(BS!BR8+BS!BR9)</f>
        <v>3520.1970000000001</v>
      </c>
      <c r="BR210" s="848">
        <f>(BS!BS8+BS!BS9)</f>
        <v>3739.491</v>
      </c>
      <c r="BS210" s="849">
        <f>(BS!BT8+BS!BT9)</f>
        <v>3739.491</v>
      </c>
      <c r="BT210" s="848">
        <f>(BS!BU8+BS!BU9)</f>
        <v>3176.82</v>
      </c>
      <c r="BU210" s="848">
        <f>(BS!BV8+BS!BV9)</f>
        <v>3413.248</v>
      </c>
      <c r="BV210" s="848">
        <f>(BS!BW8+BS!BW9)</f>
        <v>3668.7329999999997</v>
      </c>
      <c r="BW210" s="848">
        <f>(BS!BX8+BS!BX9)</f>
        <v>3988.0839999999998</v>
      </c>
      <c r="BX210" s="849">
        <f>(BS!BY8+BS!BY9)</f>
        <v>3988.0839999999998</v>
      </c>
      <c r="BY210" s="848">
        <f>(BS!BZ8+BS!BZ9)</f>
        <v>4097.8879999999999</v>
      </c>
      <c r="BZ210" s="848">
        <f>(BS!CA8+BS!CA9)</f>
        <v>4318.4080000000004</v>
      </c>
      <c r="CA210" s="848">
        <f>(BS!CB8+BS!CB9)</f>
        <v>4446.3980000000001</v>
      </c>
      <c r="CB210" s="848">
        <f>(BS!CC8+BS!CC9)</f>
        <v>4761.3</v>
      </c>
      <c r="CC210" s="849">
        <f>(BS!CD8+BS!CD9)</f>
        <v>4761.3</v>
      </c>
      <c r="CD210" s="848">
        <f>(BS!CE8+BS!CE9)</f>
        <v>4647.6170000000002</v>
      </c>
      <c r="CE210" s="848">
        <f>(BS!CF8+BS!CF9)</f>
        <v>4931.5129999999999</v>
      </c>
      <c r="CF210" s="848">
        <f>(BS!CG8+BS!CG9)</f>
        <v>5368.4859999999999</v>
      </c>
      <c r="CG210" s="848">
        <f>(BS!CH8+BS!CH9)</f>
        <v>5819.7740000000003</v>
      </c>
      <c r="CH210" s="849">
        <f>(BS!CI8+BS!CI9)</f>
        <v>5819.7740000000003</v>
      </c>
      <c r="CI210" s="848">
        <f>(BS!CJ8+BS!CJ9)</f>
        <v>6147.97</v>
      </c>
      <c r="CJ210" s="848">
        <f>(BS!CK8+BS!CK9)</f>
        <v>6917.1035424190777</v>
      </c>
      <c r="CK210" s="848">
        <f>(BS!CL8+BS!CL9)</f>
        <v>7457.5617887858725</v>
      </c>
      <c r="CL210" s="848">
        <f>(BS!CM8+BS!CM9)</f>
        <v>8268.8467727863663</v>
      </c>
      <c r="CM210" s="849">
        <f>(BS!CN8+BS!CN9)</f>
        <v>8268.8467727863663</v>
      </c>
      <c r="CN210" s="848">
        <f>(BS!CO8+BS!CO9)</f>
        <v>8870.245367729287</v>
      </c>
      <c r="CO210" s="848">
        <f>(BS!CP8+BS!CP9)</f>
        <v>9442.3150898033564</v>
      </c>
      <c r="CP210" s="848">
        <f>(BS!CQ8+BS!CQ9)</f>
        <v>10054.304123852249</v>
      </c>
      <c r="CQ210" s="848">
        <f>(BS!CR8+BS!CR9)</f>
        <v>10976.887527563807</v>
      </c>
      <c r="CR210" s="849">
        <f>(BS!CS8+BS!CS9)</f>
        <v>10976.887527563807</v>
      </c>
      <c r="CS210" s="848">
        <f>(BS!CT8+BS!CT9)</f>
        <v>11739.935818513452</v>
      </c>
      <c r="CT210" s="848">
        <f>(BS!CU8+BS!CU9)</f>
        <v>12423.495334929814</v>
      </c>
      <c r="CU210" s="848">
        <f>(BS!CV8+BS!CV9)</f>
        <v>13144.888898519228</v>
      </c>
      <c r="CV210" s="848">
        <f>(BS!CW8+BS!CW9)</f>
        <v>14213.66572711033</v>
      </c>
      <c r="CW210" s="849">
        <f>(BS!CX8+BS!CX9)</f>
        <v>14213.66572711033</v>
      </c>
      <c r="CZ210" s="850"/>
      <c r="DA210" s="677"/>
      <c r="DB210" s="677"/>
    </row>
    <row r="211" spans="1:106">
      <c r="A211" s="848" t="s">
        <v>383</v>
      </c>
      <c r="B211" s="848"/>
      <c r="C211" s="848"/>
      <c r="D211" s="848"/>
      <c r="E211" s="848"/>
      <c r="F211" s="849"/>
      <c r="G211" s="848">
        <f>BS!H10</f>
        <v>143.65299999999999</v>
      </c>
      <c r="H211" s="848">
        <f>BS!I10</f>
        <v>133.875</v>
      </c>
      <c r="I211" s="848">
        <f>BS!J10</f>
        <v>144.90899999999999</v>
      </c>
      <c r="J211" s="848">
        <f>BS!K10</f>
        <v>116.506</v>
      </c>
      <c r="K211" s="849">
        <f>BS!L10</f>
        <v>116.506</v>
      </c>
      <c r="L211" s="848">
        <f>BS!M10</f>
        <v>135.626</v>
      </c>
      <c r="M211" s="848">
        <f>BS!N10</f>
        <v>129.226</v>
      </c>
      <c r="N211" s="848">
        <f>BS!O10</f>
        <v>108.70699999999999</v>
      </c>
      <c r="O211" s="848">
        <f>BS!P10</f>
        <v>146.31100000000001</v>
      </c>
      <c r="P211" s="849">
        <f>BS!Q10</f>
        <v>146.31100000000001</v>
      </c>
      <c r="Q211" s="848">
        <f>BS!R10</f>
        <v>122.955</v>
      </c>
      <c r="R211" s="848">
        <f>BS!S10</f>
        <v>105.654</v>
      </c>
      <c r="S211" s="848">
        <f>BS!T10</f>
        <v>110.57299999999999</v>
      </c>
      <c r="T211" s="848">
        <f>BS!U10</f>
        <v>141.94499999999999</v>
      </c>
      <c r="U211" s="849">
        <f>BS!V10</f>
        <v>141.94499999999999</v>
      </c>
      <c r="V211" s="848">
        <f>BS!W10</f>
        <v>138.352</v>
      </c>
      <c r="W211" s="848">
        <f>BS!X10</f>
        <v>172.173</v>
      </c>
      <c r="X211" s="848">
        <f>BS!Y10</f>
        <v>157.23599999999999</v>
      </c>
      <c r="Y211" s="848">
        <f>BS!Z10</f>
        <v>173.245</v>
      </c>
      <c r="Z211" s="849">
        <f>BS!AA10</f>
        <v>173.245</v>
      </c>
      <c r="AA211" s="848">
        <f>BS!AB10</f>
        <v>281.52999999999997</v>
      </c>
      <c r="AB211" s="848">
        <f>BS!AC10</f>
        <v>276.24</v>
      </c>
      <c r="AC211" s="848">
        <f>BS!AD10</f>
        <v>284.58600000000001</v>
      </c>
      <c r="AD211" s="848">
        <f>BS!AE10</f>
        <v>356.815</v>
      </c>
      <c r="AE211" s="849">
        <f>BS!AF10</f>
        <v>356.815</v>
      </c>
      <c r="AF211" s="848">
        <f>BS!AG10</f>
        <v>304.74799999999999</v>
      </c>
      <c r="AG211" s="848">
        <f>BS!AH10</f>
        <v>318.08999999999997</v>
      </c>
      <c r="AH211" s="848">
        <f>BS!AI10</f>
        <v>260.95299999999997</v>
      </c>
      <c r="AI211" s="848">
        <f>BS!AJ10</f>
        <v>318.14499999999998</v>
      </c>
      <c r="AJ211" s="849">
        <f>BS!AK10</f>
        <v>318.14499999999998</v>
      </c>
      <c r="AK211" s="848">
        <f>BS!AL10</f>
        <v>293.26600000000002</v>
      </c>
      <c r="AL211" s="848">
        <f>BS!AM10</f>
        <v>321.14999999999998</v>
      </c>
      <c r="AM211" s="848">
        <f>BS!AN10</f>
        <v>327.97</v>
      </c>
      <c r="AN211" s="848">
        <f>BS!AO10</f>
        <v>467.23399999999998</v>
      </c>
      <c r="AO211" s="849">
        <f>BS!AP10</f>
        <v>467.23399999999998</v>
      </c>
      <c r="AP211" s="848">
        <f>BS!AQ10</f>
        <v>300.048</v>
      </c>
      <c r="AQ211" s="848">
        <f>BS!AR10</f>
        <v>262.59800000000001</v>
      </c>
      <c r="AR211" s="848">
        <f>BS!AS10</f>
        <v>281.80700000000002</v>
      </c>
      <c r="AS211" s="848">
        <f>BS!AT10</f>
        <v>410.87900000000002</v>
      </c>
      <c r="AT211" s="849">
        <f>BS!AU10</f>
        <v>410.87900000000002</v>
      </c>
      <c r="AU211" s="848">
        <f>BS!AV10</f>
        <v>350.577</v>
      </c>
      <c r="AV211" s="848">
        <f>BS!AW10</f>
        <v>439.15100000000001</v>
      </c>
      <c r="AW211" s="848">
        <f>BS!AX10</f>
        <v>484.55</v>
      </c>
      <c r="AX211" s="848">
        <f>BS!AY10</f>
        <v>554.32799999999997</v>
      </c>
      <c r="AY211" s="849">
        <f>BS!AZ10</f>
        <v>554.32799999999997</v>
      </c>
      <c r="AZ211" s="848">
        <f>BS!BA10</f>
        <v>533.35299999999995</v>
      </c>
      <c r="BA211" s="848">
        <f>BS!BB10</f>
        <v>568.57000000000005</v>
      </c>
      <c r="BB211" s="848">
        <f>BS!BC10</f>
        <v>559.32000000000005</v>
      </c>
      <c r="BC211" s="848">
        <f>BS!BD10</f>
        <v>634.37300000000005</v>
      </c>
      <c r="BD211" s="849">
        <f>BS!BE10</f>
        <v>634.37300000000005</v>
      </c>
      <c r="BE211" s="848">
        <f>BS!BF10</f>
        <v>512.21100000000001</v>
      </c>
      <c r="BF211" s="848">
        <f>BS!BG10</f>
        <v>529.39099999999996</v>
      </c>
      <c r="BG211" s="848">
        <f>BS!BH10</f>
        <v>566.67100000000005</v>
      </c>
      <c r="BH211" s="848">
        <f>BS!BI10</f>
        <v>617.23299999999995</v>
      </c>
      <c r="BI211" s="849">
        <f>BS!BJ10</f>
        <v>617.23299999999995</v>
      </c>
      <c r="BJ211" s="848">
        <f>BS!BK10</f>
        <v>485.80099999999999</v>
      </c>
      <c r="BK211" s="848">
        <f>BS!BL10</f>
        <v>470.05200000000002</v>
      </c>
      <c r="BL211" s="848">
        <f>BS!BM10</f>
        <v>522.40899999999999</v>
      </c>
      <c r="BM211" s="848">
        <f>BS!BN10</f>
        <v>599.82000000000005</v>
      </c>
      <c r="BN211" s="849">
        <f>BS!BO10</f>
        <v>599.82000000000005</v>
      </c>
      <c r="BO211" s="848">
        <f>BS!BP10</f>
        <v>510.50700000000001</v>
      </c>
      <c r="BP211" s="848">
        <f>BS!BQ10</f>
        <v>531.55700000000002</v>
      </c>
      <c r="BQ211" s="848">
        <f>BS!BR10</f>
        <v>528.33100000000002</v>
      </c>
      <c r="BR211" s="848">
        <f>BS!BS10</f>
        <v>591.79999999999995</v>
      </c>
      <c r="BS211" s="849">
        <f>BS!BT10</f>
        <v>591.79999999999995</v>
      </c>
      <c r="BT211" s="848">
        <f>BS!BU10</f>
        <v>532.42700000000002</v>
      </c>
      <c r="BU211" s="848">
        <f>BS!BV10</f>
        <v>502.61700000000002</v>
      </c>
      <c r="BV211" s="848">
        <f>BS!BW10</f>
        <v>593.55399999999997</v>
      </c>
      <c r="BW211" s="848">
        <f>BS!BX10</f>
        <v>672.00599999999997</v>
      </c>
      <c r="BX211" s="849">
        <f>BS!BY10</f>
        <v>672.00599999999997</v>
      </c>
      <c r="BY211" s="848">
        <f>BS!BZ10</f>
        <v>599.20699999999999</v>
      </c>
      <c r="BZ211" s="848">
        <f>BS!CA10</f>
        <v>666.73599999999999</v>
      </c>
      <c r="CA211" s="848">
        <f>BS!CB10</f>
        <v>731.16600000000005</v>
      </c>
      <c r="CB211" s="848">
        <f>BS!CC10</f>
        <v>833.03300000000002</v>
      </c>
      <c r="CC211" s="849">
        <f>BS!CD10</f>
        <v>833.03300000000002</v>
      </c>
      <c r="CD211" s="848">
        <f>BS!CE10</f>
        <v>850.84</v>
      </c>
      <c r="CE211" s="848">
        <f>BS!CF10</f>
        <v>901.452</v>
      </c>
      <c r="CF211" s="848">
        <f>BS!CG10</f>
        <v>1006.187</v>
      </c>
      <c r="CG211" s="848">
        <f>BS!CH10</f>
        <v>1217.9680000000001</v>
      </c>
      <c r="CH211" s="849">
        <f>BS!CI10</f>
        <v>1217.9680000000001</v>
      </c>
      <c r="CI211" s="848">
        <f>BS!CJ10</f>
        <v>1062.69</v>
      </c>
      <c r="CJ211" s="848">
        <f>BS!CK10</f>
        <v>1058.6771706442628</v>
      </c>
      <c r="CK211" s="848">
        <f>BS!CL10</f>
        <v>1186.3791294476423</v>
      </c>
      <c r="CL211" s="848">
        <f>BS!CM10</f>
        <v>1314.0993675285185</v>
      </c>
      <c r="CM211" s="849">
        <f>BS!CN10</f>
        <v>1314.0993675285185</v>
      </c>
      <c r="CN211" s="848">
        <f>BS!CO10</f>
        <v>1261.7928573303157</v>
      </c>
      <c r="CO211" s="848">
        <f>BS!CP10</f>
        <v>1251.4079131064832</v>
      </c>
      <c r="CP211" s="848">
        <f>BS!CQ10</f>
        <v>1404.9584201898574</v>
      </c>
      <c r="CQ211" s="848">
        <f>BS!CR10</f>
        <v>1555.3487821982674</v>
      </c>
      <c r="CR211" s="849">
        <f>BS!CS10</f>
        <v>1555.3487821982674</v>
      </c>
      <c r="CS211" s="848">
        <f>BS!CT10</f>
        <v>1484.663313274239</v>
      </c>
      <c r="CT211" s="848">
        <f>BS!CU10</f>
        <v>1462.1397602483005</v>
      </c>
      <c r="CU211" s="848">
        <f>BS!CV10</f>
        <v>1628.9316143852557</v>
      </c>
      <c r="CV211" s="848">
        <f>BS!CW10</f>
        <v>1790.0158520590728</v>
      </c>
      <c r="CW211" s="849">
        <f>BS!CX10</f>
        <v>1790.0158520590728</v>
      </c>
      <c r="CZ211" s="850"/>
      <c r="DA211" s="677"/>
      <c r="DB211" s="677"/>
    </row>
    <row r="212" spans="1:106">
      <c r="A212" s="848" t="s">
        <v>130</v>
      </c>
      <c r="B212" s="848"/>
      <c r="C212" s="848"/>
      <c r="D212" s="848"/>
      <c r="E212" s="848"/>
      <c r="F212" s="849"/>
      <c r="G212" s="848">
        <f>BS!H29+BS!H36</f>
        <v>0</v>
      </c>
      <c r="H212" s="848">
        <f>BS!I29+BS!I36</f>
        <v>0</v>
      </c>
      <c r="I212" s="848">
        <f>BS!J29+BS!J36</f>
        <v>0</v>
      </c>
      <c r="J212" s="848">
        <f>BS!K29+BS!K36</f>
        <v>0</v>
      </c>
      <c r="K212" s="849">
        <f>BS!L29+BS!L36</f>
        <v>0</v>
      </c>
      <c r="L212" s="848">
        <f>BS!M29+BS!M36</f>
        <v>0</v>
      </c>
      <c r="M212" s="848">
        <f>BS!N29+BS!N36</f>
        <v>0</v>
      </c>
      <c r="N212" s="848">
        <f>BS!O29+BS!O36</f>
        <v>0</v>
      </c>
      <c r="O212" s="848">
        <f>BS!P29+BS!P36</f>
        <v>0</v>
      </c>
      <c r="P212" s="849">
        <f>BS!Q29+BS!Q36</f>
        <v>0</v>
      </c>
      <c r="Q212" s="848">
        <f>BS!R29+BS!R36</f>
        <v>0</v>
      </c>
      <c r="R212" s="848">
        <f>BS!S29+BS!S36</f>
        <v>0</v>
      </c>
      <c r="S212" s="848">
        <f>BS!T29+BS!T36</f>
        <v>0</v>
      </c>
      <c r="T212" s="848">
        <f>BS!U29+BS!U36</f>
        <v>0</v>
      </c>
      <c r="U212" s="849">
        <f>BS!V29+BS!V36</f>
        <v>0</v>
      </c>
      <c r="V212" s="848">
        <f>BS!W29+BS!W36</f>
        <v>0</v>
      </c>
      <c r="W212" s="848">
        <f>BS!X29+BS!X36</f>
        <v>0</v>
      </c>
      <c r="X212" s="848">
        <f>BS!Y29+BS!Y36</f>
        <v>0</v>
      </c>
      <c r="Y212" s="848">
        <f>BS!Z29+BS!Z36</f>
        <v>0</v>
      </c>
      <c r="Z212" s="849">
        <f>BS!AA29+BS!AA36</f>
        <v>0</v>
      </c>
      <c r="AA212" s="848">
        <f>BS!AB29+BS!AB36</f>
        <v>0</v>
      </c>
      <c r="AB212" s="848">
        <f>BS!AC29+BS!AC36</f>
        <v>0</v>
      </c>
      <c r="AC212" s="848">
        <f>BS!AD29+BS!AD36</f>
        <v>0</v>
      </c>
      <c r="AD212" s="848">
        <f>BS!AE29+BS!AE36</f>
        <v>0</v>
      </c>
      <c r="AE212" s="849">
        <f>BS!AF29+BS!AF36</f>
        <v>0</v>
      </c>
      <c r="AF212" s="848">
        <f>BS!AG29+BS!AG36</f>
        <v>0</v>
      </c>
      <c r="AG212" s="848">
        <f>BS!AH29+BS!AH36</f>
        <v>0</v>
      </c>
      <c r="AH212" s="848">
        <f>BS!AI29+BS!AI36</f>
        <v>0</v>
      </c>
      <c r="AI212" s="848">
        <f>BS!AJ29+BS!AJ36</f>
        <v>0</v>
      </c>
      <c r="AJ212" s="849">
        <f>BS!AK29+BS!AK36</f>
        <v>0</v>
      </c>
      <c r="AK212" s="848">
        <f>BS!AL29+BS!AL36</f>
        <v>0</v>
      </c>
      <c r="AL212" s="848">
        <f>BS!AM29+BS!AM36</f>
        <v>0</v>
      </c>
      <c r="AM212" s="848">
        <f>BS!AN29+BS!AN36</f>
        <v>0</v>
      </c>
      <c r="AN212" s="848">
        <f>BS!AO29+BS!AO36</f>
        <v>0</v>
      </c>
      <c r="AO212" s="849">
        <f>BS!AP29+BS!AP36</f>
        <v>0</v>
      </c>
      <c r="AP212" s="848">
        <f>BS!AQ29+BS!AQ36</f>
        <v>0</v>
      </c>
      <c r="AQ212" s="848">
        <f>BS!AR29+BS!AR36</f>
        <v>0</v>
      </c>
      <c r="AR212" s="848">
        <f>BS!AS29+BS!AS36</f>
        <v>0</v>
      </c>
      <c r="AS212" s="848">
        <f>BS!AT29+BS!AT36</f>
        <v>0</v>
      </c>
      <c r="AT212" s="849">
        <f>BS!AU29+BS!AU36</f>
        <v>0</v>
      </c>
      <c r="AU212" s="848">
        <f>BS!AV29+BS!AV36</f>
        <v>0</v>
      </c>
      <c r="AV212" s="848">
        <f>BS!AW29+BS!AW36</f>
        <v>0</v>
      </c>
      <c r="AW212" s="848">
        <f>BS!AX29+BS!AX36</f>
        <v>8.6980000000000004</v>
      </c>
      <c r="AX212" s="848">
        <f>BS!AY29+BS!AY36</f>
        <v>8.7989999999999995</v>
      </c>
      <c r="AY212" s="849">
        <f>BS!AZ29+BS!AZ36</f>
        <v>8.7989999999999995</v>
      </c>
      <c r="AZ212" s="848">
        <f>BS!BA29+BS!BA36</f>
        <v>8.9</v>
      </c>
      <c r="BA212" s="848">
        <f>BS!BB29+BS!BB36</f>
        <v>9.0030000000000001</v>
      </c>
      <c r="BB212" s="848">
        <f>BS!BC29+BS!BC36</f>
        <v>9.1069999999999993</v>
      </c>
      <c r="BC212" s="848">
        <f>BS!BD29+BS!BD36</f>
        <v>9.2119999999999997</v>
      </c>
      <c r="BD212" s="849">
        <f>BS!BE29+BS!BE36</f>
        <v>9.2119999999999997</v>
      </c>
      <c r="BE212" s="848">
        <f>BS!BF29+BS!BF36</f>
        <v>9.3179999999999996</v>
      </c>
      <c r="BF212" s="848">
        <f>BS!BG29+BS!BG36</f>
        <v>9.4260000000000002</v>
      </c>
      <c r="BG212" s="848">
        <f>BS!BH29+BS!BH36</f>
        <v>11.093</v>
      </c>
      <c r="BH212" s="848">
        <f>BS!BI29+BS!BI36</f>
        <v>11.217000000000001</v>
      </c>
      <c r="BI212" s="849">
        <f>BS!BJ29+BS!BJ36</f>
        <v>11.217000000000001</v>
      </c>
      <c r="BJ212" s="848">
        <f>BS!BK29+BS!BK36</f>
        <v>22.405999999999999</v>
      </c>
      <c r="BK212" s="848">
        <f>BS!BL29+BS!BL36</f>
        <v>20.082999999999998</v>
      </c>
      <c r="BL212" s="848">
        <f>BS!BM29+BS!BM36</f>
        <v>17.462</v>
      </c>
      <c r="BM212" s="848">
        <f>BS!BN29+BS!BN36</f>
        <v>14.676</v>
      </c>
      <c r="BN212" s="849">
        <f>BS!BO29+BS!BO36</f>
        <v>14.676</v>
      </c>
      <c r="BO212" s="848">
        <f>BS!BP29+BS!BP36</f>
        <v>613.30999999999995</v>
      </c>
      <c r="BP212" s="848">
        <f>BS!BQ29+BS!BQ36</f>
        <v>609.74199999999996</v>
      </c>
      <c r="BQ212" s="848">
        <f>BS!BR29+BS!BR36</f>
        <v>606.42600000000004</v>
      </c>
      <c r="BR212" s="848">
        <f>BS!BS29+BS!BS36</f>
        <v>603.22900000000004</v>
      </c>
      <c r="BS212" s="849">
        <f>BS!BT29+BS!BT36</f>
        <v>603.22900000000004</v>
      </c>
      <c r="BT212" s="848">
        <f>BS!BU29+BS!BU36</f>
        <v>6.4000000000000001E-2</v>
      </c>
      <c r="BU212" s="848">
        <f>BS!BV29+BS!BV36</f>
        <v>0</v>
      </c>
      <c r="BV212" s="848">
        <f>BS!BW29+BS!BW36</f>
        <v>0</v>
      </c>
      <c r="BW212" s="848">
        <f>BS!BX29+BS!BX36</f>
        <v>0</v>
      </c>
      <c r="BX212" s="849">
        <f>BS!BY29+BS!BY36</f>
        <v>0</v>
      </c>
      <c r="BY212" s="848">
        <f>BS!BZ29+BS!BZ36</f>
        <v>0</v>
      </c>
      <c r="BZ212" s="848">
        <f>BS!CA29+BS!CA36</f>
        <v>0</v>
      </c>
      <c r="CA212" s="848">
        <f>BS!CB29+BS!CB36</f>
        <v>0</v>
      </c>
      <c r="CB212" s="848">
        <f>BS!CC29+BS!CC36</f>
        <v>0</v>
      </c>
      <c r="CC212" s="849">
        <f>BS!CD29+BS!CD36</f>
        <v>0</v>
      </c>
      <c r="CD212" s="848">
        <f>BS!CE29+BS!CE36</f>
        <v>0</v>
      </c>
      <c r="CE212" s="848">
        <f>BS!CF29+BS!CF36</f>
        <v>0</v>
      </c>
      <c r="CF212" s="848">
        <f>BS!CG29+BS!CG36</f>
        <v>0</v>
      </c>
      <c r="CG212" s="848">
        <f>BS!CH29+BS!CH36</f>
        <v>0</v>
      </c>
      <c r="CH212" s="849">
        <f>BS!CI29+BS!CI36</f>
        <v>0</v>
      </c>
      <c r="CI212" s="848">
        <f>BS!CJ29+BS!CJ36</f>
        <v>0</v>
      </c>
      <c r="CJ212" s="848">
        <f>BS!CK29+BS!CK36</f>
        <v>0</v>
      </c>
      <c r="CK212" s="848">
        <f>BS!CL29+BS!CL36</f>
        <v>0</v>
      </c>
      <c r="CL212" s="848">
        <f>BS!CM29+BS!CM36</f>
        <v>0</v>
      </c>
      <c r="CM212" s="849">
        <f>BS!CN29+BS!CN36</f>
        <v>0</v>
      </c>
      <c r="CN212" s="848">
        <f>BS!CO29+BS!CO36</f>
        <v>0</v>
      </c>
      <c r="CO212" s="848">
        <f>BS!CP29+BS!CP36</f>
        <v>0</v>
      </c>
      <c r="CP212" s="848">
        <f>BS!CQ29+BS!CQ36</f>
        <v>0</v>
      </c>
      <c r="CQ212" s="848">
        <f>BS!CR29+BS!CR36</f>
        <v>0</v>
      </c>
      <c r="CR212" s="849">
        <f>BS!CS29+BS!CS36</f>
        <v>0</v>
      </c>
      <c r="CS212" s="848">
        <f>BS!CT29+BS!CT36</f>
        <v>0</v>
      </c>
      <c r="CT212" s="848">
        <f>BS!CU29+BS!CU36</f>
        <v>0</v>
      </c>
      <c r="CU212" s="848">
        <f>BS!CV29+BS!CV36</f>
        <v>0</v>
      </c>
      <c r="CV212" s="848">
        <f>BS!CW29+BS!CW36</f>
        <v>0</v>
      </c>
      <c r="CW212" s="849">
        <f>BS!CX29+BS!CX36</f>
        <v>0</v>
      </c>
      <c r="CZ212" s="850"/>
      <c r="DA212" s="677"/>
      <c r="DB212" s="677"/>
    </row>
    <row r="213" spans="1:106" ht="5.25" customHeight="1">
      <c r="A213" s="851"/>
      <c r="B213" s="852"/>
      <c r="C213" s="852"/>
      <c r="D213" s="852"/>
      <c r="E213" s="852"/>
      <c r="F213" s="853"/>
      <c r="G213" s="852"/>
      <c r="H213" s="852"/>
      <c r="I213" s="852"/>
      <c r="J213" s="852"/>
      <c r="K213" s="853"/>
      <c r="L213" s="852"/>
      <c r="M213" s="852"/>
      <c r="N213" s="852"/>
      <c r="O213" s="852"/>
      <c r="P213" s="853"/>
      <c r="Q213" s="852"/>
      <c r="R213" s="852"/>
      <c r="S213" s="852"/>
      <c r="T213" s="852"/>
      <c r="U213" s="853"/>
      <c r="V213" s="852"/>
      <c r="W213" s="852"/>
      <c r="X213" s="852"/>
      <c r="Y213" s="852"/>
      <c r="Z213" s="853"/>
      <c r="AA213" s="852"/>
      <c r="AB213" s="852"/>
      <c r="AC213" s="852"/>
      <c r="AD213" s="852"/>
      <c r="AE213" s="853"/>
      <c r="AF213" s="852"/>
      <c r="AG213" s="852"/>
      <c r="AH213" s="852"/>
      <c r="AI213" s="852"/>
      <c r="AJ213" s="853"/>
      <c r="AK213" s="852"/>
      <c r="AL213" s="852"/>
      <c r="AM213" s="852"/>
      <c r="AN213" s="852"/>
      <c r="AO213" s="853"/>
      <c r="AP213" s="852"/>
      <c r="AQ213" s="852"/>
      <c r="AR213" s="852"/>
      <c r="AS213" s="852"/>
      <c r="AT213" s="853"/>
      <c r="AU213" s="852"/>
      <c r="AV213" s="852"/>
      <c r="AW213" s="852"/>
      <c r="AX213" s="852"/>
      <c r="AY213" s="853"/>
      <c r="AZ213" s="852"/>
      <c r="BA213" s="852"/>
      <c r="BB213" s="852"/>
      <c r="BC213" s="852"/>
      <c r="BD213" s="853"/>
      <c r="BE213" s="852"/>
      <c r="BF213" s="852"/>
      <c r="BG213" s="852"/>
      <c r="BH213" s="852"/>
      <c r="BI213" s="853"/>
      <c r="BJ213" s="852"/>
      <c r="BK213" s="852"/>
      <c r="BL213" s="852"/>
      <c r="BM213" s="852"/>
      <c r="BN213" s="853"/>
      <c r="BO213" s="852"/>
      <c r="BP213" s="852"/>
      <c r="BQ213" s="852"/>
      <c r="BR213" s="852"/>
      <c r="BS213" s="853"/>
      <c r="BT213" s="852"/>
      <c r="BU213" s="852"/>
      <c r="BV213" s="852"/>
      <c r="BW213" s="852"/>
      <c r="BX213" s="853"/>
      <c r="BY213" s="852"/>
      <c r="BZ213" s="852"/>
      <c r="CA213" s="852"/>
      <c r="CB213" s="852"/>
      <c r="CC213" s="853"/>
      <c r="CD213" s="852"/>
      <c r="CE213" s="852"/>
      <c r="CF213" s="852"/>
      <c r="CG213" s="852"/>
      <c r="CH213" s="853"/>
      <c r="CI213" s="852"/>
      <c r="CJ213" s="852"/>
      <c r="CK213" s="852"/>
      <c r="CL213" s="852"/>
      <c r="CM213" s="853"/>
      <c r="CN213" s="852"/>
      <c r="CO213" s="852"/>
      <c r="CP213" s="852"/>
      <c r="CQ213" s="852"/>
      <c r="CR213" s="853"/>
      <c r="CS213" s="852"/>
      <c r="CT213" s="852"/>
      <c r="CU213" s="852"/>
      <c r="CV213" s="852"/>
      <c r="CW213" s="853"/>
      <c r="CZ213" s="854"/>
      <c r="DA213" s="852"/>
      <c r="DB213" s="852"/>
    </row>
    <row r="214" spans="1:106">
      <c r="A214" s="848" t="s">
        <v>368</v>
      </c>
      <c r="B214" s="848"/>
      <c r="C214" s="848"/>
      <c r="D214" s="848"/>
      <c r="E214" s="848"/>
      <c r="F214" s="849"/>
      <c r="G214" s="848">
        <f>G210/Model!H114</f>
        <v>1.2656527146323064</v>
      </c>
      <c r="H214" s="848">
        <f>H210/Model!I114</f>
        <v>1.4128961148546351</v>
      </c>
      <c r="I214" s="848">
        <f>I210/Model!J114</f>
        <v>1.307100154083205</v>
      </c>
      <c r="J214" s="848">
        <f>J210/Model!K114</f>
        <v>1.3078282924515918</v>
      </c>
      <c r="K214" s="849">
        <f>K210/Model!L114</f>
        <v>1.2704416355776389</v>
      </c>
      <c r="L214" s="848">
        <f>L210/Model!M114</f>
        <v>1.3868968184484092</v>
      </c>
      <c r="M214" s="848">
        <f>M210/Model!N114</f>
        <v>1.6356625438372829</v>
      </c>
      <c r="N214" s="848">
        <f>N210/Model!O114</f>
        <v>1.7728643007131126</v>
      </c>
      <c r="O214" s="848">
        <f>O210/Model!P114</f>
        <v>2.1862972586679201</v>
      </c>
      <c r="P214" s="849">
        <f>P210/Model!Q114</f>
        <v>2.2707247877407331</v>
      </c>
      <c r="Q214" s="848">
        <f>Q210/Model!R114</f>
        <v>2.5384010532860333</v>
      </c>
      <c r="R214" s="848">
        <f>R210/Model!S114</f>
        <v>2.5938442663772965</v>
      </c>
      <c r="S214" s="848">
        <f>S210/Model!T114</f>
        <v>2.3061757171820179</v>
      </c>
      <c r="T214" s="848">
        <f>T210/Model!U114</f>
        <v>2.6151549493959281</v>
      </c>
      <c r="U214" s="849">
        <f>U210/Model!V114</f>
        <v>1.4638708800028537</v>
      </c>
      <c r="V214" s="848">
        <f>V210/Model!W114</f>
        <v>2.8983705465623038</v>
      </c>
      <c r="W214" s="848">
        <f>W210/Model!X114</f>
        <v>3.326864191311329</v>
      </c>
      <c r="X214" s="848">
        <f>X210/Model!Y114</f>
        <v>3.727268072805181</v>
      </c>
      <c r="Y214" s="848">
        <f>Y210/Model!Z114</f>
        <v>3.3476371366150337</v>
      </c>
      <c r="Z214" s="849">
        <f>Z210/Model!AA114</f>
        <v>3.3510190229772112</v>
      </c>
      <c r="AA214" s="848">
        <f>AA210/Model!AB114</f>
        <v>3.3844853732236153</v>
      </c>
      <c r="AB214" s="848">
        <f>AB210/Model!AC114</f>
        <v>2.9750311174251065</v>
      </c>
      <c r="AC214" s="848">
        <f>AC210/Model!AD114</f>
        <v>3.3058936696389649</v>
      </c>
      <c r="AD214" s="848">
        <f>AD210/Model!AE114</f>
        <v>3.7877344625731726</v>
      </c>
      <c r="AE214" s="849">
        <f>AE210/Model!AF114</f>
        <v>3.7411391315044904</v>
      </c>
      <c r="AF214" s="848">
        <f>AF210/Model!AG114</f>
        <v>3.7772507691365638</v>
      </c>
      <c r="AG214" s="848">
        <f>AG210/Model!AH114</f>
        <v>3.8511095975088532</v>
      </c>
      <c r="AH214" s="848">
        <f>AH210/Model!AI114</f>
        <v>3.2740711226884796</v>
      </c>
      <c r="AI214" s="848">
        <f>AI210/Model!AJ114</f>
        <v>3.3916868668827025</v>
      </c>
      <c r="AJ214" s="849">
        <f>AJ210/Model!AK114</f>
        <v>3.3298885223999002</v>
      </c>
      <c r="AK214" s="848">
        <f>AK210/Model!AL114</f>
        <v>3.0025680120575777</v>
      </c>
      <c r="AL214" s="848">
        <f>AL210/Model!AM114</f>
        <v>3.4380872309984216</v>
      </c>
      <c r="AM214" s="848">
        <f>AM210/Model!AN114</f>
        <v>3.6964037309421016</v>
      </c>
      <c r="AN214" s="848">
        <f>AN210/Model!AO114</f>
        <v>3.7749431665220907</v>
      </c>
      <c r="AO214" s="849">
        <f>AO210/Model!AP114</f>
        <v>3.6809606364380469</v>
      </c>
      <c r="AP214" s="848">
        <f>AP210/Model!AQ114</f>
        <v>4.5160259932175126</v>
      </c>
      <c r="AQ214" s="848">
        <f>AQ210/Model!AR114</f>
        <v>5.0456806934677738</v>
      </c>
      <c r="AR214" s="848">
        <f>AR210/Model!AS114</f>
        <v>4.8071036782002565</v>
      </c>
      <c r="AS214" s="848">
        <f>AS210/Model!AT114</f>
        <v>3.5800989170258721</v>
      </c>
      <c r="AT214" s="849">
        <f>AT210/Model!AU114</f>
        <v>3.5940013577950309</v>
      </c>
      <c r="AU214" s="848">
        <f>AU210/Model!AV114</f>
        <v>5.017195317706916</v>
      </c>
      <c r="AV214" s="848">
        <f>AV210/Model!AW114</f>
        <v>4.9595449865825048</v>
      </c>
      <c r="AW214" s="848">
        <f>AW210/Model!AX114</f>
        <v>4.928091532725893</v>
      </c>
      <c r="AX214" s="848">
        <f>AX210/Model!AY114</f>
        <v>4.8210668401302534</v>
      </c>
      <c r="AY214" s="849">
        <f>AY210/Model!AZ114</f>
        <v>4.6987300369442062</v>
      </c>
      <c r="AZ214" s="848">
        <f>AZ210/Model!BA114</f>
        <v>5.1571191081556815</v>
      </c>
      <c r="BA214" s="848">
        <f>BA210/Model!BB114</f>
        <v>5.185905032788181</v>
      </c>
      <c r="BB214" s="848">
        <f>BB210/Model!BC114</f>
        <v>5.4522808431630843</v>
      </c>
      <c r="BC214" s="848">
        <f>BC210/Model!BD114</f>
        <v>5.8669401637758716</v>
      </c>
      <c r="BD214" s="849">
        <f>BD210/Model!BE114</f>
        <v>5.7869004858867275</v>
      </c>
      <c r="BE214" s="848">
        <f>BE210/Model!BF114</f>
        <v>5.528056789067465</v>
      </c>
      <c r="BF214" s="848">
        <f>BF210/Model!BG114</f>
        <v>5.9797657251928191</v>
      </c>
      <c r="BG214" s="848">
        <f>BG210/Model!BH114</f>
        <v>6.4978839716102028</v>
      </c>
      <c r="BH214" s="848">
        <f>BH210/Model!BI114</f>
        <v>7.0463503228093378</v>
      </c>
      <c r="BI214" s="849">
        <f>BI210/Model!BJ114</f>
        <v>7.0637581313452449</v>
      </c>
      <c r="BJ214" s="848">
        <f>BJ210/Model!BK114</f>
        <v>7.2083510554505352</v>
      </c>
      <c r="BK214" s="848">
        <f>BK210/Model!BL114</f>
        <v>7.5436397200875787</v>
      </c>
      <c r="BL214" s="848">
        <f>BL210/Model!BM114</f>
        <v>6.1543221163197819</v>
      </c>
      <c r="BM214" s="848">
        <f>BM210/Model!BN114</f>
        <v>6.2098684751174957</v>
      </c>
      <c r="BN214" s="849">
        <f>BN210/Model!BO114</f>
        <v>6.2064075311860174</v>
      </c>
      <c r="BO214" s="848">
        <f>BO210/Model!BP114</f>
        <v>6.161411653617658</v>
      </c>
      <c r="BP214" s="848">
        <f>BP210/Model!BQ114</f>
        <v>6.5725211027715327</v>
      </c>
      <c r="BQ214" s="848">
        <f>BQ210/Model!BR114</f>
        <v>6.9321007225129039</v>
      </c>
      <c r="BR214" s="848">
        <f>BR210/Model!BS114</f>
        <v>7.3691666781620295</v>
      </c>
      <c r="BS214" s="849">
        <f>BS210/Model!BT114</f>
        <v>7.3674063150615501</v>
      </c>
      <c r="BT214" s="848">
        <f>BT210/Model!BU114</f>
        <v>6.259423162557189</v>
      </c>
      <c r="BU214" s="848">
        <f>BU210/Model!BV114</f>
        <v>6.7511264245958129</v>
      </c>
      <c r="BV214" s="848">
        <f>BV210/Model!BW114</f>
        <v>7.2531983416665176</v>
      </c>
      <c r="BW214" s="848">
        <f>BW210/Model!BX114</f>
        <v>7.8814020220864327</v>
      </c>
      <c r="BX214" s="849">
        <f>BX210/Model!BY114</f>
        <v>7.8779730054732786</v>
      </c>
      <c r="BY214" s="848">
        <f>BY210/Model!BZ114</f>
        <v>8.1037818682318328</v>
      </c>
      <c r="BZ214" s="848">
        <f>BZ210/Model!CA114</f>
        <v>8.5559621576105798</v>
      </c>
      <c r="CA214" s="848">
        <f>CA210/Model!CB114</f>
        <v>8.8280160184565659</v>
      </c>
      <c r="CB214" s="848">
        <f>CB210/Model!CC114</f>
        <v>9.5002553993008458</v>
      </c>
      <c r="CC214" s="849">
        <f>CC210/Model!CD114</f>
        <v>9.4505583933673609</v>
      </c>
      <c r="CD214" s="848">
        <f>CD210/Model!CE114</f>
        <v>9.2792551226787481</v>
      </c>
      <c r="CE214" s="848">
        <f>CE210/Model!CF114</f>
        <v>9.8561070128769597</v>
      </c>
      <c r="CF214" s="848">
        <f>CF210/Model!CG114</f>
        <v>10.728432167994276</v>
      </c>
      <c r="CG214" s="848">
        <f>CG210/Model!CH114</f>
        <v>11.638151421829381</v>
      </c>
      <c r="CH214" s="849">
        <f>CH210/Model!CI114</f>
        <v>11.629837086033163</v>
      </c>
      <c r="CI214" s="848">
        <f>CI210/Model!CJ114</f>
        <v>12.309899425949027</v>
      </c>
      <c r="CJ214" s="848">
        <f>CJ210/Model!CK114</f>
        <v>13.893271668976766</v>
      </c>
      <c r="CK214" s="848">
        <f>CK210/Model!CL114</f>
        <v>14.993796887573646</v>
      </c>
      <c r="CL214" s="848">
        <f>CL210/Model!CM114</f>
        <v>16.641567047660054</v>
      </c>
      <c r="CM214" s="849">
        <f>CM210/Model!CN114</f>
        <v>16.607754086382748</v>
      </c>
      <c r="CN214" s="848">
        <f>CN210/Model!CO114</f>
        <v>17.869788813613848</v>
      </c>
      <c r="CO214" s="848">
        <f>CO210/Model!CP114</f>
        <v>19.041308401513433</v>
      </c>
      <c r="CP214" s="848">
        <f>CP210/Model!CQ114</f>
        <v>20.295737063059523</v>
      </c>
      <c r="CQ214" s="848">
        <f>CQ210/Model!CR114</f>
        <v>22.180255074165093</v>
      </c>
      <c r="CR214" s="849">
        <f>CR210/Model!CS114</f>
        <v>22.14697915481738</v>
      </c>
      <c r="CS214" s="848">
        <f>CS210/Model!CT114</f>
        <v>23.745841048372327</v>
      </c>
      <c r="CT214" s="848">
        <f>CT210/Model!CU114</f>
        <v>25.153599789693409</v>
      </c>
      <c r="CU214" s="848">
        <f>CU210/Model!CV114</f>
        <v>26.640831582208385</v>
      </c>
      <c r="CV214" s="848">
        <f>CV210/Model!CW114</f>
        <v>28.835764276575397</v>
      </c>
      <c r="CW214" s="849">
        <f>CW210/Model!CX114</f>
        <v>28.792503432045493</v>
      </c>
      <c r="CZ214" s="850"/>
      <c r="DA214" s="677"/>
      <c r="DB214" s="677"/>
    </row>
    <row r="215" spans="1:106">
      <c r="A215" s="848" t="s">
        <v>199</v>
      </c>
      <c r="B215" s="848"/>
      <c r="C215" s="848"/>
      <c r="D215" s="848"/>
      <c r="E215" s="848"/>
      <c r="F215" s="849"/>
      <c r="G215" s="848">
        <f>BS!H98</f>
        <v>16.100136518946162</v>
      </c>
      <c r="H215" s="848">
        <f>BS!I98</f>
        <v>13.92238238555362</v>
      </c>
      <c r="I215" s="848">
        <f>BS!J98</f>
        <v>14.156007514112563</v>
      </c>
      <c r="J215" s="848">
        <f>BS!K98</f>
        <v>16.344646575316478</v>
      </c>
      <c r="K215" s="849">
        <f>BS!L98</f>
        <v>16.431876891679412</v>
      </c>
      <c r="L215" s="848">
        <f>BS!M98</f>
        <v>14.418281828390802</v>
      </c>
      <c r="M215" s="848">
        <f>BS!N98</f>
        <v>16.48194022345147</v>
      </c>
      <c r="N215" s="848">
        <f>BS!O98</f>
        <v>12.871955081681667</v>
      </c>
      <c r="O215" s="848">
        <f>BS!P98</f>
        <v>14.033415424684097</v>
      </c>
      <c r="P215" s="849">
        <f>BS!Q98</f>
        <v>14.920090277186338</v>
      </c>
      <c r="Q215" s="848">
        <f>BS!R98</f>
        <v>12.492615924220921</v>
      </c>
      <c r="R215" s="848">
        <f>BS!S98</f>
        <v>11.270946258285305</v>
      </c>
      <c r="S215" s="848">
        <f>BS!T98</f>
        <v>12.700565491896324</v>
      </c>
      <c r="T215" s="848">
        <f>BS!U98</f>
        <v>13.920698777563111</v>
      </c>
      <c r="U215" s="849">
        <f>BS!V98</f>
        <v>14.668097027597096</v>
      </c>
      <c r="V215" s="848">
        <f>BS!W98</f>
        <v>11.648968295992322</v>
      </c>
      <c r="W215" s="848">
        <f>BS!X98</f>
        <v>11.257631641838604</v>
      </c>
      <c r="X215" s="848">
        <f>BS!Y98</f>
        <v>11.254881348224259</v>
      </c>
      <c r="Y215" s="848">
        <f>BS!Z98</f>
        <v>11.760679372317011</v>
      </c>
      <c r="Z215" s="849">
        <f>BS!AA98</f>
        <v>12.10153269240246</v>
      </c>
      <c r="AA215" s="848">
        <f>BS!AB98</f>
        <v>11.594912386467101</v>
      </c>
      <c r="AB215" s="848">
        <f>BS!AC98</f>
        <v>11.506740088330265</v>
      </c>
      <c r="AC215" s="848">
        <f>BS!AD98</f>
        <v>8.9239432625550084</v>
      </c>
      <c r="AD215" s="848">
        <f>BS!AE98</f>
        <v>11.727016319248213</v>
      </c>
      <c r="AE215" s="849">
        <f>BS!AF98</f>
        <v>12.409561625487452</v>
      </c>
      <c r="AF215" s="848">
        <f>BS!AG98</f>
        <v>10.018257387287354</v>
      </c>
      <c r="AG215" s="848">
        <f>BS!AH98</f>
        <v>10.834883058661598</v>
      </c>
      <c r="AH215" s="848">
        <f>BS!AI98</f>
        <v>11.499205213486313</v>
      </c>
      <c r="AI215" s="848">
        <f>BS!AJ98</f>
        <v>11.113686163295192</v>
      </c>
      <c r="AJ215" s="849">
        <f>BS!AK98</f>
        <v>12.514513509023452</v>
      </c>
      <c r="AK215" s="848">
        <f>BS!AL98</f>
        <v>10.647584496071524</v>
      </c>
      <c r="AL215" s="848">
        <f>BS!AM98</f>
        <v>10.354028113593509</v>
      </c>
      <c r="AM215" s="848">
        <f>BS!AN98</f>
        <v>9.5886664126215599</v>
      </c>
      <c r="AN215" s="848">
        <f>BS!AO98</f>
        <v>9.4282785444398822</v>
      </c>
      <c r="AO215" s="849">
        <f>BS!AP98</f>
        <v>9.5039983138488697</v>
      </c>
      <c r="AP215" s="848">
        <f>BS!AQ98</f>
        <v>7.6904652890123399</v>
      </c>
      <c r="AQ215" s="848">
        <f>BS!AR98</f>
        <v>8.2574570053771392</v>
      </c>
      <c r="AR215" s="848">
        <f>BS!AS98</f>
        <v>9.5955414427759127</v>
      </c>
      <c r="AS215" s="848">
        <f>BS!AT98</f>
        <v>10.922622978802961</v>
      </c>
      <c r="AT215" s="849">
        <f>BS!AU98</f>
        <v>11.251180722034093</v>
      </c>
      <c r="AU215" s="848">
        <f>BS!AV98</f>
        <v>7.0812361480399151</v>
      </c>
      <c r="AV215" s="848">
        <f>BS!AW98</f>
        <v>7.5380297879122988</v>
      </c>
      <c r="AW215" s="848">
        <f>BS!AX98</f>
        <v>8.5110835526174515</v>
      </c>
      <c r="AX215" s="848">
        <f>BS!AY98</f>
        <v>7.6669957117308831</v>
      </c>
      <c r="AY215" s="849">
        <f>BS!AZ98</f>
        <v>7.9495553275539095</v>
      </c>
      <c r="AZ215" s="848">
        <f>BS!BA98</f>
        <v>7.9592723662993379</v>
      </c>
      <c r="BA215" s="848">
        <f>BS!BB98</f>
        <v>8.5406181532557461</v>
      </c>
      <c r="BB215" s="848">
        <f>BS!BC98</f>
        <v>9.1990310766330303</v>
      </c>
      <c r="BC215" s="848">
        <f>BS!BD98</f>
        <v>11.175448489113876</v>
      </c>
      <c r="BD215" s="849">
        <f>BS!BE98</f>
        <v>12.031290354359536</v>
      </c>
      <c r="BE215" s="848">
        <f>BS!BF98</f>
        <v>9.7119126316924174</v>
      </c>
      <c r="BF215" s="848">
        <f>BS!BG98</f>
        <v>8.7963899057342676</v>
      </c>
      <c r="BG215" s="848">
        <f>BS!BH98</f>
        <v>7.7453123933479615</v>
      </c>
      <c r="BH215" s="848">
        <f>BS!BI98</f>
        <v>6.145331289630577</v>
      </c>
      <c r="BI215" s="849">
        <f>BS!BJ98</f>
        <v>6.4722137586840365</v>
      </c>
      <c r="BJ215" s="848">
        <f>BS!BK98</f>
        <v>8.6497485036652364</v>
      </c>
      <c r="BK215" s="848">
        <f>BS!BL98</f>
        <v>6.4182348386386741</v>
      </c>
      <c r="BL215" s="848">
        <f>BS!BM98</f>
        <v>8.3994362070841291</v>
      </c>
      <c r="BM215" s="848">
        <f>BS!BN98</f>
        <v>6.9328161896954645</v>
      </c>
      <c r="BN215" s="849">
        <f>BS!BO98</f>
        <v>7.2647479090448108</v>
      </c>
      <c r="BO215" s="848">
        <f>BS!BP98</f>
        <v>7.4027395778705882</v>
      </c>
      <c r="BP215" s="848">
        <f>BS!BQ98</f>
        <v>6.1205683340995574</v>
      </c>
      <c r="BQ215" s="848">
        <f>BS!BR98</f>
        <v>6.0187422442503218</v>
      </c>
      <c r="BR215" s="848">
        <f>BS!BS98</f>
        <v>7.4936421034173799</v>
      </c>
      <c r="BS215" s="849">
        <f>BS!BT98</f>
        <v>7.6529534005095696</v>
      </c>
      <c r="BT215" s="848">
        <f>BS!BU98</f>
        <v>8.033973605362954</v>
      </c>
      <c r="BU215" s="848">
        <f>BS!BV98</f>
        <v>6.1198394236951179</v>
      </c>
      <c r="BV215" s="848">
        <f>BS!BW98</f>
        <v>7.434010867459925</v>
      </c>
      <c r="BW215" s="848">
        <f>BS!BX98</f>
        <v>9.5004164811609932</v>
      </c>
      <c r="BX215" s="849">
        <f>BS!BY98</f>
        <v>9.9865041515311805</v>
      </c>
      <c r="BY215" s="848">
        <f>BS!BZ98</f>
        <v>6.9020661348815722</v>
      </c>
      <c r="BZ215" s="848">
        <f>BS!CA98</f>
        <v>7.3751744381887292</v>
      </c>
      <c r="CA215" s="848">
        <f>BS!CB98</f>
        <v>7.8269385749587803</v>
      </c>
      <c r="CB215" s="848">
        <f>BS!CC98</f>
        <v>7.8845595077763955</v>
      </c>
      <c r="CC215" s="849">
        <f>BS!CD98</f>
        <v>8.2919369994933803</v>
      </c>
      <c r="CD215" s="848">
        <f>BS!CE98</f>
        <v>16.274781836014451</v>
      </c>
      <c r="CE215" s="848">
        <f>BS!CF98</f>
        <v>6.3871589361250969</v>
      </c>
      <c r="CF215" s="848">
        <f>BS!CG98</f>
        <v>7.2252288362617598</v>
      </c>
      <c r="CG215" s="848">
        <f>BS!CH98</f>
        <v>8.6316838142116463</v>
      </c>
      <c r="CH215" s="849">
        <f>BS!CI98</f>
        <v>9.152957562071963</v>
      </c>
      <c r="CI215" s="848">
        <f>BS!CJ98</f>
        <v>9.8941945660337396</v>
      </c>
      <c r="CJ215" s="848">
        <f>BS!CK98</f>
        <v>7.3871589361250969</v>
      </c>
      <c r="CK215" s="848">
        <f>BS!CL98</f>
        <v>8.2252288362617598</v>
      </c>
      <c r="CL215" s="848">
        <f>BS!CM98</f>
        <v>11.631683814211646</v>
      </c>
      <c r="CM215" s="849">
        <f>BS!CN98</f>
        <v>12.477905614548117</v>
      </c>
      <c r="CN215" s="848">
        <f>BS!CO98</f>
        <v>9.8941945660337396</v>
      </c>
      <c r="CO215" s="848">
        <f>BS!CP98</f>
        <v>7.3871589361250969</v>
      </c>
      <c r="CP215" s="848">
        <f>BS!CQ98</f>
        <v>8.2252288362617598</v>
      </c>
      <c r="CQ215" s="848">
        <f>BS!CR98</f>
        <v>11.631683814211646</v>
      </c>
      <c r="CR215" s="849">
        <f>BS!CS98</f>
        <v>12.45458397849851</v>
      </c>
      <c r="CS215" s="848">
        <f>BS!CT98</f>
        <v>9.8941945660337396</v>
      </c>
      <c r="CT215" s="848">
        <f>BS!CU98</f>
        <v>7.3871589361250969</v>
      </c>
      <c r="CU215" s="848">
        <f>BS!CV98</f>
        <v>8.2252288362617598</v>
      </c>
      <c r="CV215" s="848">
        <f>BS!CW98</f>
        <v>11.631683814211646</v>
      </c>
      <c r="CW215" s="849">
        <f>BS!CX98</f>
        <v>12.294162475367292</v>
      </c>
      <c r="CZ215" s="850"/>
      <c r="DA215" s="677"/>
      <c r="DB215" s="677"/>
    </row>
    <row r="216" spans="1:106" ht="5.25" customHeight="1">
      <c r="A216" s="851"/>
      <c r="B216" s="852"/>
      <c r="C216" s="852"/>
      <c r="D216" s="852"/>
      <c r="E216" s="852"/>
      <c r="F216" s="853"/>
      <c r="G216" s="852"/>
      <c r="H216" s="852"/>
      <c r="I216" s="852"/>
      <c r="J216" s="852"/>
      <c r="K216" s="853"/>
      <c r="L216" s="852"/>
      <c r="M216" s="852"/>
      <c r="N216" s="852"/>
      <c r="O216" s="852"/>
      <c r="P216" s="853"/>
      <c r="Q216" s="852"/>
      <c r="R216" s="852"/>
      <c r="S216" s="852"/>
      <c r="T216" s="852"/>
      <c r="U216" s="853"/>
      <c r="V216" s="852"/>
      <c r="W216" s="852"/>
      <c r="X216" s="852"/>
      <c r="Y216" s="852"/>
      <c r="Z216" s="853"/>
      <c r="AA216" s="852"/>
      <c r="AB216" s="852"/>
      <c r="AC216" s="852"/>
      <c r="AD216" s="852"/>
      <c r="AE216" s="853"/>
      <c r="AF216" s="852"/>
      <c r="AG216" s="852"/>
      <c r="AH216" s="852"/>
      <c r="AI216" s="852"/>
      <c r="AJ216" s="853"/>
      <c r="AK216" s="852"/>
      <c r="AL216" s="852"/>
      <c r="AM216" s="852"/>
      <c r="AN216" s="852"/>
      <c r="AO216" s="853"/>
      <c r="AP216" s="852"/>
      <c r="AQ216" s="852"/>
      <c r="AR216" s="852"/>
      <c r="AS216" s="852"/>
      <c r="AT216" s="853"/>
      <c r="AU216" s="852"/>
      <c r="AV216" s="852"/>
      <c r="AW216" s="852"/>
      <c r="AX216" s="852"/>
      <c r="AY216" s="853"/>
      <c r="AZ216" s="852"/>
      <c r="BA216" s="852"/>
      <c r="BB216" s="852"/>
      <c r="BC216" s="852"/>
      <c r="BD216" s="853"/>
      <c r="BE216" s="852"/>
      <c r="BF216" s="852"/>
      <c r="BG216" s="852"/>
      <c r="BH216" s="852"/>
      <c r="BI216" s="853"/>
      <c r="BJ216" s="852"/>
      <c r="BK216" s="852"/>
      <c r="BL216" s="852"/>
      <c r="BM216" s="852"/>
      <c r="BN216" s="853"/>
      <c r="BO216" s="852"/>
      <c r="BP216" s="852"/>
      <c r="BQ216" s="852"/>
      <c r="BR216" s="852"/>
      <c r="BS216" s="853"/>
      <c r="BT216" s="852"/>
      <c r="BU216" s="852"/>
      <c r="BV216" s="852"/>
      <c r="BW216" s="852"/>
      <c r="BX216" s="853"/>
      <c r="BY216" s="852"/>
      <c r="BZ216" s="852"/>
      <c r="CA216" s="852"/>
      <c r="CB216" s="852"/>
      <c r="CC216" s="853"/>
      <c r="CD216" s="852"/>
      <c r="CE216" s="852"/>
      <c r="CF216" s="852"/>
      <c r="CG216" s="852"/>
      <c r="CH216" s="853"/>
      <c r="CI216" s="852"/>
      <c r="CJ216" s="852"/>
      <c r="CK216" s="852"/>
      <c r="CL216" s="852"/>
      <c r="CM216" s="853"/>
      <c r="CN216" s="852"/>
      <c r="CO216" s="852"/>
      <c r="CP216" s="852"/>
      <c r="CQ216" s="852"/>
      <c r="CR216" s="853"/>
      <c r="CS216" s="852"/>
      <c r="CT216" s="852"/>
      <c r="CU216" s="852"/>
      <c r="CV216" s="852"/>
      <c r="CW216" s="853"/>
      <c r="CZ216" s="854"/>
      <c r="DA216" s="852"/>
      <c r="DB216" s="852"/>
    </row>
    <row r="217" spans="1:106">
      <c r="A217" s="855" t="s">
        <v>260</v>
      </c>
      <c r="B217" s="855"/>
      <c r="C217" s="855"/>
      <c r="D217" s="855"/>
      <c r="E217" s="855"/>
      <c r="F217" s="856"/>
      <c r="G217" s="855"/>
      <c r="H217" s="855"/>
      <c r="I217" s="855"/>
      <c r="J217" s="855"/>
      <c r="K217" s="856"/>
      <c r="L217" s="855"/>
      <c r="M217" s="855"/>
      <c r="N217" s="855"/>
      <c r="O217" s="855"/>
      <c r="P217" s="856"/>
      <c r="Q217" s="855"/>
      <c r="R217" s="855"/>
      <c r="S217" s="855"/>
      <c r="T217" s="855"/>
      <c r="U217" s="856"/>
      <c r="V217" s="855"/>
      <c r="W217" s="855"/>
      <c r="X217" s="855"/>
      <c r="Y217" s="855"/>
      <c r="Z217" s="856"/>
      <c r="AA217" s="855"/>
      <c r="AB217" s="855"/>
      <c r="AC217" s="855"/>
      <c r="AD217" s="855"/>
      <c r="AE217" s="856"/>
      <c r="AF217" s="855"/>
      <c r="AG217" s="855"/>
      <c r="AH217" s="855"/>
      <c r="AI217" s="855"/>
      <c r="AJ217" s="856"/>
      <c r="AK217" s="855"/>
      <c r="AL217" s="855"/>
      <c r="AM217" s="855"/>
      <c r="AN217" s="855"/>
      <c r="AO217" s="856"/>
      <c r="AP217" s="855"/>
      <c r="AQ217" s="855"/>
      <c r="AR217" s="855"/>
      <c r="AS217" s="855"/>
      <c r="AT217" s="856"/>
      <c r="AU217" s="855"/>
      <c r="AV217" s="855"/>
      <c r="AW217" s="855"/>
      <c r="AX217" s="855"/>
      <c r="AY217" s="856"/>
      <c r="AZ217" s="855"/>
      <c r="BA217" s="855"/>
      <c r="BB217" s="855"/>
      <c r="BC217" s="855"/>
      <c r="BD217" s="856"/>
      <c r="BE217" s="855"/>
      <c r="BF217" s="855"/>
      <c r="BG217" s="855"/>
      <c r="BH217" s="855"/>
      <c r="BI217" s="856"/>
      <c r="BJ217" s="855"/>
      <c r="BK217" s="855"/>
      <c r="BL217" s="855"/>
      <c r="BM217" s="855"/>
      <c r="BN217" s="856"/>
      <c r="BO217" s="855"/>
      <c r="BP217" s="855"/>
      <c r="BQ217" s="855"/>
      <c r="BR217" s="855"/>
      <c r="BS217" s="856"/>
      <c r="BT217" s="855"/>
      <c r="BU217" s="855"/>
      <c r="BV217" s="855"/>
      <c r="BW217" s="855"/>
      <c r="BX217" s="856"/>
      <c r="BY217" s="855"/>
      <c r="BZ217" s="855"/>
      <c r="CA217" s="855"/>
      <c r="CB217" s="855"/>
      <c r="CC217" s="856"/>
      <c r="CD217" s="855"/>
      <c r="CE217" s="855"/>
      <c r="CF217" s="855"/>
      <c r="CG217" s="855"/>
      <c r="CH217" s="856"/>
      <c r="CI217" s="855"/>
      <c r="CJ217" s="855"/>
      <c r="CK217" s="855"/>
      <c r="CL217" s="855"/>
      <c r="CM217" s="856"/>
      <c r="CN217" s="855"/>
      <c r="CO217" s="855"/>
      <c r="CP217" s="855"/>
      <c r="CQ217" s="855"/>
      <c r="CR217" s="856"/>
      <c r="CS217" s="855"/>
      <c r="CT217" s="855"/>
      <c r="CU217" s="855"/>
      <c r="CV217" s="855"/>
      <c r="CW217" s="856"/>
      <c r="CZ217" s="857"/>
      <c r="DA217" s="671"/>
      <c r="DB217" s="671"/>
    </row>
    <row r="218" spans="1:106">
      <c r="A218" s="848" t="s">
        <v>189</v>
      </c>
      <c r="B218" s="848"/>
      <c r="C218" s="848"/>
      <c r="D218" s="848"/>
      <c r="E218" s="848"/>
      <c r="F218" s="849"/>
      <c r="G218" s="848">
        <f>CF!H64</f>
        <v>13.803000000000001</v>
      </c>
      <c r="H218" s="848">
        <f>CF!I64</f>
        <v>15.721999999999998</v>
      </c>
      <c r="I218" s="848">
        <f>CF!J64</f>
        <v>16.841000000000001</v>
      </c>
      <c r="J218" s="848">
        <f>CF!K64</f>
        <v>17.116</v>
      </c>
      <c r="K218" s="849">
        <f>CF!L64</f>
        <v>63.481999999999999</v>
      </c>
      <c r="L218" s="848">
        <f>CF!M64</f>
        <v>11.992000000000001</v>
      </c>
      <c r="M218" s="848">
        <f>CF!N64</f>
        <v>12.064999999999998</v>
      </c>
      <c r="N218" s="848">
        <f>CF!O64</f>
        <v>12.181999999999999</v>
      </c>
      <c r="O218" s="848">
        <f>CF!P64</f>
        <v>12.775000000000006</v>
      </c>
      <c r="P218" s="849">
        <f>CF!Q64</f>
        <v>49.014000000000003</v>
      </c>
      <c r="Q218" s="848">
        <f>CF!R64</f>
        <v>13.438000000000001</v>
      </c>
      <c r="R218" s="848">
        <f>CF!S64</f>
        <v>14.740999999999998</v>
      </c>
      <c r="S218" s="848">
        <f>CF!T64</f>
        <v>14.827999999999999</v>
      </c>
      <c r="T218" s="848">
        <f>CF!U64</f>
        <v>17.801000000000002</v>
      </c>
      <c r="U218" s="849">
        <f>CF!V64</f>
        <v>60.808</v>
      </c>
      <c r="V218" s="848">
        <f>CF!W64</f>
        <v>14.954000000000001</v>
      </c>
      <c r="W218" s="848">
        <f>CF!X64</f>
        <v>15.128</v>
      </c>
      <c r="X218" s="848">
        <f>CF!Y64</f>
        <v>17.798000000000002</v>
      </c>
      <c r="Y218" s="848">
        <f>CF!Z64</f>
        <v>16.454999999999991</v>
      </c>
      <c r="Z218" s="849">
        <f>CF!AA64</f>
        <v>64.334999999999994</v>
      </c>
      <c r="AA218" s="848">
        <f>CF!AB64</f>
        <v>16.828000000000003</v>
      </c>
      <c r="AB218" s="848">
        <f>CF!AC64</f>
        <v>21.036999999999992</v>
      </c>
      <c r="AC218" s="848">
        <f>CF!AD64</f>
        <v>18.220999999999989</v>
      </c>
      <c r="AD218" s="848">
        <f>CF!AE64</f>
        <v>72.543000000000006</v>
      </c>
      <c r="AE218" s="849">
        <f>CF!AF64</f>
        <v>128.62899999999999</v>
      </c>
      <c r="AF218" s="848">
        <f>CF!AG64</f>
        <v>15.927000000000007</v>
      </c>
      <c r="AG218" s="848">
        <f>CF!AH64</f>
        <v>24.995999999999995</v>
      </c>
      <c r="AH218" s="848">
        <f>CF!AI64</f>
        <v>35.194000000000017</v>
      </c>
      <c r="AI218" s="848">
        <f>CF!AJ64</f>
        <v>31.620000000000005</v>
      </c>
      <c r="AJ218" s="849">
        <f>CF!AK64</f>
        <v>107.73700000000002</v>
      </c>
      <c r="AK218" s="848">
        <f>CF!AL64</f>
        <v>30.131</v>
      </c>
      <c r="AL218" s="848">
        <f>CF!AM64</f>
        <v>27.486000000000018</v>
      </c>
      <c r="AM218" s="848">
        <f>CF!AN64</f>
        <v>45.655000000000001</v>
      </c>
      <c r="AN218" s="848">
        <f>CF!AO64</f>
        <v>52.707999999999998</v>
      </c>
      <c r="AO218" s="849">
        <f>CF!AP64</f>
        <v>155.98000000000002</v>
      </c>
      <c r="AP218" s="848">
        <f>CF!AQ64</f>
        <v>51.715999999999994</v>
      </c>
      <c r="AQ218" s="848">
        <f>CF!AR64</f>
        <v>64.724999999999994</v>
      </c>
      <c r="AR218" s="848">
        <f>CF!AS64</f>
        <v>60.49499999999999</v>
      </c>
      <c r="AS218" s="848">
        <f>CF!AT64</f>
        <v>85.037000000000006</v>
      </c>
      <c r="AT218" s="849">
        <f>CF!AU64</f>
        <v>261.97299999999996</v>
      </c>
      <c r="AU218" s="848">
        <f>CF!AV64</f>
        <v>68.581000000000003</v>
      </c>
      <c r="AV218" s="848">
        <f>CF!AW64</f>
        <v>74.90600000000002</v>
      </c>
      <c r="AW218" s="848">
        <f>CF!AX64</f>
        <v>73.153999999999996</v>
      </c>
      <c r="AX218" s="848">
        <f>CF!AY64</f>
        <v>76.09699999999998</v>
      </c>
      <c r="AY218" s="849">
        <f>CF!AZ64</f>
        <v>292.738</v>
      </c>
      <c r="AZ218" s="848">
        <f>CF!BA64</f>
        <v>66.286000000000001</v>
      </c>
      <c r="BA218" s="848">
        <f>CF!BB64</f>
        <v>66.62</v>
      </c>
      <c r="BB218" s="848">
        <f>CF!BC64</f>
        <v>64.008999999999986</v>
      </c>
      <c r="BC218" s="848">
        <f>CF!BD64</f>
        <v>73.289999999999992</v>
      </c>
      <c r="BD218" s="849">
        <f>CF!BE64</f>
        <v>270.20499999999998</v>
      </c>
      <c r="BE218" s="848">
        <f>CF!BF64</f>
        <v>69.861000000000004</v>
      </c>
      <c r="BF218" s="848">
        <f>CF!BG64</f>
        <v>77.173999999999992</v>
      </c>
      <c r="BG218" s="848">
        <f>CF!BH64</f>
        <v>74.110000000000014</v>
      </c>
      <c r="BH218" s="848">
        <f>CF!BI64</f>
        <v>78.621000000000009</v>
      </c>
      <c r="BI218" s="849">
        <f>CF!BJ64</f>
        <v>299.76600000000002</v>
      </c>
      <c r="BJ218" s="848">
        <f>CF!BK64</f>
        <v>76.751999999999995</v>
      </c>
      <c r="BK218" s="848">
        <f>CF!BL64</f>
        <v>80.95</v>
      </c>
      <c r="BL218" s="848">
        <f>CF!BM64</f>
        <v>82.175000000000011</v>
      </c>
      <c r="BM218" s="848">
        <f>CF!BN64</f>
        <v>81.349999999999966</v>
      </c>
      <c r="BN218" s="849">
        <f>CF!BO64</f>
        <v>321.22699999999998</v>
      </c>
      <c r="BO218" s="848">
        <f>CF!BP64</f>
        <v>77.635999999999996</v>
      </c>
      <c r="BP218" s="848">
        <f>CF!BQ64</f>
        <v>77.652999999999992</v>
      </c>
      <c r="BQ218" s="848">
        <f>CF!BR64</f>
        <v>80.154000000000025</v>
      </c>
      <c r="BR218" s="848">
        <f>CF!BS64</f>
        <v>78.146999999999963</v>
      </c>
      <c r="BS218" s="849">
        <f>CF!BT64</f>
        <v>313.58999999999997</v>
      </c>
      <c r="BT218" s="848">
        <f>CF!BU64</f>
        <v>79.635000000000005</v>
      </c>
      <c r="BU218" s="848">
        <f>CF!BV64</f>
        <v>85.929000000000016</v>
      </c>
      <c r="BV218" s="848">
        <f>CF!BW64</f>
        <v>87.549999999999983</v>
      </c>
      <c r="BW218" s="848">
        <f>CF!BX64</f>
        <v>86.359000000000009</v>
      </c>
      <c r="BX218" s="849">
        <f>CF!BY64</f>
        <v>339.47300000000001</v>
      </c>
      <c r="BY218" s="848">
        <f>CF!BZ64</f>
        <v>81.2</v>
      </c>
      <c r="BZ218" s="848">
        <f>CF!CA64</f>
        <v>84.460999999999999</v>
      </c>
      <c r="CA218" s="848">
        <f>CF!CB64</f>
        <v>84.01400000000001</v>
      </c>
      <c r="CB218" s="848">
        <f>CF!CC64</f>
        <v>81.860000000000014</v>
      </c>
      <c r="CC218" s="849">
        <f>CF!CD64</f>
        <v>331.53500000000003</v>
      </c>
      <c r="CD218" s="848">
        <f>CF!CE64</f>
        <v>80.808999999999997</v>
      </c>
      <c r="CE218" s="848">
        <f>CF!CF64</f>
        <v>81.634999999999991</v>
      </c>
      <c r="CF218" s="848">
        <f>CF!CG64</f>
        <v>82.319000000000017</v>
      </c>
      <c r="CG218" s="848">
        <f>CF!CH64</f>
        <v>81.234000000000009</v>
      </c>
      <c r="CH218" s="849">
        <f>CF!CI64</f>
        <v>325.99700000000001</v>
      </c>
      <c r="CI218" s="848">
        <f>CF!CJ64</f>
        <v>76.522000000000006</v>
      </c>
      <c r="CJ218" s="848">
        <f>CF!CK64</f>
        <v>76.90000000000002</v>
      </c>
      <c r="CK218" s="848">
        <f>CF!CL64</f>
        <v>77.900000000000006</v>
      </c>
      <c r="CL218" s="848">
        <f>CF!CM64</f>
        <v>78.900000000000006</v>
      </c>
      <c r="CM218" s="849">
        <f>CF!CN64</f>
        <v>310.22200000000004</v>
      </c>
      <c r="CN218" s="848">
        <f>CF!CO64</f>
        <v>79.900000000000006</v>
      </c>
      <c r="CO218" s="848">
        <f>CF!CP64</f>
        <v>80.900000000000006</v>
      </c>
      <c r="CP218" s="848">
        <f>CF!CQ64</f>
        <v>81.900000000000006</v>
      </c>
      <c r="CQ218" s="848">
        <f>CF!CR64</f>
        <v>82.9</v>
      </c>
      <c r="CR218" s="849">
        <f>CF!CS64</f>
        <v>325.60000000000002</v>
      </c>
      <c r="CS218" s="848">
        <f>CF!CT64</f>
        <v>83.9</v>
      </c>
      <c r="CT218" s="848">
        <f>CF!CU64</f>
        <v>84.9</v>
      </c>
      <c r="CU218" s="848">
        <f>CF!CV64</f>
        <v>85.9</v>
      </c>
      <c r="CV218" s="848">
        <f>CF!CW64</f>
        <v>86.9</v>
      </c>
      <c r="CW218" s="849">
        <f>CF!CX64</f>
        <v>341.6</v>
      </c>
      <c r="CZ218" s="850"/>
      <c r="DA218" s="677"/>
      <c r="DB218" s="677"/>
    </row>
    <row r="219" spans="1:106">
      <c r="A219" s="848" t="s">
        <v>327</v>
      </c>
      <c r="B219" s="858"/>
      <c r="C219" s="858"/>
      <c r="D219" s="858"/>
      <c r="E219" s="858"/>
      <c r="F219" s="849"/>
      <c r="G219" s="858">
        <f>CF!H70</f>
        <v>6.0359999999999996</v>
      </c>
      <c r="H219" s="858">
        <f>CF!I70</f>
        <v>12.552999999999999</v>
      </c>
      <c r="I219" s="858">
        <f>CF!J70</f>
        <v>0.99500000000000099</v>
      </c>
      <c r="J219" s="858">
        <f>CF!K70</f>
        <v>2.2459999999999987</v>
      </c>
      <c r="K219" s="859">
        <f>CF!L70</f>
        <v>21.83</v>
      </c>
      <c r="L219" s="858">
        <f>CF!M70</f>
        <v>2.0139999999999998</v>
      </c>
      <c r="M219" s="858">
        <f>CF!N70</f>
        <v>8.0910000000000011</v>
      </c>
      <c r="N219" s="858">
        <f>CF!O70</f>
        <v>2.2439999999999998</v>
      </c>
      <c r="O219" s="858">
        <f>CF!P70</f>
        <v>25.087</v>
      </c>
      <c r="P219" s="859">
        <f>CF!Q70</f>
        <v>37.436</v>
      </c>
      <c r="Q219" s="858">
        <f>CF!R70</f>
        <v>5.1239999999999997</v>
      </c>
      <c r="R219" s="858">
        <f>CF!S70</f>
        <v>13.303000000000001</v>
      </c>
      <c r="S219" s="858">
        <f>CF!T70</f>
        <v>11.545000000000002</v>
      </c>
      <c r="T219" s="858">
        <f>CF!U70</f>
        <v>67.822000000000003</v>
      </c>
      <c r="U219" s="859">
        <f>CF!V70</f>
        <v>97.794000000000011</v>
      </c>
      <c r="V219" s="858">
        <f>CF!W70</f>
        <v>27.196999999999999</v>
      </c>
      <c r="W219" s="858">
        <f>CF!X70</f>
        <v>20.345000000000002</v>
      </c>
      <c r="X219" s="858">
        <f>CF!Y70</f>
        <v>16.259999999999998</v>
      </c>
      <c r="Y219" s="858">
        <f>CF!Z70</f>
        <v>19.050000000000004</v>
      </c>
      <c r="Z219" s="859">
        <f>CF!AA70</f>
        <v>82.852000000000004</v>
      </c>
      <c r="AA219" s="858">
        <f>CF!AB70</f>
        <v>-23.42</v>
      </c>
      <c r="AB219" s="858">
        <f>CF!AC70</f>
        <v>-22.731999999999999</v>
      </c>
      <c r="AC219" s="858">
        <f>CF!AD70</f>
        <v>-35.435000000000002</v>
      </c>
      <c r="AD219" s="858">
        <f>CF!AE70</f>
        <v>-61.530999999999992</v>
      </c>
      <c r="AE219" s="859">
        <f>CF!AF70</f>
        <v>-143.11799999999999</v>
      </c>
      <c r="AF219" s="858">
        <f>CF!AG70</f>
        <v>15.935</v>
      </c>
      <c r="AG219" s="858">
        <f>CF!AH70</f>
        <v>36.186</v>
      </c>
      <c r="AH219" s="858">
        <f>CF!AI70</f>
        <v>23.756999999999998</v>
      </c>
      <c r="AI219" s="858">
        <f>CF!AJ70</f>
        <v>0</v>
      </c>
      <c r="AJ219" s="859">
        <f>CF!AK70</f>
        <v>75.878</v>
      </c>
      <c r="AK219" s="858">
        <f>CF!AL70</f>
        <v>0</v>
      </c>
      <c r="AL219" s="858">
        <f>CF!AM70</f>
        <v>9.3290000000000006</v>
      </c>
      <c r="AM219" s="858">
        <f>CF!AN70</f>
        <v>74.411000000000001</v>
      </c>
      <c r="AN219" s="858">
        <f>CF!AO70</f>
        <v>6.6200000000000045</v>
      </c>
      <c r="AO219" s="859">
        <f>CF!AP70</f>
        <v>90.360000000000014</v>
      </c>
      <c r="AP219" s="858">
        <f>CF!AQ70</f>
        <v>2.7109999999999999</v>
      </c>
      <c r="AQ219" s="858">
        <f>CF!AR70</f>
        <v>0</v>
      </c>
      <c r="AR219" s="858">
        <f>CF!AS70</f>
        <v>0</v>
      </c>
      <c r="AS219" s="858">
        <f>CF!AT70</f>
        <v>0</v>
      </c>
      <c r="AT219" s="859">
        <f>CF!AU70</f>
        <v>2.7109999999999999</v>
      </c>
      <c r="AU219" s="858">
        <f>CF!AV70</f>
        <v>35.609000000000002</v>
      </c>
      <c r="AV219" s="858">
        <f>CF!AW70</f>
        <v>3.1340000000000003</v>
      </c>
      <c r="AW219" s="858">
        <f>CF!AX70</f>
        <v>0</v>
      </c>
      <c r="AX219" s="858">
        <f>CF!AY70</f>
        <v>0</v>
      </c>
      <c r="AY219" s="859">
        <f>CF!AZ70</f>
        <v>38.743000000000002</v>
      </c>
      <c r="AZ219" s="858">
        <f>CF!BA70</f>
        <v>0</v>
      </c>
      <c r="BA219" s="858">
        <f>CF!BB70</f>
        <v>0</v>
      </c>
      <c r="BB219" s="858">
        <f>CF!BC70</f>
        <v>0</v>
      </c>
      <c r="BC219" s="858">
        <f>CF!BD70</f>
        <v>0</v>
      </c>
      <c r="BD219" s="859">
        <f>CF!BE70</f>
        <v>0</v>
      </c>
      <c r="BE219" s="858">
        <f>CF!BF70</f>
        <v>0</v>
      </c>
      <c r="BF219" s="858">
        <f>CF!BG70</f>
        <v>0</v>
      </c>
      <c r="BG219" s="858">
        <f>CF!BH70</f>
        <v>0</v>
      </c>
      <c r="BH219" s="858">
        <f>CF!BI70</f>
        <v>0</v>
      </c>
      <c r="BI219" s="859">
        <f>CF!BJ70</f>
        <v>0</v>
      </c>
      <c r="BJ219" s="858">
        <f>CF!BK70</f>
        <v>0</v>
      </c>
      <c r="BK219" s="858">
        <f>CF!BL70</f>
        <v>0</v>
      </c>
      <c r="BL219" s="858">
        <f>CF!BM70</f>
        <v>0</v>
      </c>
      <c r="BM219" s="858">
        <f>CF!BN70</f>
        <v>0</v>
      </c>
      <c r="BN219" s="859">
        <f>CF!BO70</f>
        <v>0</v>
      </c>
      <c r="BO219" s="858">
        <f>CF!BP70</f>
        <v>0</v>
      </c>
      <c r="BP219" s="858">
        <f>CF!BQ70</f>
        <v>0</v>
      </c>
      <c r="BQ219" s="858">
        <f>CF!BR70</f>
        <v>31.882999999999999</v>
      </c>
      <c r="BR219" s="858">
        <f>CF!BS70</f>
        <v>21.342000000000002</v>
      </c>
      <c r="BS219" s="859">
        <f>CF!BT70</f>
        <v>53.225000000000001</v>
      </c>
      <c r="BT219" s="858">
        <f>CF!BU70</f>
        <v>33.584000000000003</v>
      </c>
      <c r="BU219" s="858">
        <f>CF!BV70</f>
        <v>11.136999999999993</v>
      </c>
      <c r="BV219" s="858">
        <f>CF!BW70</f>
        <v>13.605000000000004</v>
      </c>
      <c r="BW219" s="858">
        <f>CF!BX70</f>
        <v>9.8069999999999951</v>
      </c>
      <c r="BX219" s="859">
        <f>CF!BY70</f>
        <v>68.132999999999996</v>
      </c>
      <c r="BY219" s="858">
        <f>CF!BZ70</f>
        <v>14.855</v>
      </c>
      <c r="BZ219" s="858">
        <f>CF!CA70</f>
        <v>50.430999999999997</v>
      </c>
      <c r="CA219" s="858">
        <f>CF!CB70</f>
        <v>3.980000000000004</v>
      </c>
      <c r="CB219" s="858">
        <f>CF!CC70</f>
        <v>5.8359999999999985</v>
      </c>
      <c r="CC219" s="859">
        <f>CF!CD70</f>
        <v>75.102000000000004</v>
      </c>
      <c r="CD219" s="858">
        <f>CF!CE70</f>
        <v>0</v>
      </c>
      <c r="CE219" s="858">
        <f>CF!CF70</f>
        <v>0</v>
      </c>
      <c r="CF219" s="858">
        <f>CF!CG70</f>
        <v>0</v>
      </c>
      <c r="CG219" s="858">
        <f>CF!CH70</f>
        <v>0</v>
      </c>
      <c r="CH219" s="859">
        <f>CF!CI70</f>
        <v>0</v>
      </c>
      <c r="CI219" s="858">
        <f>CF!CJ70</f>
        <v>0</v>
      </c>
      <c r="CJ219" s="858">
        <f>CF!CK70</f>
        <v>0</v>
      </c>
      <c r="CK219" s="858">
        <f>CF!CL70</f>
        <v>0</v>
      </c>
      <c r="CL219" s="858">
        <f>CF!CM70</f>
        <v>0</v>
      </c>
      <c r="CM219" s="859">
        <f>CF!CN70</f>
        <v>0</v>
      </c>
      <c r="CN219" s="858">
        <f>CF!CO70</f>
        <v>0</v>
      </c>
      <c r="CO219" s="858">
        <f>CF!CP70</f>
        <v>0</v>
      </c>
      <c r="CP219" s="858">
        <f>CF!CQ70</f>
        <v>0</v>
      </c>
      <c r="CQ219" s="858">
        <f>CF!CR70</f>
        <v>0</v>
      </c>
      <c r="CR219" s="859">
        <f>CF!CS70</f>
        <v>0</v>
      </c>
      <c r="CS219" s="858">
        <f>CF!CT70</f>
        <v>0</v>
      </c>
      <c r="CT219" s="858">
        <f>CF!CU70</f>
        <v>0</v>
      </c>
      <c r="CU219" s="858">
        <f>CF!CV70</f>
        <v>0</v>
      </c>
      <c r="CV219" s="858">
        <f>CF!CW70</f>
        <v>0</v>
      </c>
      <c r="CW219" s="859">
        <f>CF!CX70</f>
        <v>0</v>
      </c>
      <c r="CZ219" s="850"/>
      <c r="DA219" s="677"/>
      <c r="DB219" s="677"/>
    </row>
    <row r="220" spans="1:106">
      <c r="A220" s="848" t="s">
        <v>117</v>
      </c>
      <c r="B220" s="848"/>
      <c r="C220" s="848"/>
      <c r="D220" s="848"/>
      <c r="E220" s="848"/>
      <c r="F220" s="849"/>
      <c r="G220" s="848">
        <f>SUM(CF!H74:H79)</f>
        <v>-22.618000000000002</v>
      </c>
      <c r="H220" s="848">
        <f>SUM(CF!I74:I79)</f>
        <v>6.0620000000000029</v>
      </c>
      <c r="I220" s="848">
        <f>SUM(CF!J74:J79)</f>
        <v>-41.169000000000004</v>
      </c>
      <c r="J220" s="848">
        <f>SUM(CF!K74:K79)</f>
        <v>46.591000000000008</v>
      </c>
      <c r="K220" s="849">
        <f>SUM(CF!L74:L79)</f>
        <v>-11.134</v>
      </c>
      <c r="L220" s="848">
        <f>SUM(CF!M74:M79)</f>
        <v>-7.6590000000000007</v>
      </c>
      <c r="M220" s="848">
        <f>SUM(CF!N74:N79)</f>
        <v>23.095000000000002</v>
      </c>
      <c r="N220" s="848">
        <f>SUM(CF!O74:O79)</f>
        <v>-4.1100000000000003</v>
      </c>
      <c r="O220" s="848">
        <f>SUM(CF!P74:P79)</f>
        <v>-4.8129999999999988</v>
      </c>
      <c r="P220" s="849">
        <f>SUM(CF!Q74:Q79)</f>
        <v>6.5129999999999981</v>
      </c>
      <c r="Q220" s="848">
        <f>SUM(CF!R74:R79)</f>
        <v>29.773999999999997</v>
      </c>
      <c r="R220" s="848">
        <f>SUM(CF!S74:S79)</f>
        <v>27.175000000000001</v>
      </c>
      <c r="S220" s="848">
        <f>SUM(CF!T74:T79)</f>
        <v>-5.3539999999999974</v>
      </c>
      <c r="T220" s="848">
        <f>SUM(CF!U74:U79)</f>
        <v>26.254999999999995</v>
      </c>
      <c r="U220" s="849">
        <f>SUM(CF!V74:V79)</f>
        <v>77.850000000000009</v>
      </c>
      <c r="V220" s="848">
        <f>SUM(CF!W74:W79)</f>
        <v>24.768000000000001</v>
      </c>
      <c r="W220" s="848">
        <f>SUM(CF!X74:X79)</f>
        <v>-17.742999999999991</v>
      </c>
      <c r="X220" s="848">
        <f>SUM(CF!Y74:Y79)</f>
        <v>-23.949000000000005</v>
      </c>
      <c r="Y220" s="848">
        <f>SUM(CF!Z74:Z79)</f>
        <v>1.1189999999999962</v>
      </c>
      <c r="Z220" s="849">
        <f>SUM(CF!AA74:AA79)</f>
        <v>-15.805000000000003</v>
      </c>
      <c r="AA220" s="848">
        <f>SUM(CF!AB74:AB79)</f>
        <v>-78.548000000000002</v>
      </c>
      <c r="AB220" s="848">
        <f>SUM(CF!AC74:AC79)</f>
        <v>-15.362999999999998</v>
      </c>
      <c r="AC220" s="848">
        <f>SUM(CF!AD74:AD79)</f>
        <v>1.4790000000000134</v>
      </c>
      <c r="AD220" s="848">
        <f>SUM(CF!AE74:AE79)</f>
        <v>15.799999999999986</v>
      </c>
      <c r="AE220" s="849">
        <f>SUM(CF!AF74:AF79)</f>
        <v>-76.632000000000005</v>
      </c>
      <c r="AF220" s="848">
        <f>SUM(CF!AG74:AG79)</f>
        <v>15.755000000000003</v>
      </c>
      <c r="AG220" s="848">
        <f>SUM(CF!AH74:AH79)</f>
        <v>66.210999999999999</v>
      </c>
      <c r="AH220" s="848">
        <f>SUM(CF!AI74:AI79)</f>
        <v>56.196999999999989</v>
      </c>
      <c r="AI220" s="848">
        <f>SUM(CF!AJ74:AJ79)</f>
        <v>1.6930000000000085</v>
      </c>
      <c r="AJ220" s="849">
        <f>SUM(CF!AK74:AK79)</f>
        <v>139.85599999999999</v>
      </c>
      <c r="AK220" s="848">
        <f>SUM(CF!AL74:AL79)</f>
        <v>-5.3650000000000002</v>
      </c>
      <c r="AL220" s="848">
        <f>SUM(CF!AM74:AM79)</f>
        <v>-39.956000000000003</v>
      </c>
      <c r="AM220" s="848">
        <f>SUM(CF!AN74:AN79)</f>
        <v>-87.10499999999999</v>
      </c>
      <c r="AN220" s="848">
        <f>SUM(CF!AO74:AO79)</f>
        <v>63.839000000000013</v>
      </c>
      <c r="AO220" s="849">
        <f>SUM(CF!AP74:AP79)</f>
        <v>-68.586999999999989</v>
      </c>
      <c r="AP220" s="848">
        <f>SUM(CF!AQ74:AQ79)</f>
        <v>59.251999999999995</v>
      </c>
      <c r="AQ220" s="848">
        <f>SUM(CF!AR74:AR79)</f>
        <v>22.946999999999996</v>
      </c>
      <c r="AR220" s="848">
        <f>SUM(CF!AS74:AS79)</f>
        <v>-20.586999999999996</v>
      </c>
      <c r="AS220" s="848">
        <f>SUM(CF!AT74:AT79)</f>
        <v>19.482000000000006</v>
      </c>
      <c r="AT220" s="849">
        <f>SUM(CF!AU74:AU79)</f>
        <v>81.094000000000023</v>
      </c>
      <c r="AU220" s="848">
        <f>SUM(CF!AV74:AV79)</f>
        <v>13.926999999999992</v>
      </c>
      <c r="AV220" s="848">
        <f>SUM(CF!AW74:AW79)</f>
        <v>41.957000000000008</v>
      </c>
      <c r="AW220" s="848">
        <f>SUM(CF!AX74:AX79)</f>
        <v>-82.360000000000042</v>
      </c>
      <c r="AX220" s="848">
        <f>SUM(CF!AY74:AY79)</f>
        <v>14.200999999999979</v>
      </c>
      <c r="AY220" s="849">
        <f>SUM(CF!AZ74:AZ79)</f>
        <v>-12.275000000000063</v>
      </c>
      <c r="AZ220" s="848">
        <f>SUM(CF!BA74:BA79)</f>
        <v>-80.739000000000004</v>
      </c>
      <c r="BA220" s="848">
        <f>SUM(CF!BB74:BB79)</f>
        <v>31.055000000000007</v>
      </c>
      <c r="BB220" s="848">
        <f>SUM(CF!BC74:BC79)</f>
        <v>-20.317000000000004</v>
      </c>
      <c r="BC220" s="848">
        <f>SUM(CF!BD74:BD79)</f>
        <v>150.846</v>
      </c>
      <c r="BD220" s="849">
        <f>SUM(CF!BE74:BE79)</f>
        <v>80.845000000000013</v>
      </c>
      <c r="BE220" s="848">
        <f>SUM(CF!BF74:BF79)</f>
        <v>-58.768999999999991</v>
      </c>
      <c r="BF220" s="848">
        <f>SUM(CF!BG74:BG79)</f>
        <v>62.011999999999965</v>
      </c>
      <c r="BG220" s="848">
        <f>SUM(CF!BH74:BH79)</f>
        <v>-75.586999999999961</v>
      </c>
      <c r="BH220" s="848">
        <f>SUM(CF!BI74:BI79)</f>
        <v>56.385999999999981</v>
      </c>
      <c r="BI220" s="849">
        <f>SUM(CF!BJ74:BJ79)</f>
        <v>-15.958000000000013</v>
      </c>
      <c r="BJ220" s="848">
        <f>SUM(CF!BK74:BK79)</f>
        <v>102.622</v>
      </c>
      <c r="BK220" s="848">
        <f>SUM(CF!BL74:BL79)</f>
        <v>38.457000000000001</v>
      </c>
      <c r="BL220" s="848">
        <f>SUM(CF!BM74:BM79)</f>
        <v>-3.5990000000000073</v>
      </c>
      <c r="BM220" s="848">
        <f>SUM(CF!BN74:BN79)</f>
        <v>72.546000000000006</v>
      </c>
      <c r="BN220" s="849">
        <f>SUM(CF!BO74:BO79)</f>
        <v>210.02600000000001</v>
      </c>
      <c r="BO220" s="848">
        <f>SUM(CF!BP74:BP79)</f>
        <v>32.719000000000008</v>
      </c>
      <c r="BP220" s="848">
        <f>SUM(CF!BQ74:BQ79)</f>
        <v>105.46600000000001</v>
      </c>
      <c r="BQ220" s="848">
        <f>SUM(CF!BR74:BR79)</f>
        <v>79.986999999999981</v>
      </c>
      <c r="BR220" s="848">
        <f>SUM(CF!BS74:BS79)</f>
        <v>151.27799999999996</v>
      </c>
      <c r="BS220" s="849">
        <f>SUM(CF!BT74:BT79)</f>
        <v>369.44999999999993</v>
      </c>
      <c r="BT220" s="848">
        <f>SUM(CF!BU74:BU79)</f>
        <v>-81.262</v>
      </c>
      <c r="BU220" s="848">
        <f>SUM(CF!BV74:BV79)</f>
        <v>144.07599999999999</v>
      </c>
      <c r="BV220" s="848">
        <f>SUM(CF!BW74:BW79)</f>
        <v>10.145999999999999</v>
      </c>
      <c r="BW220" s="848">
        <f>SUM(CF!BX74:BX79)</f>
        <v>160.94399999999999</v>
      </c>
      <c r="BX220" s="849">
        <f>SUM(CF!BY74:BY79)</f>
        <v>233.904</v>
      </c>
      <c r="BY220" s="848">
        <f>SUM(CF!BZ74:BZ79)</f>
        <v>10.096000000000004</v>
      </c>
      <c r="BZ220" s="848">
        <f>SUM(CF!CA74:CA79)</f>
        <v>53.991000000000014</v>
      </c>
      <c r="CA220" s="848">
        <f>SUM(CF!CB74:CB79)</f>
        <v>84.203999999999979</v>
      </c>
      <c r="CB220" s="848">
        <f>SUM(CF!CC74:CC79)</f>
        <v>203.80900000000003</v>
      </c>
      <c r="CC220" s="849">
        <f>SUM(CF!CD74:CD79)</f>
        <v>352.1</v>
      </c>
      <c r="CD220" s="848">
        <f>SUM(CF!CE74:CE79)</f>
        <v>155.035</v>
      </c>
      <c r="CE220" s="848">
        <f>SUM(CF!CF74:CF79)</f>
        <v>-20.508000000000017</v>
      </c>
      <c r="CF220" s="848">
        <f>SUM(CF!CG74:CG79)</f>
        <v>122.43499999999997</v>
      </c>
      <c r="CG220" s="848">
        <f>SUM(CF!CH74:CH79)</f>
        <v>168.24599999999998</v>
      </c>
      <c r="CH220" s="849">
        <f>SUM(CF!CI74:CI79)</f>
        <v>425.20799999999997</v>
      </c>
      <c r="CI220" s="848">
        <f>SUM(CF!CJ74:CJ79)</f>
        <v>186.46600000000035</v>
      </c>
      <c r="CJ220" s="848">
        <f>SUM(CF!CK74:CK79)</f>
        <v>36.96037709764321</v>
      </c>
      <c r="CK220" s="848">
        <f>SUM(CF!CL74:CL79)</f>
        <v>26.196694429604577</v>
      </c>
      <c r="CL220" s="848">
        <f>SUM(CF!CM74:CM79)</f>
        <v>235.31570086765151</v>
      </c>
      <c r="CM220" s="849">
        <f>SUM(CF!CN74:CN79)</f>
        <v>484.93877239489962</v>
      </c>
      <c r="CN220" s="848">
        <f>SUM(CF!CO74:CO79)</f>
        <v>107.5316759908942</v>
      </c>
      <c r="CO220" s="848">
        <f>SUM(CF!CP74:CP79)</f>
        <v>41.861775770177402</v>
      </c>
      <c r="CP220" s="848">
        <f>SUM(CF!CQ74:CQ79)</f>
        <v>33.541437161326087</v>
      </c>
      <c r="CQ220" s="848">
        <f>SUM(CF!CR74:CR79)</f>
        <v>272.93935924757739</v>
      </c>
      <c r="CR220" s="849">
        <f>SUM(CF!CS74:CS79)</f>
        <v>455.87424816997509</v>
      </c>
      <c r="CS220" s="848">
        <f>SUM(CF!CT74:CT79)</f>
        <v>119.26026284539412</v>
      </c>
      <c r="CT220" s="848">
        <f>SUM(CF!CU74:CU79)</f>
        <v>32.535633687842676</v>
      </c>
      <c r="CU220" s="848">
        <f>SUM(CF!CV74:CV79)</f>
        <v>19.886252837222884</v>
      </c>
      <c r="CV220" s="848">
        <f>SUM(CF!CW74:CW79)</f>
        <v>291.35489774295479</v>
      </c>
      <c r="CW220" s="849">
        <f>SUM(CF!CX74:CX79)</f>
        <v>463.03704711341447</v>
      </c>
      <c r="CZ220" s="850"/>
      <c r="DA220" s="677"/>
      <c r="DB220" s="677"/>
    </row>
    <row r="221" spans="1:106">
      <c r="A221" s="848" t="s">
        <v>328</v>
      </c>
      <c r="B221" s="848"/>
      <c r="C221" s="848"/>
      <c r="D221" s="848"/>
      <c r="E221" s="848"/>
      <c r="F221" s="849"/>
      <c r="G221" s="848">
        <f>CF!H89</f>
        <v>-5.7290000000000001</v>
      </c>
      <c r="H221" s="848">
        <f>CF!I89</f>
        <v>-7.2610000000000001</v>
      </c>
      <c r="I221" s="848">
        <f>CF!J89</f>
        <v>-7.2780000000000005</v>
      </c>
      <c r="J221" s="848">
        <f>CF!K89</f>
        <v>-11.309999999999999</v>
      </c>
      <c r="K221" s="849">
        <f>CF!L89</f>
        <v>-31.577999999999999</v>
      </c>
      <c r="L221" s="848">
        <f>CF!M89</f>
        <v>-7.49</v>
      </c>
      <c r="M221" s="848">
        <f>CF!N89</f>
        <v>-11.691999999999998</v>
      </c>
      <c r="N221" s="848">
        <f>CF!O89</f>
        <v>-7.6820000000000022</v>
      </c>
      <c r="O221" s="848">
        <f>CF!P89</f>
        <v>-12.59</v>
      </c>
      <c r="P221" s="849">
        <f>CF!Q89</f>
        <v>-39.454000000000001</v>
      </c>
      <c r="Q221" s="848">
        <f>CF!R89</f>
        <v>-14.444000000000001</v>
      </c>
      <c r="R221" s="848">
        <f>CF!S89</f>
        <v>-12.490999999999998</v>
      </c>
      <c r="S221" s="848">
        <f>CF!T89</f>
        <v>-14.416999999999998</v>
      </c>
      <c r="T221" s="848">
        <f>CF!U89</f>
        <v>-21.874000000000002</v>
      </c>
      <c r="U221" s="849">
        <f>CF!V89</f>
        <v>-63.225999999999999</v>
      </c>
      <c r="V221" s="848">
        <f>CF!W89</f>
        <v>-11.512</v>
      </c>
      <c r="W221" s="848">
        <f>CF!X89</f>
        <v>-9.1239999999999988</v>
      </c>
      <c r="X221" s="848">
        <f>CF!Y89</f>
        <v>-17.470000000000002</v>
      </c>
      <c r="Y221" s="848">
        <f>CF!Z89</f>
        <v>-10.768999999999998</v>
      </c>
      <c r="Z221" s="849">
        <f>CF!AA89</f>
        <v>-48.875</v>
      </c>
      <c r="AA221" s="848">
        <f>CF!AB89</f>
        <v>-11.634</v>
      </c>
      <c r="AB221" s="848">
        <f>CF!AC89</f>
        <v>-19.683</v>
      </c>
      <c r="AC221" s="848">
        <f>CF!AD89</f>
        <v>-18.851999999999997</v>
      </c>
      <c r="AD221" s="848">
        <f>CF!AE89</f>
        <v>-23.548999999999992</v>
      </c>
      <c r="AE221" s="849">
        <f>CF!AF89</f>
        <v>-73.717999999999989</v>
      </c>
      <c r="AF221" s="848">
        <f>CF!AG89</f>
        <v>-48.3</v>
      </c>
      <c r="AG221" s="848">
        <f>CF!AH89</f>
        <v>-23.484000000000009</v>
      </c>
      <c r="AH221" s="848">
        <f>CF!AI89</f>
        <v>-32.159999999999997</v>
      </c>
      <c r="AI221" s="848">
        <f>CF!AJ89</f>
        <v>-28.130999999999986</v>
      </c>
      <c r="AJ221" s="849">
        <f>CF!AK89</f>
        <v>-132.07499999999999</v>
      </c>
      <c r="AK221" s="848">
        <f>CF!AL89</f>
        <v>-26.268000000000001</v>
      </c>
      <c r="AL221" s="848">
        <f>CF!AM89</f>
        <v>-22.402999999999999</v>
      </c>
      <c r="AM221" s="848">
        <f>CF!AN89</f>
        <v>-39.809999999999995</v>
      </c>
      <c r="AN221" s="848">
        <f>CF!AO89</f>
        <v>-23.311000000000007</v>
      </c>
      <c r="AO221" s="849">
        <f>CF!AP89</f>
        <v>-111.792</v>
      </c>
      <c r="AP221" s="848">
        <f>CF!AQ89</f>
        <v>-15.916</v>
      </c>
      <c r="AQ221" s="848">
        <f>CF!AR89</f>
        <v>-10.312000000000001</v>
      </c>
      <c r="AR221" s="848">
        <f>CF!AS89</f>
        <v>-58.43099999999999</v>
      </c>
      <c r="AS221" s="848">
        <f>CF!AT89</f>
        <v>-34.933</v>
      </c>
      <c r="AT221" s="849">
        <f>CF!AU89</f>
        <v>-119.59199999999998</v>
      </c>
      <c r="AU221" s="848">
        <f>CF!AV89</f>
        <v>-25.547000000000001</v>
      </c>
      <c r="AV221" s="848">
        <f>CF!AW89</f>
        <v>-49.628</v>
      </c>
      <c r="AW221" s="848">
        <f>CF!AX89</f>
        <v>-6.8889999999999958</v>
      </c>
      <c r="AX221" s="848">
        <f>CF!AY89</f>
        <v>-55.426999999999992</v>
      </c>
      <c r="AY221" s="849">
        <f>CF!AZ89</f>
        <v>-137.49099999999999</v>
      </c>
      <c r="AZ221" s="848">
        <f>CF!BA89</f>
        <v>-32.420999999999999</v>
      </c>
      <c r="BA221" s="848">
        <f>CF!BB89</f>
        <v>-37.500999999999998</v>
      </c>
      <c r="BB221" s="848">
        <f>CF!BC89</f>
        <v>-65.474999999999994</v>
      </c>
      <c r="BC221" s="848">
        <f>CF!BD89</f>
        <v>-74.896999999999991</v>
      </c>
      <c r="BD221" s="849">
        <f>CF!BE89</f>
        <v>-210.29399999999998</v>
      </c>
      <c r="BE221" s="848">
        <f>CF!BF89</f>
        <v>-51.088000000000001</v>
      </c>
      <c r="BF221" s="848">
        <f>CF!BG89</f>
        <v>-60.767000000000003</v>
      </c>
      <c r="BG221" s="848">
        <f>CF!BH89</f>
        <v>-77.432000000000002</v>
      </c>
      <c r="BH221" s="848">
        <f>CF!BI89</f>
        <v>-81.789000000000016</v>
      </c>
      <c r="BI221" s="849">
        <f>CF!BJ89</f>
        <v>-271.07600000000002</v>
      </c>
      <c r="BJ221" s="848">
        <f>CF!BK89</f>
        <v>-60.19</v>
      </c>
      <c r="BK221" s="848">
        <f>CF!BL89</f>
        <v>-46.248999999999995</v>
      </c>
      <c r="BL221" s="848">
        <f>CF!BM89</f>
        <v>-46.798000000000002</v>
      </c>
      <c r="BM221" s="848">
        <f>CF!BN89</f>
        <v>-35.121000000000009</v>
      </c>
      <c r="BN221" s="849">
        <f>CF!BO89</f>
        <v>-188.358</v>
      </c>
      <c r="BO221" s="848">
        <f>CF!BP89</f>
        <v>-29.393000000000001</v>
      </c>
      <c r="BP221" s="848">
        <f>CF!BQ89</f>
        <v>-27.198</v>
      </c>
      <c r="BQ221" s="848">
        <f>CF!BR89</f>
        <v>-54.966000000000001</v>
      </c>
      <c r="BR221" s="848">
        <f>CF!BS89</f>
        <v>-36.774999999999991</v>
      </c>
      <c r="BS221" s="849">
        <f>CF!BT89</f>
        <v>-148.33199999999999</v>
      </c>
      <c r="BT221" s="848">
        <f>CF!BU89</f>
        <v>-35.545999999999999</v>
      </c>
      <c r="BU221" s="848">
        <f>CF!BV89</f>
        <v>-35.729999999999997</v>
      </c>
      <c r="BV221" s="848">
        <f>CF!BW89</f>
        <v>-48.983999999999995</v>
      </c>
      <c r="BW221" s="848">
        <f>CF!BX89</f>
        <v>-64.676000000000016</v>
      </c>
      <c r="BX221" s="849">
        <f>CF!BY89</f>
        <v>-184.93600000000001</v>
      </c>
      <c r="BY221" s="848">
        <f>CF!BZ89</f>
        <v>-46.2</v>
      </c>
      <c r="BZ221" s="848">
        <f>CF!CA89</f>
        <v>-53.759</v>
      </c>
      <c r="CA221" s="848">
        <f>CF!CB89</f>
        <v>-55.212999999999994</v>
      </c>
      <c r="CB221" s="848">
        <f>CF!CC89</f>
        <v>-48.63300000000001</v>
      </c>
      <c r="CC221" s="849">
        <f>CF!CD89</f>
        <v>-203.80500000000001</v>
      </c>
      <c r="CD221" s="848">
        <f>CF!CE89</f>
        <v>-30.902999999999999</v>
      </c>
      <c r="CE221" s="848">
        <f>CF!CF89</f>
        <v>-55.297000000000004</v>
      </c>
      <c r="CF221" s="848">
        <f>CF!CG89</f>
        <v>-54.237999999999985</v>
      </c>
      <c r="CG221" s="848">
        <f>CF!CH89</f>
        <v>-37.684000000000026</v>
      </c>
      <c r="CH221" s="849">
        <f>CF!CI89</f>
        <v>-178.12200000000001</v>
      </c>
      <c r="CI221" s="848">
        <f>CF!CJ89</f>
        <v>-95.141999999999996</v>
      </c>
      <c r="CJ221" s="848">
        <f>CF!CK89</f>
        <v>-56.711323987638821</v>
      </c>
      <c r="CK221" s="848">
        <f>CF!CL89</f>
        <v>-59.65413647173483</v>
      </c>
      <c r="CL221" s="848">
        <f>CF!CM89</f>
        <v>-62.266602819523484</v>
      </c>
      <c r="CM221" s="849">
        <f>CF!CN89</f>
        <v>-273.77406327889713</v>
      </c>
      <c r="CN221" s="848">
        <f>CF!CO89</f>
        <v>-64.993145852362787</v>
      </c>
      <c r="CO221" s="848">
        <f>CF!CP89</f>
        <v>-67.764838626835441</v>
      </c>
      <c r="CP221" s="848">
        <f>CF!CQ89</f>
        <v>-70.681429389047821</v>
      </c>
      <c r="CQ221" s="848">
        <f>CF!CR89</f>
        <v>-73.7397103388451</v>
      </c>
      <c r="CR221" s="849">
        <f>CF!CS89</f>
        <v>-277.17912420709115</v>
      </c>
      <c r="CS221" s="848">
        <f>CF!CT89</f>
        <v>-76.791730269787124</v>
      </c>
      <c r="CT221" s="848">
        <f>CF!CU89</f>
        <v>-79.82229991639521</v>
      </c>
      <c r="CU221" s="848">
        <f>CF!CV89</f>
        <v>-82.810863686344987</v>
      </c>
      <c r="CV221" s="848">
        <f>CF!CW89</f>
        <v>-85.785701284531456</v>
      </c>
      <c r="CW221" s="849">
        <f>CF!CX89</f>
        <v>-325.21059515705878</v>
      </c>
      <c r="CZ221" s="850"/>
      <c r="DA221" s="677"/>
      <c r="DB221" s="677"/>
    </row>
    <row r="222" spans="1:106">
      <c r="A222" s="848" t="s">
        <v>300</v>
      </c>
      <c r="B222" s="848"/>
      <c r="C222" s="848"/>
      <c r="D222" s="848"/>
      <c r="E222" s="848"/>
      <c r="F222" s="849"/>
      <c r="G222" s="848">
        <v>0</v>
      </c>
      <c r="H222" s="848">
        <v>0</v>
      </c>
      <c r="I222" s="848">
        <v>0</v>
      </c>
      <c r="J222" s="848">
        <v>0</v>
      </c>
      <c r="K222" s="849">
        <f>SUM(G222:J222)</f>
        <v>0</v>
      </c>
      <c r="L222" s="848">
        <v>0</v>
      </c>
      <c r="M222" s="848">
        <v>0</v>
      </c>
      <c r="N222" s="848">
        <v>0</v>
      </c>
      <c r="O222" s="848">
        <v>0</v>
      </c>
      <c r="P222" s="849">
        <f>SUM(L222:O222)</f>
        <v>0</v>
      </c>
      <c r="Q222" s="848">
        <v>0</v>
      </c>
      <c r="R222" s="848">
        <v>0</v>
      </c>
      <c r="S222" s="848">
        <v>0</v>
      </c>
      <c r="T222" s="848">
        <v>0</v>
      </c>
      <c r="U222" s="849">
        <f>SUM(Q222:T222)</f>
        <v>0</v>
      </c>
      <c r="V222" s="848">
        <v>0</v>
      </c>
      <c r="W222" s="848">
        <v>0</v>
      </c>
      <c r="X222" s="848">
        <v>0</v>
      </c>
      <c r="Y222" s="848">
        <v>0</v>
      </c>
      <c r="Z222" s="849">
        <f>SUM(V222:Y222)</f>
        <v>0</v>
      </c>
      <c r="AA222" s="848">
        <v>0</v>
      </c>
      <c r="AB222" s="848">
        <v>0</v>
      </c>
      <c r="AC222" s="848">
        <v>0</v>
      </c>
      <c r="AD222" s="848">
        <v>0</v>
      </c>
      <c r="AE222" s="849">
        <f>SUM(AA222:AD222)</f>
        <v>0</v>
      </c>
      <c r="AF222" s="848">
        <v>0</v>
      </c>
      <c r="AG222" s="848">
        <v>0</v>
      </c>
      <c r="AH222" s="848">
        <v>0</v>
      </c>
      <c r="AI222" s="848">
        <v>0</v>
      </c>
      <c r="AJ222" s="849">
        <f>SUM(AF222:AI222)</f>
        <v>0</v>
      </c>
      <c r="AK222" s="848">
        <v>0</v>
      </c>
      <c r="AL222" s="848">
        <v>0</v>
      </c>
      <c r="AM222" s="848">
        <v>0</v>
      </c>
      <c r="AN222" s="848">
        <v>0</v>
      </c>
      <c r="AO222" s="849">
        <f>SUM(AK222:AN222)</f>
        <v>0</v>
      </c>
      <c r="AP222" s="848">
        <v>0</v>
      </c>
      <c r="AQ222" s="848">
        <v>0</v>
      </c>
      <c r="AR222" s="848">
        <v>0</v>
      </c>
      <c r="AS222" s="848">
        <v>0</v>
      </c>
      <c r="AT222" s="849">
        <f>SUM(AP222:AS222)</f>
        <v>0</v>
      </c>
      <c r="AU222" s="848">
        <v>0</v>
      </c>
      <c r="AV222" s="848">
        <v>0</v>
      </c>
      <c r="AW222" s="848">
        <v>0</v>
      </c>
      <c r="AX222" s="848">
        <v>0</v>
      </c>
      <c r="AY222" s="849">
        <f>SUM(AU222:AX222)</f>
        <v>0</v>
      </c>
      <c r="AZ222" s="848">
        <v>0</v>
      </c>
      <c r="BA222" s="848">
        <v>0</v>
      </c>
      <c r="BB222" s="848">
        <v>0</v>
      </c>
      <c r="BC222" s="848">
        <v>0</v>
      </c>
      <c r="BD222" s="849">
        <f>SUM(AZ222:BC222)</f>
        <v>0</v>
      </c>
      <c r="BE222" s="848">
        <v>0</v>
      </c>
      <c r="BF222" s="848">
        <v>0</v>
      </c>
      <c r="BG222" s="848">
        <v>0</v>
      </c>
      <c r="BH222" s="848">
        <v>0</v>
      </c>
      <c r="BI222" s="849">
        <f>SUM(BE222:BH222)</f>
        <v>0</v>
      </c>
      <c r="BJ222" s="848">
        <v>0</v>
      </c>
      <c r="BK222" s="848">
        <v>0</v>
      </c>
      <c r="BL222" s="848">
        <v>0</v>
      </c>
      <c r="BM222" s="848">
        <v>0</v>
      </c>
      <c r="BN222" s="849">
        <f>SUM(BJ222:BM222)</f>
        <v>0</v>
      </c>
      <c r="BO222" s="848">
        <v>0</v>
      </c>
      <c r="BP222" s="848">
        <v>0</v>
      </c>
      <c r="BQ222" s="848">
        <v>0</v>
      </c>
      <c r="BR222" s="848">
        <v>0</v>
      </c>
      <c r="BS222" s="849">
        <f>SUM(BO222:BR222)</f>
        <v>0</v>
      </c>
      <c r="BT222" s="848">
        <v>0</v>
      </c>
      <c r="BU222" s="848">
        <v>0</v>
      </c>
      <c r="BV222" s="848">
        <v>0</v>
      </c>
      <c r="BW222" s="848">
        <v>0</v>
      </c>
      <c r="BX222" s="849">
        <f>SUM(BT222:BW222)</f>
        <v>0</v>
      </c>
      <c r="BY222" s="848">
        <v>0</v>
      </c>
      <c r="BZ222" s="848">
        <v>0</v>
      </c>
      <c r="CA222" s="848">
        <v>0</v>
      </c>
      <c r="CB222" s="848">
        <v>0</v>
      </c>
      <c r="CC222" s="849">
        <f>SUM(BY222:CB222)</f>
        <v>0</v>
      </c>
      <c r="CD222" s="848">
        <v>0</v>
      </c>
      <c r="CE222" s="848">
        <v>0</v>
      </c>
      <c r="CF222" s="848">
        <v>0</v>
      </c>
      <c r="CG222" s="848">
        <v>0</v>
      </c>
      <c r="CH222" s="849">
        <f>SUM(CD222:CG222)</f>
        <v>0</v>
      </c>
      <c r="CI222" s="848">
        <v>0</v>
      </c>
      <c r="CJ222" s="848">
        <v>0</v>
      </c>
      <c r="CK222" s="848">
        <v>0</v>
      </c>
      <c r="CL222" s="848">
        <v>0</v>
      </c>
      <c r="CM222" s="849">
        <f>SUM(CI222:CL222)</f>
        <v>0</v>
      </c>
      <c r="CN222" s="848">
        <v>0</v>
      </c>
      <c r="CO222" s="848">
        <v>0</v>
      </c>
      <c r="CP222" s="848">
        <v>0</v>
      </c>
      <c r="CQ222" s="848">
        <v>0</v>
      </c>
      <c r="CR222" s="849">
        <f>SUM(CN222:CQ222)</f>
        <v>0</v>
      </c>
      <c r="CS222" s="848">
        <v>0</v>
      </c>
      <c r="CT222" s="848">
        <v>0</v>
      </c>
      <c r="CU222" s="848">
        <v>0</v>
      </c>
      <c r="CV222" s="848">
        <v>0</v>
      </c>
      <c r="CW222" s="849">
        <f>SUM(CS222:CV222)</f>
        <v>0</v>
      </c>
      <c r="CZ222" s="850"/>
      <c r="DA222" s="848"/>
      <c r="DB222" s="848"/>
    </row>
    <row r="223" spans="1:106">
      <c r="A223" s="90"/>
      <c r="B223" s="329"/>
      <c r="C223" s="329"/>
      <c r="D223" s="329"/>
      <c r="E223" s="329"/>
      <c r="F223" s="139"/>
      <c r="G223" s="329"/>
      <c r="H223" s="329"/>
      <c r="I223" s="329"/>
      <c r="J223" s="329"/>
      <c r="K223" s="139"/>
      <c r="L223" s="329"/>
      <c r="M223" s="329"/>
      <c r="N223" s="329"/>
      <c r="O223" s="329"/>
      <c r="P223" s="139"/>
      <c r="Q223" s="329"/>
      <c r="R223" s="329"/>
      <c r="S223" s="329"/>
      <c r="T223" s="329"/>
      <c r="U223" s="139"/>
      <c r="V223" s="329"/>
      <c r="W223" s="329"/>
      <c r="X223" s="329"/>
      <c r="Y223" s="329"/>
      <c r="Z223" s="139"/>
      <c r="AA223" s="329"/>
      <c r="AB223" s="329"/>
      <c r="AC223" s="329"/>
      <c r="AD223" s="329"/>
      <c r="AE223" s="139"/>
      <c r="AF223" s="329"/>
      <c r="AG223" s="329"/>
      <c r="AH223" s="329"/>
      <c r="AI223" s="329"/>
      <c r="AJ223" s="139"/>
      <c r="AK223" s="329"/>
      <c r="AL223" s="329"/>
      <c r="AM223" s="329"/>
      <c r="AN223" s="329"/>
      <c r="AO223" s="139"/>
      <c r="AP223" s="329"/>
      <c r="AQ223" s="329"/>
      <c r="AR223" s="329"/>
      <c r="AS223" s="329"/>
      <c r="AT223" s="139"/>
      <c r="AU223" s="329"/>
      <c r="AV223" s="329"/>
      <c r="AW223" s="329"/>
      <c r="AX223" s="329"/>
      <c r="AY223" s="139"/>
      <c r="AZ223" s="329"/>
      <c r="BA223" s="329"/>
      <c r="BB223" s="329"/>
      <c r="BC223" s="329"/>
      <c r="BD223" s="139"/>
      <c r="BE223" s="329"/>
      <c r="BF223" s="329"/>
      <c r="BG223" s="329"/>
      <c r="BH223" s="329"/>
      <c r="BI223" s="139"/>
      <c r="BJ223" s="329"/>
      <c r="BK223" s="329"/>
      <c r="BL223" s="329"/>
      <c r="BM223" s="329"/>
      <c r="BN223" s="139"/>
      <c r="BO223" s="329"/>
      <c r="BP223" s="329"/>
      <c r="BQ223" s="329"/>
      <c r="BR223" s="329"/>
      <c r="BS223" s="139"/>
      <c r="BT223" s="329"/>
      <c r="BU223" s="329"/>
      <c r="BV223" s="329"/>
      <c r="BW223" s="329"/>
      <c r="BX223" s="139"/>
      <c r="BY223" s="329"/>
      <c r="BZ223" s="329"/>
      <c r="CA223" s="329"/>
      <c r="CB223" s="329"/>
      <c r="CC223" s="139"/>
      <c r="CD223" s="329"/>
      <c r="CE223" s="329"/>
      <c r="CF223" s="329"/>
      <c r="CG223" s="329"/>
      <c r="CH223" s="139"/>
      <c r="CI223" s="329"/>
      <c r="CJ223" s="329"/>
      <c r="CK223" s="329"/>
      <c r="CL223" s="329"/>
      <c r="CM223" s="139"/>
      <c r="CN223" s="329"/>
      <c r="CO223" s="329"/>
      <c r="CP223" s="329"/>
      <c r="CQ223" s="329"/>
      <c r="CR223" s="139"/>
      <c r="CS223" s="329"/>
      <c r="CT223" s="329"/>
      <c r="CU223" s="329"/>
      <c r="CV223" s="329"/>
      <c r="CW223" s="139"/>
      <c r="CZ223" s="201"/>
      <c r="DA223" s="200"/>
      <c r="DB223" s="200"/>
    </row>
    <row r="224" spans="1:106">
      <c r="A224" s="411" t="s">
        <v>115</v>
      </c>
      <c r="B224" s="411"/>
      <c r="C224" s="411"/>
      <c r="D224" s="411"/>
      <c r="E224" s="411"/>
      <c r="F224" s="845"/>
      <c r="G224" s="411"/>
      <c r="H224" s="411"/>
      <c r="I224" s="411"/>
      <c r="J224" s="411"/>
      <c r="K224" s="845"/>
      <c r="L224" s="411"/>
      <c r="M224" s="411"/>
      <c r="N224" s="411"/>
      <c r="O224" s="411"/>
      <c r="P224" s="845"/>
      <c r="Q224" s="411"/>
      <c r="R224" s="411"/>
      <c r="S224" s="411"/>
      <c r="T224" s="411"/>
      <c r="U224" s="845"/>
      <c r="V224" s="411"/>
      <c r="W224" s="411"/>
      <c r="X224" s="411"/>
      <c r="Y224" s="411"/>
      <c r="Z224" s="845"/>
      <c r="AA224" s="411"/>
      <c r="AB224" s="411"/>
      <c r="AC224" s="411"/>
      <c r="AD224" s="411"/>
      <c r="AE224" s="845"/>
      <c r="AF224" s="411"/>
      <c r="AG224" s="411"/>
      <c r="AH224" s="411"/>
      <c r="AI224" s="411"/>
      <c r="AJ224" s="845"/>
      <c r="AK224" s="411"/>
      <c r="AL224" s="411"/>
      <c r="AM224" s="411"/>
      <c r="AN224" s="411"/>
      <c r="AO224" s="845"/>
      <c r="AP224" s="411"/>
      <c r="AQ224" s="411"/>
      <c r="AR224" s="411"/>
      <c r="AS224" s="411"/>
      <c r="AT224" s="845"/>
      <c r="AU224" s="411"/>
      <c r="AV224" s="411"/>
      <c r="AW224" s="411"/>
      <c r="AX224" s="411"/>
      <c r="AY224" s="845"/>
      <c r="AZ224" s="411"/>
      <c r="BA224" s="411"/>
      <c r="BB224" s="411"/>
      <c r="BC224" s="411"/>
      <c r="BD224" s="845"/>
      <c r="BE224" s="411"/>
      <c r="BF224" s="411"/>
      <c r="BG224" s="411"/>
      <c r="BH224" s="411"/>
      <c r="BI224" s="845"/>
      <c r="BJ224" s="411"/>
      <c r="BK224" s="411"/>
      <c r="BL224" s="411"/>
      <c r="BM224" s="411"/>
      <c r="BN224" s="845"/>
      <c r="BO224" s="411"/>
      <c r="BP224" s="411"/>
      <c r="BQ224" s="411"/>
      <c r="BR224" s="411"/>
      <c r="BS224" s="845"/>
      <c r="BT224" s="411"/>
      <c r="BU224" s="411"/>
      <c r="BV224" s="411"/>
      <c r="BW224" s="411"/>
      <c r="BX224" s="845"/>
      <c r="BY224" s="411"/>
      <c r="BZ224" s="411"/>
      <c r="CA224" s="411"/>
      <c r="CB224" s="411"/>
      <c r="CC224" s="845"/>
      <c r="CD224" s="411"/>
      <c r="CE224" s="411"/>
      <c r="CF224" s="411"/>
      <c r="CG224" s="411"/>
      <c r="CH224" s="845"/>
      <c r="CI224" s="411"/>
      <c r="CJ224" s="411"/>
      <c r="CK224" s="411"/>
      <c r="CL224" s="411"/>
      <c r="CM224" s="845"/>
      <c r="CN224" s="411"/>
      <c r="CO224" s="411"/>
      <c r="CP224" s="411"/>
      <c r="CQ224" s="411"/>
      <c r="CR224" s="845"/>
      <c r="CS224" s="411"/>
      <c r="CT224" s="411"/>
      <c r="CU224" s="411"/>
      <c r="CV224" s="411"/>
      <c r="CW224" s="845"/>
      <c r="CZ224" s="415"/>
      <c r="DA224" s="414"/>
      <c r="DB224" s="414"/>
    </row>
    <row r="225" spans="1:106">
      <c r="A225" s="90" t="s">
        <v>116</v>
      </c>
      <c r="B225" s="329"/>
      <c r="C225" s="329"/>
      <c r="D225" s="329"/>
      <c r="E225" s="329"/>
      <c r="F225" s="139"/>
      <c r="G225" s="329"/>
      <c r="H225" s="329"/>
      <c r="I225" s="329"/>
      <c r="J225" s="329"/>
      <c r="K225" s="139">
        <f>BS!L29+BS!L36+BS!L50</f>
        <v>674.32100000000003</v>
      </c>
      <c r="L225" s="329"/>
      <c r="M225" s="329"/>
      <c r="N225" s="329"/>
      <c r="O225" s="329"/>
      <c r="P225" s="139"/>
      <c r="Q225" s="329"/>
      <c r="R225" s="329"/>
      <c r="S225" s="329"/>
      <c r="T225" s="329"/>
      <c r="U225" s="139"/>
      <c r="V225" s="329"/>
      <c r="W225" s="329"/>
      <c r="X225" s="329"/>
      <c r="Y225" s="329"/>
      <c r="Z225" s="139"/>
      <c r="AA225" s="329"/>
      <c r="AB225" s="329"/>
      <c r="AC225" s="329"/>
      <c r="AD225" s="329"/>
      <c r="AE225" s="139"/>
      <c r="AF225" s="329"/>
      <c r="AG225" s="329"/>
      <c r="AH225" s="329"/>
      <c r="AI225" s="329"/>
      <c r="AJ225" s="139"/>
      <c r="AK225" s="329"/>
      <c r="AL225" s="329"/>
      <c r="AM225" s="329"/>
      <c r="AN225" s="329"/>
      <c r="AO225" s="139"/>
      <c r="AP225" s="329"/>
      <c r="AQ225" s="329"/>
      <c r="AR225" s="329"/>
      <c r="AS225" s="329"/>
      <c r="AT225" s="139"/>
      <c r="AU225" s="329"/>
      <c r="AV225" s="329"/>
      <c r="AW225" s="329"/>
      <c r="AX225" s="329"/>
      <c r="AY225" s="139"/>
      <c r="AZ225" s="329"/>
      <c r="BA225" s="329"/>
      <c r="BB225" s="329"/>
      <c r="BC225" s="329"/>
      <c r="BD225" s="139"/>
      <c r="BE225" s="329"/>
      <c r="BF225" s="329"/>
      <c r="BG225" s="329"/>
      <c r="BH225" s="329"/>
      <c r="BI225" s="139"/>
      <c r="BJ225" s="329"/>
      <c r="BK225" s="329"/>
      <c r="BL225" s="329"/>
      <c r="BM225" s="329"/>
      <c r="BN225" s="139"/>
      <c r="BO225" s="329"/>
      <c r="BP225" s="329"/>
      <c r="BQ225" s="329"/>
      <c r="BR225" s="329"/>
      <c r="BS225" s="139"/>
      <c r="BT225" s="329"/>
      <c r="BU225" s="329"/>
      <c r="BV225" s="329"/>
      <c r="BW225" s="329"/>
      <c r="BX225" s="139"/>
      <c r="BY225" s="329"/>
      <c r="BZ225" s="329"/>
      <c r="CA225" s="329"/>
      <c r="CB225" s="329"/>
      <c r="CC225" s="139"/>
      <c r="CD225" s="329"/>
      <c r="CE225" s="329"/>
      <c r="CF225" s="329"/>
      <c r="CG225" s="329"/>
      <c r="CH225" s="139"/>
      <c r="CI225" s="329"/>
      <c r="CJ225" s="329"/>
      <c r="CK225" s="329"/>
      <c r="CL225" s="329"/>
      <c r="CM225" s="139"/>
      <c r="CN225" s="329"/>
      <c r="CO225" s="329"/>
      <c r="CP225" s="329"/>
      <c r="CQ225" s="329"/>
      <c r="CR225" s="139"/>
      <c r="CS225" s="329"/>
      <c r="CT225" s="329"/>
      <c r="CU225" s="329"/>
      <c r="CV225" s="329"/>
      <c r="CW225" s="139"/>
      <c r="CZ225" s="201"/>
      <c r="DA225" s="200"/>
      <c r="DB225" s="200"/>
    </row>
    <row r="226" spans="1:106">
      <c r="A226" s="90" t="s">
        <v>620</v>
      </c>
      <c r="B226" s="329"/>
      <c r="C226" s="329"/>
      <c r="D226" s="329"/>
      <c r="E226" s="329"/>
      <c r="F226" s="139"/>
      <c r="G226" s="329"/>
      <c r="H226" s="329"/>
      <c r="I226" s="329"/>
      <c r="J226" s="329"/>
      <c r="K226" s="139">
        <f>Model!L67</f>
        <v>325.91700000000009</v>
      </c>
      <c r="L226" s="329"/>
      <c r="M226" s="329"/>
      <c r="N226" s="329"/>
      <c r="O226" s="329"/>
      <c r="P226" s="360"/>
      <c r="Q226" s="445"/>
      <c r="R226" s="445"/>
      <c r="S226" s="445"/>
      <c r="T226" s="445"/>
      <c r="U226" s="360"/>
      <c r="V226" s="445"/>
      <c r="W226" s="445"/>
      <c r="X226" s="445"/>
      <c r="Y226" s="445"/>
      <c r="Z226" s="360"/>
      <c r="AA226" s="445"/>
      <c r="AB226" s="445"/>
      <c r="AC226" s="445"/>
      <c r="AD226" s="445"/>
      <c r="AE226" s="360"/>
      <c r="AF226" s="658"/>
      <c r="AG226" s="658"/>
      <c r="AH226" s="658"/>
      <c r="AI226" s="658"/>
      <c r="AJ226" s="139"/>
      <c r="AK226" s="329"/>
      <c r="AL226" s="329"/>
      <c r="AM226" s="329"/>
      <c r="AN226" s="329"/>
      <c r="AO226" s="139"/>
      <c r="AP226" s="329"/>
      <c r="AQ226" s="329"/>
      <c r="AR226" s="329"/>
      <c r="AS226" s="329"/>
      <c r="AT226" s="139"/>
      <c r="AU226" s="329"/>
      <c r="AV226" s="329"/>
      <c r="AW226" s="329"/>
      <c r="AX226" s="329"/>
      <c r="AY226" s="139"/>
      <c r="AZ226" s="329"/>
      <c r="BA226" s="329"/>
      <c r="BB226" s="329"/>
      <c r="BC226" s="329"/>
      <c r="BD226" s="139"/>
      <c r="BE226" s="329"/>
      <c r="BF226" s="329"/>
      <c r="BG226" s="329"/>
      <c r="BH226" s="329"/>
      <c r="BI226" s="139"/>
      <c r="BJ226" s="329"/>
      <c r="BK226" s="329"/>
      <c r="BL226" s="329"/>
      <c r="BM226" s="329"/>
      <c r="BN226" s="139"/>
      <c r="BO226" s="329"/>
      <c r="BP226" s="329"/>
      <c r="BQ226" s="329"/>
      <c r="BR226" s="329"/>
      <c r="BS226" s="139"/>
      <c r="BT226" s="329"/>
      <c r="BU226" s="329"/>
      <c r="BV226" s="329"/>
      <c r="BW226" s="329"/>
      <c r="BX226" s="139"/>
      <c r="BY226" s="329"/>
      <c r="BZ226" s="329"/>
      <c r="CA226" s="329"/>
      <c r="CB226" s="329"/>
      <c r="CC226" s="139"/>
      <c r="CD226" s="329"/>
      <c r="CE226" s="329"/>
      <c r="CF226" s="329"/>
      <c r="CG226" s="329"/>
      <c r="CH226" s="139"/>
      <c r="CI226" s="329"/>
      <c r="CJ226" s="329"/>
      <c r="CK226" s="329"/>
      <c r="CL226" s="329"/>
      <c r="CM226" s="139"/>
      <c r="CN226" s="329"/>
      <c r="CO226" s="329"/>
      <c r="CP226" s="329"/>
      <c r="CQ226" s="329"/>
      <c r="CR226" s="139"/>
      <c r="CS226" s="329"/>
      <c r="CT226" s="329"/>
      <c r="CU226" s="329"/>
      <c r="CV226" s="329"/>
      <c r="CW226" s="139"/>
      <c r="CZ226" s="201"/>
      <c r="DA226" s="200"/>
      <c r="DB226" s="200"/>
    </row>
    <row r="227" spans="1:106">
      <c r="A227" s="90" t="s">
        <v>330</v>
      </c>
      <c r="B227" s="329"/>
      <c r="C227" s="329"/>
      <c r="D227" s="329"/>
      <c r="E227" s="329"/>
      <c r="F227" s="139"/>
      <c r="G227" s="329"/>
      <c r="H227" s="329"/>
      <c r="I227" s="329"/>
      <c r="J227" s="329"/>
      <c r="K227" s="139">
        <f>K226*(1-Model!L82)</f>
        <v>221.62401908652333</v>
      </c>
      <c r="L227" s="329"/>
      <c r="M227" s="329"/>
      <c r="N227" s="329"/>
      <c r="O227" s="329"/>
      <c r="P227" s="139"/>
      <c r="Q227" s="329"/>
      <c r="R227" s="329"/>
      <c r="S227" s="329"/>
      <c r="T227" s="329"/>
      <c r="U227" s="139"/>
      <c r="V227" s="329"/>
      <c r="W227" s="329"/>
      <c r="X227" s="329"/>
      <c r="Y227" s="329"/>
      <c r="Z227" s="139"/>
      <c r="AA227" s="329"/>
      <c r="AB227" s="329"/>
      <c r="AC227" s="329"/>
      <c r="AD227" s="329"/>
      <c r="AE227" s="139"/>
      <c r="AF227" s="329"/>
      <c r="AG227" s="329"/>
      <c r="AH227" s="329"/>
      <c r="AI227" s="329"/>
      <c r="AJ227" s="139"/>
      <c r="AK227" s="329"/>
      <c r="AL227" s="329"/>
      <c r="AM227" s="329"/>
      <c r="AN227" s="329"/>
      <c r="AO227" s="139"/>
      <c r="AP227" s="329"/>
      <c r="AQ227" s="329"/>
      <c r="AR227" s="329"/>
      <c r="AS227" s="329"/>
      <c r="AT227" s="139"/>
      <c r="AU227" s="329"/>
      <c r="AV227" s="329"/>
      <c r="AW227" s="329"/>
      <c r="AX227" s="329"/>
      <c r="AY227" s="139"/>
      <c r="AZ227" s="329"/>
      <c r="BA227" s="329"/>
      <c r="BB227" s="329"/>
      <c r="BC227" s="329"/>
      <c r="BD227" s="139"/>
      <c r="BE227" s="329"/>
      <c r="BF227" s="329"/>
      <c r="BG227" s="329"/>
      <c r="BH227" s="329"/>
      <c r="BI227" s="139"/>
      <c r="BJ227" s="329"/>
      <c r="BK227" s="329"/>
      <c r="BL227" s="329"/>
      <c r="BM227" s="329"/>
      <c r="BN227" s="139"/>
      <c r="BO227" s="329"/>
      <c r="BP227" s="329"/>
      <c r="BQ227" s="329"/>
      <c r="BR227" s="329"/>
      <c r="BS227" s="139"/>
      <c r="BT227" s="329"/>
      <c r="BU227" s="329"/>
      <c r="BV227" s="329"/>
      <c r="BW227" s="329"/>
      <c r="BX227" s="139"/>
      <c r="BY227" s="329"/>
      <c r="BZ227" s="329"/>
      <c r="CA227" s="329"/>
      <c r="CB227" s="329"/>
      <c r="CC227" s="139"/>
      <c r="CD227" s="329"/>
      <c r="CE227" s="329"/>
      <c r="CF227" s="329"/>
      <c r="CG227" s="329"/>
      <c r="CH227" s="139"/>
      <c r="CI227" s="329"/>
      <c r="CJ227" s="329"/>
      <c r="CK227" s="329"/>
      <c r="CL227" s="329"/>
      <c r="CM227" s="139"/>
      <c r="CN227" s="329"/>
      <c r="CO227" s="329"/>
      <c r="CP227" s="329"/>
      <c r="CQ227" s="329"/>
      <c r="CR227" s="139"/>
      <c r="CS227" s="329"/>
      <c r="CT227" s="329"/>
      <c r="CU227" s="329"/>
      <c r="CV227" s="329"/>
      <c r="CW227" s="139"/>
      <c r="CZ227" s="201"/>
      <c r="DA227" s="200"/>
      <c r="DB227" s="200"/>
    </row>
    <row r="228" spans="1:106">
      <c r="A228" s="90" t="s">
        <v>118</v>
      </c>
      <c r="B228" s="329"/>
      <c r="C228" s="329"/>
      <c r="D228" s="329"/>
      <c r="E228" s="329"/>
      <c r="F228" s="139"/>
      <c r="G228" s="329"/>
      <c r="H228" s="329"/>
      <c r="I228" s="329"/>
      <c r="J228" s="329"/>
      <c r="K228" s="311">
        <f>K227/K225</f>
        <v>0.32866249024800254</v>
      </c>
      <c r="L228" s="329"/>
      <c r="M228" s="329"/>
      <c r="N228" s="329"/>
      <c r="O228" s="329"/>
      <c r="P228" s="311"/>
      <c r="Q228" s="329"/>
      <c r="R228" s="329"/>
      <c r="S228" s="329"/>
      <c r="T228" s="329"/>
      <c r="U228" s="311"/>
      <c r="V228" s="329"/>
      <c r="W228" s="329"/>
      <c r="X228" s="329"/>
      <c r="Y228" s="329"/>
      <c r="Z228" s="311"/>
      <c r="AA228" s="329"/>
      <c r="AB228" s="329"/>
      <c r="AC228" s="329"/>
      <c r="AD228" s="329"/>
      <c r="AE228" s="311"/>
      <c r="AF228" s="329"/>
      <c r="AG228" s="329"/>
      <c r="AH228" s="329"/>
      <c r="AI228" s="329"/>
      <c r="AJ228" s="311"/>
      <c r="AK228" s="417"/>
      <c r="AL228" s="417"/>
      <c r="AM228" s="417"/>
      <c r="AN228" s="417"/>
      <c r="AO228" s="311"/>
      <c r="AP228" s="417"/>
      <c r="AQ228" s="417"/>
      <c r="AR228" s="417"/>
      <c r="AS228" s="417"/>
      <c r="AT228" s="311"/>
      <c r="AU228" s="417"/>
      <c r="AV228" s="417"/>
      <c r="AW228" s="417"/>
      <c r="AX228" s="417"/>
      <c r="AY228" s="311"/>
      <c r="AZ228" s="417"/>
      <c r="BA228" s="417"/>
      <c r="BB228" s="417"/>
      <c r="BC228" s="417"/>
      <c r="BD228" s="311"/>
      <c r="BE228" s="417"/>
      <c r="BF228" s="417"/>
      <c r="BG228" s="417"/>
      <c r="BH228" s="417"/>
      <c r="BI228" s="311"/>
      <c r="BJ228" s="417"/>
      <c r="BK228" s="417"/>
      <c r="BL228" s="417"/>
      <c r="BM228" s="417"/>
      <c r="BN228" s="311"/>
      <c r="BO228" s="417"/>
      <c r="BP228" s="417"/>
      <c r="BQ228" s="417"/>
      <c r="BR228" s="417"/>
      <c r="BS228" s="311"/>
      <c r="BT228" s="417"/>
      <c r="BU228" s="417"/>
      <c r="BV228" s="417"/>
      <c r="BW228" s="417"/>
      <c r="BX228" s="311"/>
      <c r="BY228" s="417"/>
      <c r="BZ228" s="417"/>
      <c r="CA228" s="417"/>
      <c r="CB228" s="417"/>
      <c r="CC228" s="311"/>
      <c r="CD228" s="417"/>
      <c r="CE228" s="417"/>
      <c r="CF228" s="417"/>
      <c r="CG228" s="417"/>
      <c r="CH228" s="311"/>
      <c r="CI228" s="417"/>
      <c r="CJ228" s="417"/>
      <c r="CK228" s="417"/>
      <c r="CL228" s="417"/>
      <c r="CM228" s="311"/>
      <c r="CN228" s="417"/>
      <c r="CO228" s="417"/>
      <c r="CP228" s="417"/>
      <c r="CQ228" s="417"/>
      <c r="CR228" s="311"/>
      <c r="CS228" s="417"/>
      <c r="CT228" s="417"/>
      <c r="CU228" s="417"/>
      <c r="CV228" s="417"/>
      <c r="CW228" s="311"/>
      <c r="CZ228" s="201"/>
      <c r="DA228" s="200"/>
      <c r="DB228" s="200"/>
    </row>
    <row r="229" spans="1:106">
      <c r="A229" s="90" t="s">
        <v>481</v>
      </c>
      <c r="B229" s="329"/>
      <c r="C229" s="329"/>
      <c r="D229" s="329"/>
      <c r="E229" s="329"/>
      <c r="F229" s="139"/>
      <c r="G229" s="329"/>
      <c r="H229" s="329"/>
      <c r="I229" s="329"/>
      <c r="J229" s="329"/>
      <c r="K229" s="311">
        <f>K227/(K225-J210)</f>
        <v>3.9167259134476726</v>
      </c>
      <c r="L229" s="329"/>
      <c r="M229" s="329"/>
      <c r="N229" s="329"/>
      <c r="O229" s="329"/>
      <c r="P229" s="311"/>
      <c r="Q229" s="329"/>
      <c r="R229" s="329"/>
      <c r="S229" s="329"/>
      <c r="T229" s="329"/>
      <c r="U229" s="311"/>
      <c r="V229" s="329"/>
      <c r="W229" s="329"/>
      <c r="X229" s="329"/>
      <c r="Y229" s="329"/>
      <c r="Z229" s="311"/>
      <c r="AA229" s="329"/>
      <c r="AB229" s="329"/>
      <c r="AC229" s="329"/>
      <c r="AD229" s="329"/>
      <c r="AE229" s="311"/>
      <c r="AF229" s="329"/>
      <c r="AG229" s="329"/>
      <c r="AH229" s="329"/>
      <c r="AI229" s="329"/>
      <c r="AJ229" s="311"/>
      <c r="AK229" s="417"/>
      <c r="AL229" s="417"/>
      <c r="AM229" s="417"/>
      <c r="AN229" s="417"/>
      <c r="AO229" s="311"/>
      <c r="AP229" s="417"/>
      <c r="AQ229" s="417"/>
      <c r="AR229" s="417"/>
      <c r="AS229" s="417"/>
      <c r="AT229" s="311"/>
      <c r="AU229" s="417"/>
      <c r="AV229" s="417"/>
      <c r="AW229" s="417"/>
      <c r="AX229" s="417"/>
      <c r="AY229" s="311"/>
      <c r="AZ229" s="417"/>
      <c r="BA229" s="417"/>
      <c r="BB229" s="417"/>
      <c r="BC229" s="417"/>
      <c r="BD229" s="311"/>
      <c r="BE229" s="417"/>
      <c r="BF229" s="417"/>
      <c r="BG229" s="417"/>
      <c r="BH229" s="417"/>
      <c r="BI229" s="311"/>
      <c r="BJ229" s="417"/>
      <c r="BK229" s="417"/>
      <c r="BL229" s="417"/>
      <c r="BM229" s="417"/>
      <c r="BN229" s="311"/>
      <c r="BO229" s="417"/>
      <c r="BP229" s="417"/>
      <c r="BQ229" s="417"/>
      <c r="BR229" s="417"/>
      <c r="BS229" s="311"/>
      <c r="BT229" s="417"/>
      <c r="BU229" s="417"/>
      <c r="BV229" s="417"/>
      <c r="BW229" s="417"/>
      <c r="BX229" s="311"/>
      <c r="BY229" s="417"/>
      <c r="BZ229" s="417"/>
      <c r="CA229" s="417"/>
      <c r="CB229" s="417"/>
      <c r="CC229" s="311"/>
      <c r="CD229" s="417"/>
      <c r="CE229" s="417"/>
      <c r="CF229" s="417"/>
      <c r="CG229" s="417"/>
      <c r="CH229" s="311"/>
      <c r="CI229" s="417"/>
      <c r="CJ229" s="417"/>
      <c r="CK229" s="417"/>
      <c r="CL229" s="417"/>
      <c r="CM229" s="311"/>
      <c r="CN229" s="417"/>
      <c r="CO229" s="417"/>
      <c r="CP229" s="417"/>
      <c r="CQ229" s="417"/>
      <c r="CR229" s="311"/>
      <c r="CS229" s="417"/>
      <c r="CT229" s="417"/>
      <c r="CU229" s="417"/>
      <c r="CV229" s="417"/>
      <c r="CW229" s="311"/>
      <c r="CZ229" s="201"/>
      <c r="DA229" s="200"/>
      <c r="DB229" s="200"/>
    </row>
    <row r="230" spans="1:106" ht="6" customHeight="1">
      <c r="A230" s="90"/>
      <c r="B230" s="329"/>
      <c r="C230" s="329"/>
      <c r="D230" s="329"/>
      <c r="E230" s="329"/>
      <c r="F230" s="139"/>
      <c r="G230" s="329"/>
      <c r="H230" s="329"/>
      <c r="I230" s="329"/>
      <c r="J230" s="329"/>
      <c r="K230" s="311"/>
      <c r="L230" s="329"/>
      <c r="M230" s="329"/>
      <c r="N230" s="329"/>
      <c r="O230" s="329"/>
      <c r="P230" s="311"/>
      <c r="Q230" s="329"/>
      <c r="R230" s="329"/>
      <c r="S230" s="329"/>
      <c r="T230" s="329"/>
      <c r="U230" s="311"/>
      <c r="V230" s="329"/>
      <c r="W230" s="329"/>
      <c r="X230" s="329"/>
      <c r="Y230" s="329"/>
      <c r="Z230" s="311"/>
      <c r="AA230" s="329"/>
      <c r="AB230" s="329"/>
      <c r="AC230" s="329"/>
      <c r="AD230" s="329"/>
      <c r="AE230" s="311"/>
      <c r="AF230" s="329"/>
      <c r="AG230" s="329"/>
      <c r="AH230" s="329"/>
      <c r="AI230" s="329"/>
      <c r="AJ230" s="311"/>
      <c r="AK230" s="417"/>
      <c r="AL230" s="417"/>
      <c r="AM230" s="417"/>
      <c r="AN230" s="417"/>
      <c r="AO230" s="311"/>
      <c r="AP230" s="417"/>
      <c r="AQ230" s="417"/>
      <c r="AR230" s="417"/>
      <c r="AS230" s="417"/>
      <c r="AT230" s="311"/>
      <c r="AU230" s="417"/>
      <c r="AV230" s="417"/>
      <c r="AW230" s="417"/>
      <c r="AX230" s="417"/>
      <c r="AY230" s="311"/>
      <c r="AZ230" s="417"/>
      <c r="BA230" s="417"/>
      <c r="BB230" s="417"/>
      <c r="BC230" s="417"/>
      <c r="BD230" s="311"/>
      <c r="BE230" s="417"/>
      <c r="BF230" s="417"/>
      <c r="BG230" s="417"/>
      <c r="BH230" s="417"/>
      <c r="BI230" s="311"/>
      <c r="BJ230" s="417"/>
      <c r="BK230" s="417"/>
      <c r="BL230" s="417"/>
      <c r="BM230" s="417"/>
      <c r="BN230" s="311"/>
      <c r="BO230" s="417"/>
      <c r="BP230" s="417"/>
      <c r="BQ230" s="417"/>
      <c r="BR230" s="417"/>
      <c r="BS230" s="311"/>
      <c r="BT230" s="417"/>
      <c r="BU230" s="417"/>
      <c r="BV230" s="417"/>
      <c r="BW230" s="417"/>
      <c r="BX230" s="311"/>
      <c r="BY230" s="417"/>
      <c r="BZ230" s="417"/>
      <c r="CA230" s="417"/>
      <c r="CB230" s="417"/>
      <c r="CC230" s="311"/>
      <c r="CD230" s="417"/>
      <c r="CE230" s="417"/>
      <c r="CF230" s="417"/>
      <c r="CG230" s="417"/>
      <c r="CH230" s="311"/>
      <c r="CI230" s="417"/>
      <c r="CJ230" s="417"/>
      <c r="CK230" s="417"/>
      <c r="CL230" s="417"/>
      <c r="CM230" s="311"/>
      <c r="CN230" s="417"/>
      <c r="CO230" s="417"/>
      <c r="CP230" s="417"/>
      <c r="CQ230" s="417"/>
      <c r="CR230" s="311"/>
      <c r="CS230" s="417"/>
      <c r="CT230" s="417"/>
      <c r="CU230" s="417"/>
      <c r="CV230" s="417"/>
      <c r="CW230" s="311"/>
      <c r="CZ230" s="201"/>
      <c r="DA230" s="200"/>
      <c r="DB230" s="200"/>
    </row>
    <row r="231" spans="1:106">
      <c r="A231" s="90" t="s">
        <v>617</v>
      </c>
      <c r="B231" s="329"/>
      <c r="C231" s="329"/>
      <c r="D231" s="329"/>
      <c r="E231" s="329"/>
      <c r="F231" s="139"/>
      <c r="G231" s="329"/>
      <c r="H231" s="329"/>
      <c r="I231" s="329"/>
      <c r="J231" s="329"/>
      <c r="K231" s="311">
        <f>(BS!L29+BS!L36)/(BS!L29+BS!L36+BS!L50)</f>
        <v>0</v>
      </c>
      <c r="L231" s="329"/>
      <c r="M231" s="329"/>
      <c r="N231" s="329"/>
      <c r="O231" s="329"/>
      <c r="P231" s="311"/>
      <c r="Q231" s="329"/>
      <c r="R231" s="329"/>
      <c r="S231" s="329"/>
      <c r="T231" s="329"/>
      <c r="U231" s="311"/>
      <c r="V231" s="329"/>
      <c r="W231" s="329"/>
      <c r="X231" s="329"/>
      <c r="Y231" s="329"/>
      <c r="Z231" s="311"/>
      <c r="AA231" s="329"/>
      <c r="AB231" s="329"/>
      <c r="AC231" s="329"/>
      <c r="AD231" s="329"/>
      <c r="AE231" s="311"/>
      <c r="AF231" s="329"/>
      <c r="AG231" s="329"/>
      <c r="AH231" s="329"/>
      <c r="AI231" s="329"/>
      <c r="AJ231" s="311"/>
      <c r="AK231" s="417"/>
      <c r="AL231" s="417"/>
      <c r="AM231" s="417"/>
      <c r="AN231" s="417"/>
      <c r="AO231" s="311"/>
      <c r="AP231" s="417"/>
      <c r="AQ231" s="417"/>
      <c r="AR231" s="417"/>
      <c r="AS231" s="417"/>
      <c r="AT231" s="311"/>
      <c r="AU231" s="417"/>
      <c r="AV231" s="417"/>
      <c r="AW231" s="417"/>
      <c r="AX231" s="417"/>
      <c r="AY231" s="311"/>
      <c r="AZ231" s="417"/>
      <c r="BA231" s="417"/>
      <c r="BB231" s="417"/>
      <c r="BC231" s="417"/>
      <c r="BD231" s="311"/>
      <c r="BE231" s="417"/>
      <c r="BF231" s="417"/>
      <c r="BG231" s="417"/>
      <c r="BH231" s="417"/>
      <c r="BI231" s="311"/>
      <c r="BJ231" s="417"/>
      <c r="BK231" s="417"/>
      <c r="BL231" s="417"/>
      <c r="BM231" s="417"/>
      <c r="BN231" s="311"/>
      <c r="BO231" s="417"/>
      <c r="BP231" s="417"/>
      <c r="BQ231" s="417"/>
      <c r="BR231" s="417"/>
      <c r="BS231" s="311"/>
      <c r="BT231" s="417"/>
      <c r="BU231" s="417"/>
      <c r="BV231" s="417"/>
      <c r="BW231" s="417"/>
      <c r="BX231" s="311"/>
      <c r="BY231" s="417"/>
      <c r="BZ231" s="417"/>
      <c r="CA231" s="417"/>
      <c r="CB231" s="417"/>
      <c r="CC231" s="311"/>
      <c r="CD231" s="417"/>
      <c r="CE231" s="417"/>
      <c r="CF231" s="417"/>
      <c r="CG231" s="417"/>
      <c r="CH231" s="311"/>
      <c r="CI231" s="417"/>
      <c r="CJ231" s="417"/>
      <c r="CK231" s="417"/>
      <c r="CL231" s="417"/>
      <c r="CM231" s="311"/>
      <c r="CN231" s="417"/>
      <c r="CO231" s="417"/>
      <c r="CP231" s="417"/>
      <c r="CQ231" s="417"/>
      <c r="CR231" s="311"/>
      <c r="CS231" s="417"/>
      <c r="CT231" s="417"/>
      <c r="CU231" s="417"/>
      <c r="CV231" s="417"/>
      <c r="CW231" s="311"/>
      <c r="CZ231" s="201"/>
      <c r="DA231" s="661"/>
      <c r="DB231" s="200"/>
    </row>
    <row r="232" spans="1:106">
      <c r="A232" s="90" t="s">
        <v>618</v>
      </c>
      <c r="B232" s="329"/>
      <c r="C232" s="329"/>
      <c r="D232" s="329"/>
      <c r="E232" s="329"/>
      <c r="F232" s="139"/>
      <c r="G232" s="329"/>
      <c r="H232" s="329"/>
      <c r="I232" s="329"/>
      <c r="J232" s="329"/>
      <c r="K232" s="311">
        <v>7.8598000000000001E-2</v>
      </c>
      <c r="L232" s="329"/>
      <c r="M232" s="329"/>
      <c r="N232" s="329"/>
      <c r="O232" s="329"/>
      <c r="P232" s="311"/>
      <c r="Q232" s="329"/>
      <c r="R232" s="329"/>
      <c r="S232" s="329"/>
      <c r="T232" s="329"/>
      <c r="U232" s="311"/>
      <c r="V232" s="329"/>
      <c r="W232" s="329"/>
      <c r="X232" s="329"/>
      <c r="Y232" s="329"/>
      <c r="Z232" s="311"/>
      <c r="AA232" s="329"/>
      <c r="AB232" s="329"/>
      <c r="AC232" s="329"/>
      <c r="AD232" s="329"/>
      <c r="AE232" s="311"/>
      <c r="AF232" s="329"/>
      <c r="AG232" s="329"/>
      <c r="AH232" s="329"/>
      <c r="AI232" s="329"/>
      <c r="AJ232" s="311"/>
      <c r="AK232" s="417"/>
      <c r="AL232" s="417"/>
      <c r="AM232" s="417"/>
      <c r="AN232" s="417"/>
      <c r="AO232" s="311"/>
      <c r="AP232" s="417"/>
      <c r="AQ232" s="417"/>
      <c r="AR232" s="417"/>
      <c r="AS232" s="417"/>
      <c r="AT232" s="311"/>
      <c r="AU232" s="417"/>
      <c r="AV232" s="417"/>
      <c r="AW232" s="417"/>
      <c r="AX232" s="417"/>
      <c r="AY232" s="311"/>
      <c r="AZ232" s="417"/>
      <c r="BA232" s="417"/>
      <c r="BB232" s="417"/>
      <c r="BC232" s="417"/>
      <c r="BD232" s="311"/>
      <c r="BE232" s="417"/>
      <c r="BF232" s="417"/>
      <c r="BG232" s="417"/>
      <c r="BH232" s="417"/>
      <c r="BI232" s="311"/>
      <c r="BJ232" s="417"/>
      <c r="BK232" s="417"/>
      <c r="BL232" s="417"/>
      <c r="BM232" s="417"/>
      <c r="BN232" s="311"/>
      <c r="BO232" s="417"/>
      <c r="BP232" s="417"/>
      <c r="BQ232" s="417"/>
      <c r="BR232" s="417"/>
      <c r="BS232" s="311"/>
      <c r="BT232" s="417"/>
      <c r="BU232" s="417"/>
      <c r="BV232" s="417"/>
      <c r="BW232" s="417"/>
      <c r="BX232" s="311"/>
      <c r="BY232" s="417"/>
      <c r="BZ232" s="417"/>
      <c r="CA232" s="417"/>
      <c r="CB232" s="417"/>
      <c r="CC232" s="311"/>
      <c r="CD232" s="417"/>
      <c r="CE232" s="417"/>
      <c r="CF232" s="417"/>
      <c r="CG232" s="417"/>
      <c r="CH232" s="311"/>
      <c r="CI232" s="417"/>
      <c r="CJ232" s="417"/>
      <c r="CK232" s="417"/>
      <c r="CL232" s="417"/>
      <c r="CM232" s="311"/>
      <c r="CN232" s="417"/>
      <c r="CO232" s="417"/>
      <c r="CP232" s="417"/>
      <c r="CQ232" s="417"/>
      <c r="CR232" s="311"/>
      <c r="CS232" s="417"/>
      <c r="CT232" s="417"/>
      <c r="CU232" s="417"/>
      <c r="CV232" s="417"/>
      <c r="CW232" s="311"/>
      <c r="CZ232" s="201"/>
      <c r="DA232" s="200"/>
      <c r="DB232" s="200"/>
    </row>
    <row r="233" spans="1:106">
      <c r="A233" s="90" t="s">
        <v>119</v>
      </c>
      <c r="B233" s="329"/>
      <c r="C233" s="329"/>
      <c r="D233" s="329"/>
      <c r="E233" s="329"/>
      <c r="F233" s="139"/>
      <c r="G233" s="329"/>
      <c r="H233" s="329"/>
      <c r="I233" s="329"/>
      <c r="J233" s="329"/>
      <c r="K233" s="311">
        <f>K228-K232</f>
        <v>0.25006449024800254</v>
      </c>
      <c r="L233" s="329"/>
      <c r="M233" s="329"/>
      <c r="N233" s="329"/>
      <c r="O233" s="329"/>
      <c r="P233" s="311"/>
      <c r="Q233" s="329"/>
      <c r="R233" s="329"/>
      <c r="S233" s="329"/>
      <c r="T233" s="329"/>
      <c r="U233" s="311"/>
      <c r="V233" s="329"/>
      <c r="W233" s="329"/>
      <c r="X233" s="329"/>
      <c r="Y233" s="329"/>
      <c r="Z233" s="311"/>
      <c r="AA233" s="329"/>
      <c r="AB233" s="329"/>
      <c r="AC233" s="329"/>
      <c r="AD233" s="329"/>
      <c r="AE233" s="311"/>
      <c r="AF233" s="329"/>
      <c r="AG233" s="329"/>
      <c r="AH233" s="329"/>
      <c r="AI233" s="329"/>
      <c r="AJ233" s="311"/>
      <c r="AK233" s="417"/>
      <c r="AL233" s="417"/>
      <c r="AM233" s="417"/>
      <c r="AN233" s="417"/>
      <c r="AO233" s="311"/>
      <c r="AP233" s="417"/>
      <c r="AQ233" s="417"/>
      <c r="AR233" s="417"/>
      <c r="AS233" s="417"/>
      <c r="AT233" s="311"/>
      <c r="AU233" s="417"/>
      <c r="AV233" s="417"/>
      <c r="AW233" s="417"/>
      <c r="AX233" s="417"/>
      <c r="AY233" s="311"/>
      <c r="AZ233" s="417"/>
      <c r="BA233" s="417"/>
      <c r="BB233" s="417"/>
      <c r="BC233" s="417"/>
      <c r="BD233" s="311"/>
      <c r="BE233" s="417"/>
      <c r="BF233" s="417"/>
      <c r="BG233" s="417"/>
      <c r="BH233" s="417"/>
      <c r="BI233" s="311"/>
      <c r="BJ233" s="417"/>
      <c r="BK233" s="417"/>
      <c r="BL233" s="417"/>
      <c r="BM233" s="417"/>
      <c r="BN233" s="311"/>
      <c r="BO233" s="417"/>
      <c r="BP233" s="417"/>
      <c r="BQ233" s="417"/>
      <c r="BR233" s="417"/>
      <c r="BS233" s="311"/>
      <c r="BT233" s="417"/>
      <c r="BU233" s="417"/>
      <c r="BV233" s="417"/>
      <c r="BW233" s="417"/>
      <c r="BX233" s="311"/>
      <c r="BY233" s="417"/>
      <c r="BZ233" s="417"/>
      <c r="CA233" s="417"/>
      <c r="CB233" s="417"/>
      <c r="CC233" s="311"/>
      <c r="CD233" s="417"/>
      <c r="CE233" s="417"/>
      <c r="CF233" s="417"/>
      <c r="CG233" s="417"/>
      <c r="CH233" s="311"/>
      <c r="CI233" s="417"/>
      <c r="CJ233" s="417"/>
      <c r="CK233" s="417"/>
      <c r="CL233" s="417"/>
      <c r="CM233" s="311"/>
      <c r="CN233" s="417"/>
      <c r="CO233" s="417"/>
      <c r="CP233" s="417"/>
      <c r="CQ233" s="417"/>
      <c r="CR233" s="311"/>
      <c r="CS233" s="417"/>
      <c r="CT233" s="417"/>
      <c r="CU233" s="417"/>
      <c r="CV233" s="417"/>
      <c r="CW233" s="311"/>
      <c r="CZ233" s="201"/>
      <c r="DA233" s="200"/>
      <c r="DB233" s="200"/>
    </row>
    <row r="234" spans="1:106">
      <c r="A234" s="90" t="s">
        <v>120</v>
      </c>
      <c r="B234" s="329"/>
      <c r="C234" s="329"/>
      <c r="D234" s="329"/>
      <c r="E234" s="329"/>
      <c r="F234" s="139"/>
      <c r="G234" s="329"/>
      <c r="H234" s="329"/>
      <c r="I234" s="329"/>
      <c r="J234" s="329"/>
      <c r="K234" s="139">
        <f>K233*K225</f>
        <v>168.62373712852332</v>
      </c>
      <c r="L234" s="329"/>
      <c r="M234" s="329"/>
      <c r="N234" s="329"/>
      <c r="O234" s="329"/>
      <c r="P234" s="139"/>
      <c r="Q234" s="329"/>
      <c r="R234" s="329"/>
      <c r="S234" s="329"/>
      <c r="T234" s="329"/>
      <c r="U234" s="139"/>
      <c r="V234" s="329"/>
      <c r="W234" s="329"/>
      <c r="X234" s="329"/>
      <c r="Y234" s="329"/>
      <c r="Z234" s="139"/>
      <c r="AA234" s="329"/>
      <c r="AB234" s="329"/>
      <c r="AC234" s="329"/>
      <c r="AD234" s="329"/>
      <c r="AE234" s="139"/>
      <c r="AF234" s="329"/>
      <c r="AG234" s="329"/>
      <c r="AH234" s="329"/>
      <c r="AI234" s="329"/>
      <c r="AJ234" s="139"/>
      <c r="AK234" s="329"/>
      <c r="AL234" s="329"/>
      <c r="AM234" s="329"/>
      <c r="AN234" s="329"/>
      <c r="AO234" s="139"/>
      <c r="AP234" s="329"/>
      <c r="AQ234" s="329"/>
      <c r="AR234" s="329"/>
      <c r="AS234" s="329"/>
      <c r="AT234" s="139"/>
      <c r="AU234" s="329"/>
      <c r="AV234" s="329"/>
      <c r="AW234" s="329"/>
      <c r="AX234" s="329"/>
      <c r="AY234" s="139"/>
      <c r="AZ234" s="329"/>
      <c r="BA234" s="329"/>
      <c r="BB234" s="329"/>
      <c r="BC234" s="329"/>
      <c r="BD234" s="139"/>
      <c r="BE234" s="329"/>
      <c r="BF234" s="329"/>
      <c r="BG234" s="329"/>
      <c r="BH234" s="329"/>
      <c r="BI234" s="139"/>
      <c r="BJ234" s="329"/>
      <c r="BK234" s="329"/>
      <c r="BL234" s="329"/>
      <c r="BM234" s="329"/>
      <c r="BN234" s="139"/>
      <c r="BO234" s="329"/>
      <c r="BP234" s="329"/>
      <c r="BQ234" s="329"/>
      <c r="BR234" s="329"/>
      <c r="BS234" s="139"/>
      <c r="BT234" s="329"/>
      <c r="BU234" s="329"/>
      <c r="BV234" s="329"/>
      <c r="BW234" s="329"/>
      <c r="BX234" s="139"/>
      <c r="BY234" s="329"/>
      <c r="BZ234" s="329"/>
      <c r="CA234" s="329"/>
      <c r="CB234" s="329"/>
      <c r="CC234" s="139"/>
      <c r="CD234" s="329"/>
      <c r="CE234" s="329"/>
      <c r="CF234" s="329"/>
      <c r="CG234" s="329"/>
      <c r="CH234" s="139"/>
      <c r="CI234" s="329"/>
      <c r="CJ234" s="329"/>
      <c r="CK234" s="329"/>
      <c r="CL234" s="329"/>
      <c r="CM234" s="139"/>
      <c r="CN234" s="329"/>
      <c r="CO234" s="329"/>
      <c r="CP234" s="329"/>
      <c r="CQ234" s="329"/>
      <c r="CR234" s="139"/>
      <c r="CS234" s="329"/>
      <c r="CT234" s="329"/>
      <c r="CU234" s="329"/>
      <c r="CV234" s="329"/>
      <c r="CW234" s="139"/>
      <c r="CZ234" s="201"/>
      <c r="DA234" s="200"/>
      <c r="DB234" s="200"/>
    </row>
  </sheetData>
  <customSheetViews>
    <customSheetView guid="{5A095E4E-6841-4715-B354-198715F5FF0A}" scale="90" showGridLines="0" hiddenRows="1" hiddenColumns="1" showRuler="0"/>
    <customSheetView guid="{7ADDAC9C-E12E-468B-A7D0-D44A9895D58E}" scale="90" showGridLines="0" hiddenRows="1" hiddenColumns="1" showRuler="0"/>
  </customSheetViews>
  <phoneticPr fontId="2" type="noConversion"/>
  <pageMargins left="0.75" right="0.75" top="1" bottom="1" header="0.5" footer="0.5"/>
  <pageSetup scale="56" orientation="portrait" r:id="rId1"/>
  <headerFooter alignWithMargins="0"/>
  <rowBreaks count="1" manualBreakCount="1">
    <brk id="186" max="35"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theme="3"/>
    <pageSetUpPr autoPageBreaks="0" fitToPage="1"/>
  </sheetPr>
  <dimension ref="A1:DL143"/>
  <sheetViews>
    <sheetView showGridLines="0" zoomScaleNormal="100" workbookViewId="0">
      <pane xSplit="71" ySplit="5" topLeftCell="BY6" activePane="bottomRight" state="frozen"/>
      <selection pane="topRight" activeCell="BT1" sqref="BT1"/>
      <selection pane="bottomLeft" activeCell="A6" sqref="A6"/>
      <selection pane="bottomRight" activeCell="BY6" sqref="BY6"/>
    </sheetView>
  </sheetViews>
  <sheetFormatPr defaultRowHeight="12.75" outlineLevelRow="1" outlineLevelCol="2"/>
  <cols>
    <col min="1" max="1" width="30.5703125" customWidth="1"/>
    <col min="2" max="2" width="7.42578125" hidden="1" customWidth="1"/>
    <col min="3" max="6" width="7.7109375" hidden="1" customWidth="1" outlineLevel="2"/>
    <col min="7" max="7" width="7.7109375" hidden="1" customWidth="1" outlineLevel="1"/>
    <col min="8" max="11" width="7.7109375" hidden="1" customWidth="1" outlineLevel="2"/>
    <col min="12" max="12" width="8.42578125" hidden="1" customWidth="1" outlineLevel="2" collapsed="1"/>
    <col min="13" max="13" width="7.7109375" hidden="1" customWidth="1" outlineLevel="2"/>
    <col min="14" max="14" width="7.5703125" hidden="1" customWidth="1" outlineLevel="2"/>
    <col min="15" max="15" width="7.7109375" hidden="1" customWidth="1" outlineLevel="2"/>
    <col min="16" max="16" width="7.5703125" hidden="1" customWidth="1" outlineLevel="2"/>
    <col min="17" max="17" width="8.28515625" hidden="1" customWidth="1" outlineLevel="1"/>
    <col min="18" max="19" width="7.7109375" hidden="1" customWidth="1" outlineLevel="2"/>
    <col min="20" max="20" width="7.5703125" hidden="1" customWidth="1" outlineLevel="2"/>
    <col min="21" max="21" width="8.28515625" hidden="1" customWidth="1" outlineLevel="2"/>
    <col min="22" max="22" width="7.5703125" hidden="1" customWidth="1" outlineLevel="1"/>
    <col min="23" max="26" width="7.7109375" hidden="1" customWidth="1" outlineLevel="1"/>
    <col min="27" max="27" width="8" hidden="1" customWidth="1" outlineLevel="1" collapsed="1"/>
    <col min="28" max="30" width="7.7109375" hidden="1" customWidth="1" outlineLevel="1"/>
    <col min="31" max="31" width="9.140625" hidden="1" customWidth="1" outlineLevel="1"/>
    <col min="32" max="32" width="8.28515625" hidden="1" customWidth="1" outlineLevel="1"/>
    <col min="33" max="37" width="7.7109375" hidden="1" customWidth="1" outlineLevel="1"/>
    <col min="38" max="38" width="7.85546875" hidden="1" customWidth="1" outlineLevel="1"/>
    <col min="39" max="41" width="7.7109375" hidden="1" customWidth="1" outlineLevel="1"/>
    <col min="42" max="42" width="7.7109375" hidden="1" customWidth="1" collapsed="1"/>
    <col min="43" max="43" width="8.42578125" hidden="1" customWidth="1" outlineLevel="1"/>
    <col min="44" max="46" width="7.7109375" hidden="1" customWidth="1" outlineLevel="1"/>
    <col min="47" max="47" width="7.7109375" hidden="1" customWidth="1" collapsed="1"/>
    <col min="48" max="48" width="8.42578125" hidden="1" customWidth="1" outlineLevel="1"/>
    <col min="49" max="51" width="7.7109375" hidden="1" customWidth="1" outlineLevel="1"/>
    <col min="52" max="52" width="7.7109375" hidden="1" customWidth="1" collapsed="1"/>
    <col min="53" max="53" width="8.42578125" hidden="1" customWidth="1" outlineLevel="1"/>
    <col min="54" max="56" width="7.7109375" hidden="1" customWidth="1" outlineLevel="1"/>
    <col min="57" max="57" width="7.7109375" hidden="1" customWidth="1" outlineLevel="1" collapsed="1"/>
    <col min="58" max="58" width="8.42578125" hidden="1" customWidth="1" outlineLevel="1"/>
    <col min="59" max="61" width="7.7109375" hidden="1" customWidth="1" outlineLevel="1"/>
    <col min="62" max="62" width="7.7109375" hidden="1" customWidth="1" collapsed="1"/>
    <col min="63" max="66" width="7.7109375" hidden="1" customWidth="1" outlineLevel="1"/>
    <col min="67" max="67" width="7.7109375" hidden="1" customWidth="1" collapsed="1"/>
    <col min="68" max="68" width="7.85546875" hidden="1" customWidth="1" outlineLevel="1"/>
    <col min="69" max="71" width="7.7109375" hidden="1" customWidth="1" outlineLevel="1"/>
    <col min="72" max="72" width="7.7109375" hidden="1" customWidth="1" collapsed="1"/>
    <col min="73" max="73" width="7.7109375" hidden="1" customWidth="1" outlineLevel="1"/>
    <col min="74" max="74" width="7.5703125" hidden="1" customWidth="1" outlineLevel="1"/>
    <col min="75" max="76" width="7.7109375" hidden="1" customWidth="1" outlineLevel="1"/>
    <col min="77" max="77" width="7.7109375" customWidth="1" collapsed="1"/>
    <col min="78" max="78" width="7.7109375" hidden="1" customWidth="1" outlineLevel="1"/>
    <col min="79" max="79" width="7.5703125" hidden="1" customWidth="1" outlineLevel="1"/>
    <col min="80" max="81" width="7.7109375" hidden="1" customWidth="1" outlineLevel="1"/>
    <col min="82" max="82" width="7.7109375" customWidth="1" collapsed="1"/>
    <col min="83" max="86" width="7.7109375" customWidth="1" outlineLevel="1"/>
    <col min="87" max="87" width="7.7109375" customWidth="1"/>
    <col min="88" max="91" width="7.7109375" customWidth="1" outlineLevel="1"/>
    <col min="92" max="92" width="7.7109375" customWidth="1"/>
    <col min="93" max="96" width="7.7109375" customWidth="1" outlineLevel="1"/>
    <col min="97" max="97" width="7.7109375" customWidth="1"/>
    <col min="98" max="101" width="7.7109375" hidden="1" customWidth="1" outlineLevel="1"/>
    <col min="102" max="102" width="7.7109375" customWidth="1" collapsed="1"/>
    <col min="103" max="104" width="7.7109375" customWidth="1"/>
    <col min="105" max="107" width="1.7109375" customWidth="1"/>
    <col min="108" max="108" width="10" customWidth="1"/>
    <col min="109" max="109" width="1.7109375" customWidth="1"/>
    <col min="110" max="110" width="36.28515625" customWidth="1"/>
  </cols>
  <sheetData>
    <row r="1" spans="1:109" ht="20.100000000000001" customHeight="1">
      <c r="A1" s="30" t="str">
        <f>Model!A1</f>
        <v>Adobe Systems</v>
      </c>
      <c r="B1" s="30"/>
      <c r="C1" s="4"/>
      <c r="D1" s="4"/>
      <c r="E1" s="4"/>
      <c r="F1" s="4"/>
      <c r="G1" s="4"/>
      <c r="H1" s="4"/>
      <c r="I1" s="4"/>
      <c r="J1" s="4"/>
      <c r="K1" s="4"/>
      <c r="L1" s="4"/>
      <c r="M1" s="668"/>
      <c r="N1" s="668"/>
      <c r="O1" s="668"/>
      <c r="P1" s="668"/>
      <c r="Q1" s="4"/>
      <c r="R1" s="668"/>
      <c r="S1" s="668"/>
      <c r="T1" s="668"/>
      <c r="U1" s="668"/>
      <c r="V1" s="4"/>
      <c r="W1" s="668"/>
      <c r="X1" s="668"/>
      <c r="Y1" s="668"/>
      <c r="Z1" s="668"/>
      <c r="AA1" s="664"/>
      <c r="AB1" s="662"/>
      <c r="AC1" s="662"/>
      <c r="AD1" s="662"/>
      <c r="AE1" s="662"/>
      <c r="AF1" s="662"/>
      <c r="AG1" s="662"/>
      <c r="AH1" s="662"/>
      <c r="AI1" s="662"/>
      <c r="AJ1" s="662"/>
      <c r="AK1" s="662"/>
      <c r="AL1" s="662"/>
      <c r="AM1" s="662"/>
      <c r="AN1" s="662"/>
      <c r="AO1" s="662"/>
      <c r="AP1" s="662"/>
      <c r="AQ1" s="662"/>
      <c r="AR1" s="645"/>
      <c r="AS1" s="645"/>
      <c r="AT1" s="645"/>
      <c r="AU1" s="645"/>
      <c r="AV1" s="662"/>
      <c r="AW1" s="645"/>
      <c r="AX1" s="645"/>
      <c r="AY1" s="645"/>
      <c r="AZ1" s="645"/>
      <c r="BA1" s="662"/>
      <c r="BB1" s="1294"/>
      <c r="BC1" s="645"/>
      <c r="BD1" s="645"/>
      <c r="BE1" s="645"/>
      <c r="BF1" s="662"/>
      <c r="BG1" s="1333"/>
      <c r="BH1" s="1349"/>
      <c r="BI1" s="645"/>
      <c r="BJ1" s="645"/>
      <c r="BK1" s="645"/>
      <c r="BL1" s="645"/>
      <c r="BM1" s="645"/>
      <c r="BN1" s="645"/>
      <c r="BO1" s="645"/>
      <c r="BP1" s="645"/>
      <c r="BQ1" s="1349"/>
      <c r="BR1" s="1349" t="str">
        <f>BR52</f>
        <v xml:space="preserve"> </v>
      </c>
      <c r="BS1" s="645" t="str">
        <f>BS52</f>
        <v xml:space="preserve"> </v>
      </c>
      <c r="BT1" s="645" t="str">
        <f>BT52</f>
        <v xml:space="preserve"> </v>
      </c>
      <c r="BU1" s="1349"/>
      <c r="BV1" s="1349"/>
      <c r="BW1" s="1349"/>
      <c r="BX1" s="1349"/>
      <c r="BY1" s="1349"/>
      <c r="BZ1" s="1349"/>
      <c r="CA1" s="1349"/>
      <c r="CB1" s="1349"/>
      <c r="CC1" s="1349"/>
      <c r="CD1" s="1349"/>
      <c r="CE1" s="1349"/>
      <c r="CF1" s="1349"/>
      <c r="CG1" s="1349"/>
      <c r="CH1" s="1349"/>
      <c r="CI1" s="1349"/>
      <c r="CJ1" s="1349"/>
      <c r="CK1" s="1349"/>
      <c r="CL1" s="1349"/>
      <c r="CM1" s="1349"/>
      <c r="CN1" s="1349"/>
      <c r="CO1" s="1349"/>
      <c r="CP1" s="1349"/>
      <c r="CQ1" s="1349"/>
      <c r="CR1" s="1349"/>
      <c r="CS1" s="1349"/>
      <c r="CT1" s="1349"/>
      <c r="CU1" s="1349"/>
      <c r="CV1" s="1349"/>
      <c r="CW1" s="1349"/>
      <c r="CX1" s="1349"/>
      <c r="DB1" s="23"/>
      <c r="DC1" s="4"/>
      <c r="DD1" s="4"/>
      <c r="DE1" s="4"/>
    </row>
    <row r="2" spans="1:109" ht="20.100000000000001" customHeight="1">
      <c r="A2" s="5" t="s">
        <v>45</v>
      </c>
      <c r="B2" s="5"/>
      <c r="C2" s="8"/>
      <c r="D2" s="7"/>
      <c r="E2" s="6"/>
      <c r="F2" s="7"/>
      <c r="G2" s="6"/>
      <c r="H2" s="8"/>
      <c r="I2" s="7"/>
      <c r="J2" s="6"/>
      <c r="K2" s="7"/>
      <c r="L2" s="6"/>
      <c r="M2" s="8"/>
      <c r="N2" s="7"/>
      <c r="O2" s="6"/>
      <c r="P2" s="7"/>
      <c r="Q2" s="6"/>
      <c r="R2" s="7"/>
      <c r="S2" s="7"/>
      <c r="T2" s="7"/>
      <c r="U2" s="7"/>
      <c r="V2" s="7"/>
      <c r="W2" s="7"/>
      <c r="X2" s="7"/>
      <c r="Y2" s="7"/>
      <c r="Z2" s="7"/>
      <c r="AA2" s="663"/>
      <c r="AB2" s="663"/>
      <c r="AC2" s="663"/>
      <c r="AD2" s="663"/>
      <c r="AE2" s="663"/>
      <c r="AF2" s="663"/>
      <c r="AG2" s="663"/>
      <c r="AH2" s="663"/>
      <c r="AI2" s="663"/>
      <c r="AJ2" s="663"/>
      <c r="AK2" s="663"/>
      <c r="AL2" s="663"/>
      <c r="AM2" s="663"/>
      <c r="AN2" s="663"/>
      <c r="AO2" s="663"/>
      <c r="AP2" s="663"/>
      <c r="AQ2" s="663"/>
      <c r="AR2" s="646"/>
      <c r="AS2" s="646"/>
      <c r="AT2" s="646"/>
      <c r="AU2" s="646"/>
      <c r="AV2" s="663"/>
      <c r="AW2" s="646"/>
      <c r="AX2" s="646"/>
      <c r="AY2" s="646"/>
      <c r="AZ2" s="646"/>
      <c r="BA2" s="663"/>
      <c r="BB2" s="646"/>
      <c r="BC2" s="663"/>
      <c r="BD2" s="646"/>
      <c r="BE2" s="646"/>
      <c r="BF2" s="663"/>
      <c r="BG2" s="646"/>
      <c r="BH2" s="646"/>
      <c r="BI2" s="646"/>
      <c r="BJ2" s="646"/>
      <c r="BK2" s="646"/>
      <c r="BL2" s="646"/>
      <c r="BM2" s="646"/>
      <c r="BN2" s="646"/>
      <c r="BO2" s="646"/>
      <c r="BP2" s="646"/>
      <c r="BQ2" s="646"/>
      <c r="BR2" s="646"/>
      <c r="BS2" s="646"/>
      <c r="BT2" s="646"/>
      <c r="BU2" s="646"/>
      <c r="BV2" s="646"/>
      <c r="BW2" s="646"/>
      <c r="BX2" s="646"/>
      <c r="BY2" s="646"/>
      <c r="BZ2" s="646"/>
      <c r="CA2" s="646"/>
      <c r="CB2" s="646"/>
      <c r="CC2" s="646"/>
      <c r="CD2" s="646"/>
      <c r="CE2" s="646"/>
      <c r="CF2" s="646"/>
      <c r="CG2" s="646"/>
      <c r="CH2" s="646"/>
      <c r="CI2" s="646"/>
      <c r="CJ2" s="646"/>
      <c r="CK2" s="646"/>
      <c r="CL2" s="646"/>
      <c r="CM2" s="646"/>
      <c r="CN2" s="646"/>
      <c r="CO2" s="646"/>
      <c r="CP2" s="646"/>
      <c r="CQ2" s="646"/>
      <c r="CR2" s="646"/>
      <c r="CS2" s="646"/>
      <c r="CT2" s="646"/>
      <c r="CU2" s="646"/>
      <c r="CV2" s="646"/>
      <c r="CW2" s="646"/>
      <c r="CX2" s="646"/>
      <c r="DB2" s="23"/>
      <c r="DC2" s="4"/>
      <c r="DD2" s="4"/>
      <c r="DE2" s="4"/>
    </row>
    <row r="3" spans="1:109" ht="12.75" hidden="1" customHeight="1" outlineLevel="1"/>
    <row r="4" spans="1:109" ht="9.75" customHeight="1" collapsed="1">
      <c r="A4" s="1843" t="s">
        <v>332</v>
      </c>
      <c r="B4" s="1783"/>
      <c r="C4" s="82"/>
      <c r="D4" s="82"/>
      <c r="E4" s="82"/>
      <c r="F4" s="82"/>
      <c r="G4" s="83"/>
      <c r="H4" s="82"/>
      <c r="I4" s="82"/>
      <c r="J4" s="82"/>
      <c r="K4" s="82"/>
      <c r="L4" s="83"/>
      <c r="M4" s="82"/>
      <c r="N4" s="82"/>
      <c r="O4" s="82"/>
      <c r="P4" s="82"/>
      <c r="Q4" s="83"/>
      <c r="R4" s="82"/>
      <c r="S4" s="82"/>
      <c r="T4" s="82"/>
      <c r="U4" s="82"/>
      <c r="V4" s="83"/>
      <c r="W4" s="82"/>
      <c r="X4" s="82"/>
      <c r="Y4" s="82"/>
      <c r="Z4" s="82"/>
      <c r="AA4" s="1784"/>
      <c r="AB4" s="1785"/>
      <c r="AC4" s="1785"/>
      <c r="AD4" s="1785"/>
      <c r="AE4" s="1785"/>
      <c r="AF4" s="1784"/>
      <c r="AG4" s="1785"/>
      <c r="AH4" s="1785"/>
      <c r="AI4" s="1785"/>
      <c r="AJ4" s="1785"/>
      <c r="AK4" s="1784"/>
      <c r="AL4" s="1785"/>
      <c r="AM4" s="1785"/>
      <c r="AN4" s="1785"/>
      <c r="AO4" s="1785"/>
      <c r="AP4" s="1784"/>
      <c r="AQ4" s="1785"/>
      <c r="AR4" s="1786"/>
      <c r="AS4" s="1786"/>
      <c r="AT4" s="1786"/>
      <c r="AU4" s="1787"/>
      <c r="AV4" s="1785"/>
      <c r="AW4" s="1786"/>
      <c r="AX4" s="1786"/>
      <c r="AY4" s="1786"/>
      <c r="AZ4" s="1787"/>
      <c r="BA4" s="1785"/>
      <c r="BB4" s="1786"/>
      <c r="BC4" s="1785"/>
      <c r="BD4" s="1786"/>
      <c r="BE4" s="1787"/>
      <c r="BF4" s="1785"/>
      <c r="BG4" s="1786"/>
      <c r="BH4" s="1786"/>
      <c r="BI4" s="1786"/>
      <c r="BJ4" s="1788"/>
      <c r="BK4" s="1786"/>
      <c r="BL4" s="1786"/>
      <c r="BM4" s="1786"/>
      <c r="BN4" s="1786"/>
      <c r="BO4" s="1788"/>
      <c r="BP4" s="1786"/>
      <c r="BQ4" s="1786"/>
      <c r="BR4" s="1786"/>
      <c r="BS4" s="1786"/>
      <c r="BT4" s="1788"/>
      <c r="BU4" s="1789"/>
      <c r="BV4" s="1789"/>
      <c r="BW4" s="1789"/>
      <c r="BX4" s="1789"/>
      <c r="BY4" s="1790"/>
      <c r="BZ4" s="1786"/>
      <c r="CA4" s="1786"/>
      <c r="CB4" s="1786"/>
      <c r="CC4" s="1786"/>
      <c r="CD4" s="1788"/>
      <c r="CE4" s="1786"/>
      <c r="CF4" s="1786"/>
      <c r="CG4" s="1786"/>
      <c r="CH4" s="1786"/>
      <c r="CI4" s="1788"/>
      <c r="CJ4" s="1786"/>
      <c r="CK4" s="1786"/>
      <c r="CL4" s="1786"/>
      <c r="CM4" s="1786"/>
      <c r="CN4" s="1788"/>
      <c r="CO4" s="1786"/>
      <c r="CP4" s="1786"/>
      <c r="CQ4" s="1786"/>
      <c r="CR4" s="1786"/>
      <c r="CS4" s="1788"/>
      <c r="CT4" s="1786"/>
      <c r="CU4" s="1786"/>
      <c r="CV4" s="1786"/>
      <c r="CW4" s="1786"/>
      <c r="CX4" s="1787"/>
      <c r="DB4" s="126"/>
      <c r="DC4" s="84"/>
      <c r="DD4" s="84"/>
      <c r="DE4" s="84"/>
    </row>
    <row r="5" spans="1:109">
      <c r="A5" s="1874"/>
      <c r="B5" s="681"/>
      <c r="C5" s="682" t="str">
        <f>Model!C6</f>
        <v>2/01</v>
      </c>
      <c r="D5" s="682" t="str">
        <f>Model!D6</f>
        <v>5/01</v>
      </c>
      <c r="E5" s="682" t="str">
        <f>Model!E6</f>
        <v>8/01</v>
      </c>
      <c r="F5" s="682" t="str">
        <f>Model!F6</f>
        <v>11/01</v>
      </c>
      <c r="G5" s="683" t="str">
        <f>Model!G6</f>
        <v>FY01</v>
      </c>
      <c r="H5" s="682" t="str">
        <f>Model!H6</f>
        <v>2/02</v>
      </c>
      <c r="I5" s="682" t="str">
        <f>Model!I6</f>
        <v>5/02</v>
      </c>
      <c r="J5" s="682" t="str">
        <f>Model!J6</f>
        <v>8/02</v>
      </c>
      <c r="K5" s="682" t="str">
        <f>Model!K6</f>
        <v>11/02</v>
      </c>
      <c r="L5" s="683" t="str">
        <f>Model!L6</f>
        <v>FY02</v>
      </c>
      <c r="M5" s="682" t="str">
        <f>Model!M6</f>
        <v>2/03</v>
      </c>
      <c r="N5" s="682" t="str">
        <f>Model!N6</f>
        <v>5/03</v>
      </c>
      <c r="O5" s="682" t="str">
        <f>Model!O6</f>
        <v>8/03</v>
      </c>
      <c r="P5" s="682" t="str">
        <f>Model!P6</f>
        <v>11/03</v>
      </c>
      <c r="Q5" s="683" t="str">
        <f>Model!Q6</f>
        <v>FY03</v>
      </c>
      <c r="R5" s="682" t="str">
        <f>Model!R6</f>
        <v>2/04</v>
      </c>
      <c r="S5" s="682" t="str">
        <f>Model!S6</f>
        <v>5/04</v>
      </c>
      <c r="T5" s="682" t="str">
        <f>Model!T6</f>
        <v>8/04</v>
      </c>
      <c r="U5" s="682" t="str">
        <f>Model!U6</f>
        <v>11/04</v>
      </c>
      <c r="V5" s="683" t="str">
        <f>Model!V6</f>
        <v>FY04</v>
      </c>
      <c r="W5" s="682" t="str">
        <f>Model!W6</f>
        <v>2/05</v>
      </c>
      <c r="X5" s="682" t="str">
        <f>Model!X6</f>
        <v xml:space="preserve"> 5/05</v>
      </c>
      <c r="Y5" s="682" t="str">
        <f>Model!Y6</f>
        <v>8/05</v>
      </c>
      <c r="Z5" s="682" t="str">
        <f>Model!Z6</f>
        <v>11/05</v>
      </c>
      <c r="AA5" s="683" t="str">
        <f>Model!AA6</f>
        <v>FY05</v>
      </c>
      <c r="AB5" s="682" t="str">
        <f>Model!AB6</f>
        <v>2/06</v>
      </c>
      <c r="AC5" s="682" t="str">
        <f>Model!AC6</f>
        <v xml:space="preserve"> 5/06</v>
      </c>
      <c r="AD5" s="682" t="str">
        <f>Model!AD6</f>
        <v>8/06</v>
      </c>
      <c r="AE5" s="682" t="str">
        <f>Model!AE6</f>
        <v>11/06</v>
      </c>
      <c r="AF5" s="683" t="str">
        <f>Model!AF6</f>
        <v>FY06</v>
      </c>
      <c r="AG5" s="682" t="str">
        <f>Model!AG6</f>
        <v xml:space="preserve"> 2/07</v>
      </c>
      <c r="AH5" s="682" t="str">
        <f>Model!AH6</f>
        <v>5/07</v>
      </c>
      <c r="AI5" s="682" t="str">
        <f>Model!AI6</f>
        <v>8/07</v>
      </c>
      <c r="AJ5" s="682" t="str">
        <f>Model!AJ6</f>
        <v>11/07</v>
      </c>
      <c r="AK5" s="683" t="str">
        <f>Model!AK6</f>
        <v>FY07</v>
      </c>
      <c r="AL5" s="682" t="str">
        <f>Model!AL6</f>
        <v xml:space="preserve"> 2/08</v>
      </c>
      <c r="AM5" s="682" t="str">
        <f>Model!AM6</f>
        <v>5/08</v>
      </c>
      <c r="AN5" s="682" t="str">
        <f>Model!AN6</f>
        <v>8/08</v>
      </c>
      <c r="AO5" s="682" t="str">
        <f>Model!AO6</f>
        <v>11/08</v>
      </c>
      <c r="AP5" s="683" t="str">
        <f>Model!AP6</f>
        <v>FY08</v>
      </c>
      <c r="AQ5" s="682" t="str">
        <f>Model!AQ6</f>
        <v xml:space="preserve"> 2/09</v>
      </c>
      <c r="AR5" s="682" t="str">
        <f>Model!AR6</f>
        <v>5/09</v>
      </c>
      <c r="AS5" s="682" t="str">
        <f>Model!AS6</f>
        <v>8/09</v>
      </c>
      <c r="AT5" s="682" t="str">
        <f>Model!AT6</f>
        <v>11/09</v>
      </c>
      <c r="AU5" s="683" t="str">
        <f>Model!AU6</f>
        <v>FY09</v>
      </c>
      <c r="AV5" s="682" t="str">
        <f>Model!AV6</f>
        <v xml:space="preserve"> 2/10</v>
      </c>
      <c r="AW5" s="682" t="str">
        <f>Model!AW6</f>
        <v>5/10</v>
      </c>
      <c r="AX5" s="682" t="str">
        <f>Model!AX6</f>
        <v>8/10</v>
      </c>
      <c r="AY5" s="682" t="str">
        <f>Model!AY6</f>
        <v>11/10</v>
      </c>
      <c r="AZ5" s="683" t="str">
        <f>Model!AZ6</f>
        <v>FY10</v>
      </c>
      <c r="BA5" s="682" t="str">
        <f>Model!BA6</f>
        <v xml:space="preserve"> 2/11</v>
      </c>
      <c r="BB5" s="682" t="str">
        <f>Model!BB6</f>
        <v>5/11</v>
      </c>
      <c r="BC5" s="682" t="str">
        <f>Model!BC6</f>
        <v>8/11</v>
      </c>
      <c r="BD5" s="682" t="str">
        <f>Model!BD6</f>
        <v>11/11</v>
      </c>
      <c r="BE5" s="683" t="str">
        <f>Model!BE6</f>
        <v>FY11</v>
      </c>
      <c r="BF5" s="682" t="str">
        <f>Model!BF6</f>
        <v xml:space="preserve"> 2/12</v>
      </c>
      <c r="BG5" s="682" t="str">
        <f>Model!BG6</f>
        <v>5/12</v>
      </c>
      <c r="BH5" s="682" t="str">
        <f>Model!BH6</f>
        <v>8/12</v>
      </c>
      <c r="BI5" s="682" t="str">
        <f>Model!BI6</f>
        <v>11/12</v>
      </c>
      <c r="BJ5" s="1377" t="str">
        <f>Model!BJ6</f>
        <v>FY12</v>
      </c>
      <c r="BK5" s="682" t="str">
        <f>Model!BK6</f>
        <v xml:space="preserve"> 2/13</v>
      </c>
      <c r="BL5" s="682" t="str">
        <f>Model!BL6</f>
        <v>5/13</v>
      </c>
      <c r="BM5" s="682" t="str">
        <f>Model!BM6</f>
        <v>8/13</v>
      </c>
      <c r="BN5" s="682" t="str">
        <f>Model!BN6</f>
        <v>11/13</v>
      </c>
      <c r="BO5" s="1377" t="str">
        <f>Model!BO6</f>
        <v>FY13</v>
      </c>
      <c r="BP5" s="682" t="str">
        <f>Model!BP6</f>
        <v xml:space="preserve"> 2/14</v>
      </c>
      <c r="BQ5" s="682" t="str">
        <f>Model!BQ6</f>
        <v>5/14</v>
      </c>
      <c r="BR5" s="682" t="str">
        <f>Model!BR6</f>
        <v>8/14</v>
      </c>
      <c r="BS5" s="682" t="str">
        <f>Model!BS6</f>
        <v>11/14</v>
      </c>
      <c r="BT5" s="1377" t="str">
        <f>Model!BT6</f>
        <v>FY14</v>
      </c>
      <c r="BU5" s="682" t="str">
        <f>Model!BU6</f>
        <v xml:space="preserve"> 2/15</v>
      </c>
      <c r="BV5" s="682" t="str">
        <f>Model!BV6</f>
        <v>5/15</v>
      </c>
      <c r="BW5" s="682" t="str">
        <f>Model!BW6</f>
        <v>8/15</v>
      </c>
      <c r="BX5" s="682" t="str">
        <f>Model!BX6</f>
        <v>11/15</v>
      </c>
      <c r="BY5" s="683" t="str">
        <f>Model!BY6</f>
        <v>FY15</v>
      </c>
      <c r="BZ5" s="682" t="str">
        <f>Model!BZ6</f>
        <v xml:space="preserve"> 2/16</v>
      </c>
      <c r="CA5" s="682" t="str">
        <f>Model!CA6</f>
        <v>5/16</v>
      </c>
      <c r="CB5" s="682" t="str">
        <f>Model!CB6</f>
        <v>8/16</v>
      </c>
      <c r="CC5" s="682" t="str">
        <f>Model!CC6</f>
        <v>11/16</v>
      </c>
      <c r="CD5" s="1377" t="str">
        <f>Model!CD6</f>
        <v>FY16</v>
      </c>
      <c r="CE5" s="682" t="str">
        <f>Model!CE6</f>
        <v xml:space="preserve"> 2/17</v>
      </c>
      <c r="CF5" s="682" t="str">
        <f>Model!CF6</f>
        <v>5/17</v>
      </c>
      <c r="CG5" s="682" t="str">
        <f>Model!CG6</f>
        <v>8/17</v>
      </c>
      <c r="CH5" s="682" t="str">
        <f>Model!CH6</f>
        <v>11/17</v>
      </c>
      <c r="CI5" s="1377" t="str">
        <f>Model!CI6</f>
        <v>FY17</v>
      </c>
      <c r="CJ5" s="684" t="str">
        <f>Model!CJ6</f>
        <v xml:space="preserve"> 2/18</v>
      </c>
      <c r="CK5" s="684" t="str">
        <f>Model!CK6</f>
        <v>5/18E</v>
      </c>
      <c r="CL5" s="684" t="str">
        <f>Model!CL6</f>
        <v>8/18E</v>
      </c>
      <c r="CM5" s="684" t="str">
        <f>Model!CM6</f>
        <v>11/18E</v>
      </c>
      <c r="CN5" s="962" t="str">
        <f>Model!CN6</f>
        <v>FY18E</v>
      </c>
      <c r="CO5" s="684" t="str">
        <f>Model!CO6</f>
        <v xml:space="preserve"> 2/19E</v>
      </c>
      <c r="CP5" s="684" t="str">
        <f>Model!CP6</f>
        <v>5/19E</v>
      </c>
      <c r="CQ5" s="684" t="str">
        <f>Model!CQ6</f>
        <v>8/19E</v>
      </c>
      <c r="CR5" s="684" t="str">
        <f>Model!CR6</f>
        <v>11/19E</v>
      </c>
      <c r="CS5" s="962" t="str">
        <f>Model!CS6</f>
        <v>FY19E</v>
      </c>
      <c r="CT5" s="684" t="str">
        <f>Model!CT6</f>
        <v xml:space="preserve"> 2/20E</v>
      </c>
      <c r="CU5" s="684" t="str">
        <f>Model!CU6</f>
        <v>5/20E</v>
      </c>
      <c r="CV5" s="684" t="str">
        <f>Model!CV6</f>
        <v>8/20E</v>
      </c>
      <c r="CW5" s="684" t="str">
        <f>Model!CW6</f>
        <v>11/20E</v>
      </c>
      <c r="CX5" s="1875" t="str">
        <f>Model!CX6</f>
        <v>FY20E</v>
      </c>
      <c r="DB5" s="685"/>
      <c r="DC5" s="686"/>
      <c r="DD5" s="686"/>
      <c r="DE5" s="686"/>
    </row>
    <row r="6" spans="1:109" ht="5.25" customHeight="1">
      <c r="A6" s="1876"/>
      <c r="B6" s="688"/>
      <c r="C6" s="689"/>
      <c r="D6" s="689"/>
      <c r="E6" s="689"/>
      <c r="F6" s="689"/>
      <c r="G6" s="690"/>
      <c r="H6" s="689"/>
      <c r="I6" s="689"/>
      <c r="J6" s="689"/>
      <c r="K6" s="689"/>
      <c r="L6" s="690"/>
      <c r="M6" s="689"/>
      <c r="N6" s="689"/>
      <c r="O6" s="689"/>
      <c r="P6" s="689"/>
      <c r="Q6" s="690"/>
      <c r="R6" s="689"/>
      <c r="S6" s="689"/>
      <c r="T6" s="689"/>
      <c r="U6" s="689"/>
      <c r="V6" s="690"/>
      <c r="W6" s="689"/>
      <c r="X6" s="689"/>
      <c r="Y6" s="689"/>
      <c r="Z6" s="689"/>
      <c r="AA6" s="691"/>
      <c r="AB6" s="688"/>
      <c r="AC6" s="688"/>
      <c r="AD6" s="688"/>
      <c r="AE6" s="688"/>
      <c r="AF6" s="691"/>
      <c r="AG6" s="688"/>
      <c r="AH6" s="688"/>
      <c r="AI6" s="688"/>
      <c r="AJ6" s="688"/>
      <c r="AK6" s="691"/>
      <c r="AL6" s="688"/>
      <c r="AM6" s="688"/>
      <c r="AN6" s="688"/>
      <c r="AO6" s="688"/>
      <c r="AP6" s="691"/>
      <c r="AQ6" s="688"/>
      <c r="AR6" s="692"/>
      <c r="AS6" s="688"/>
      <c r="AT6" s="688"/>
      <c r="AU6" s="691"/>
      <c r="AV6" s="688"/>
      <c r="AW6" s="692"/>
      <c r="AX6" s="729"/>
      <c r="AY6" s="688"/>
      <c r="AZ6" s="691"/>
      <c r="BA6" s="688"/>
      <c r="BB6" s="692"/>
      <c r="BC6" s="729"/>
      <c r="BD6" s="688"/>
      <c r="BE6" s="691"/>
      <c r="BF6" s="688"/>
      <c r="BG6" s="692"/>
      <c r="BH6" s="692"/>
      <c r="BI6" s="688"/>
      <c r="BJ6" s="963"/>
      <c r="BK6" s="692"/>
      <c r="BL6" s="692"/>
      <c r="BM6" s="692"/>
      <c r="BN6" s="692"/>
      <c r="BO6" s="963"/>
      <c r="BP6" s="692"/>
      <c r="BQ6" s="692"/>
      <c r="BR6" s="692"/>
      <c r="BS6" s="692"/>
      <c r="BT6" s="963"/>
      <c r="BU6" s="692"/>
      <c r="BV6" s="692"/>
      <c r="BW6" s="692"/>
      <c r="BX6" s="692"/>
      <c r="BY6" s="963"/>
      <c r="BZ6" s="692"/>
      <c r="CA6" s="692"/>
      <c r="CB6" s="688"/>
      <c r="CC6" s="688"/>
      <c r="CD6" s="1378"/>
      <c r="CE6" s="692"/>
      <c r="CF6" s="688"/>
      <c r="CG6" s="688"/>
      <c r="CH6" s="688"/>
      <c r="CI6" s="1378"/>
      <c r="CJ6" s="692"/>
      <c r="CK6" s="692"/>
      <c r="CL6" s="692"/>
      <c r="CM6" s="692"/>
      <c r="CN6" s="963"/>
      <c r="CO6" s="692"/>
      <c r="CP6" s="692"/>
      <c r="CQ6" s="692"/>
      <c r="CR6" s="692"/>
      <c r="CS6" s="963"/>
      <c r="CT6" s="692"/>
      <c r="CU6" s="692"/>
      <c r="CV6" s="692"/>
      <c r="CW6" s="692"/>
      <c r="CX6" s="1573"/>
      <c r="DB6" s="685"/>
      <c r="DC6" s="689"/>
      <c r="DD6" s="689"/>
      <c r="DE6" s="689"/>
    </row>
    <row r="7" spans="1:109" ht="10.5" customHeight="1">
      <c r="A7" s="1877" t="s">
        <v>35</v>
      </c>
      <c r="B7" s="1878"/>
      <c r="C7" s="1879"/>
      <c r="D7" s="1879"/>
      <c r="E7" s="1879"/>
      <c r="F7" s="1879"/>
      <c r="G7" s="694"/>
      <c r="H7" s="1879"/>
      <c r="I7" s="1879"/>
      <c r="J7" s="1879"/>
      <c r="K7" s="1879"/>
      <c r="L7" s="694"/>
      <c r="M7" s="1879"/>
      <c r="N7" s="1879"/>
      <c r="O7" s="1879"/>
      <c r="P7" s="1879"/>
      <c r="Q7" s="694"/>
      <c r="R7" s="1879"/>
      <c r="S7" s="1879"/>
      <c r="T7" s="1879"/>
      <c r="U7" s="1879"/>
      <c r="V7" s="694"/>
      <c r="W7" s="1879"/>
      <c r="X7" s="1879"/>
      <c r="Y7" s="1879"/>
      <c r="Z7" s="1879"/>
      <c r="AA7" s="694"/>
      <c r="AB7" s="1879"/>
      <c r="AC7" s="1879"/>
      <c r="AD7" s="1879"/>
      <c r="AE7" s="1879"/>
      <c r="AF7" s="694"/>
      <c r="AG7" s="1879"/>
      <c r="AH7" s="695"/>
      <c r="AI7" s="695"/>
      <c r="AJ7" s="695"/>
      <c r="AK7" s="696"/>
      <c r="AL7" s="697"/>
      <c r="AM7" s="695"/>
      <c r="AN7" s="695"/>
      <c r="AO7" s="695"/>
      <c r="AP7" s="696"/>
      <c r="AQ7" s="697"/>
      <c r="AR7" s="698"/>
      <c r="AS7" s="695"/>
      <c r="AT7" s="695"/>
      <c r="AU7" s="696"/>
      <c r="AV7" s="697"/>
      <c r="AW7" s="698"/>
      <c r="AX7" s="698"/>
      <c r="AY7" s="695"/>
      <c r="AZ7" s="696"/>
      <c r="BA7" s="697"/>
      <c r="BB7" s="698"/>
      <c r="BC7" s="698"/>
      <c r="BD7" s="695"/>
      <c r="BE7" s="696"/>
      <c r="BF7" s="697"/>
      <c r="BG7" s="698"/>
      <c r="BH7" s="698"/>
      <c r="BI7" s="695"/>
      <c r="BJ7" s="964"/>
      <c r="BK7" s="698"/>
      <c r="BL7" s="698"/>
      <c r="BM7" s="698"/>
      <c r="BN7" s="698"/>
      <c r="BO7" s="964"/>
      <c r="BP7" s="698"/>
      <c r="BQ7" s="698"/>
      <c r="BR7" s="698"/>
      <c r="BS7" s="698"/>
      <c r="BT7" s="964"/>
      <c r="BU7" s="698"/>
      <c r="BV7" s="698"/>
      <c r="BW7" s="698"/>
      <c r="BX7" s="698"/>
      <c r="BY7" s="964"/>
      <c r="BZ7" s="698"/>
      <c r="CA7" s="698"/>
      <c r="CB7" s="695"/>
      <c r="CC7" s="695"/>
      <c r="CD7" s="1687"/>
      <c r="CE7" s="698"/>
      <c r="CF7" s="695"/>
      <c r="CG7" s="695"/>
      <c r="CH7" s="695"/>
      <c r="CI7" s="1687"/>
      <c r="CJ7" s="698"/>
      <c r="CK7" s="698"/>
      <c r="CL7" s="698"/>
      <c r="CM7" s="698"/>
      <c r="CN7" s="964"/>
      <c r="CO7" s="698"/>
      <c r="CP7" s="698"/>
      <c r="CQ7" s="698"/>
      <c r="CR7" s="698"/>
      <c r="CS7" s="964"/>
      <c r="CT7" s="698"/>
      <c r="CU7" s="698"/>
      <c r="CV7" s="698"/>
      <c r="CW7" s="698"/>
      <c r="CX7" s="1880"/>
      <c r="DB7" s="685"/>
      <c r="DC7" s="695"/>
      <c r="DD7" s="695"/>
      <c r="DE7" s="695"/>
    </row>
    <row r="8" spans="1:109" ht="10.5" customHeight="1">
      <c r="A8" s="1881" t="s">
        <v>576</v>
      </c>
      <c r="B8" s="1882"/>
      <c r="C8" s="1316"/>
      <c r="D8" s="1316"/>
      <c r="E8" s="1316"/>
      <c r="F8" s="1316">
        <v>218.66200000000001</v>
      </c>
      <c r="G8" s="701">
        <f t="shared" ref="G8:G15" si="0">F8</f>
        <v>218.66200000000001</v>
      </c>
      <c r="H8" s="1316">
        <v>220.7</v>
      </c>
      <c r="I8" s="1316">
        <v>231.25200000000001</v>
      </c>
      <c r="J8" s="1316">
        <v>141.35400000000001</v>
      </c>
      <c r="K8" s="1316">
        <v>183.684</v>
      </c>
      <c r="L8" s="701">
        <f t="shared" ref="L8:L15" si="1">K8</f>
        <v>183.684</v>
      </c>
      <c r="M8" s="1316">
        <v>142.09700000000001</v>
      </c>
      <c r="N8" s="1316">
        <v>141.83099999999999</v>
      </c>
      <c r="O8" s="1316">
        <v>144.46100000000001</v>
      </c>
      <c r="P8" s="1316">
        <v>189.917</v>
      </c>
      <c r="Q8" s="701">
        <f t="shared" ref="Q8:Q15" si="2">P8</f>
        <v>189.917</v>
      </c>
      <c r="R8" s="1316">
        <v>199.75899999999999</v>
      </c>
      <c r="S8" s="1316">
        <v>218.66399999999999</v>
      </c>
      <c r="T8" s="1316">
        <v>198.7</v>
      </c>
      <c r="U8" s="1316">
        <v>259.06099999999998</v>
      </c>
      <c r="V8" s="701">
        <f t="shared" ref="V8:V15" si="3">U8</f>
        <v>259.06099999999998</v>
      </c>
      <c r="W8" s="1316">
        <v>217.36</v>
      </c>
      <c r="X8" s="1316">
        <v>253.30199999999999</v>
      </c>
      <c r="Y8" s="1316">
        <v>454.16800000000001</v>
      </c>
      <c r="Z8" s="1316">
        <v>420.81799999999998</v>
      </c>
      <c r="AA8" s="701">
        <f t="shared" ref="AA8:AA15" si="4">Z8</f>
        <v>420.81799999999998</v>
      </c>
      <c r="AB8" s="702">
        <v>635.18600000000004</v>
      </c>
      <c r="AC8" s="703">
        <v>425.39299999999997</v>
      </c>
      <c r="AD8" s="703">
        <v>644.75400000000002</v>
      </c>
      <c r="AE8" s="704">
        <v>772.5</v>
      </c>
      <c r="AF8" s="701">
        <f t="shared" ref="AF8:AF15" si="5">AE8</f>
        <v>772.5</v>
      </c>
      <c r="AG8" s="702">
        <v>526.03</v>
      </c>
      <c r="AH8" s="703">
        <v>901.61699999999996</v>
      </c>
      <c r="AI8" s="703">
        <v>559.28300000000002</v>
      </c>
      <c r="AJ8" s="704">
        <v>946.42200000000003</v>
      </c>
      <c r="AK8" s="701">
        <f t="shared" ref="AK8:AK15" si="6">AJ8</f>
        <v>946.42200000000003</v>
      </c>
      <c r="AL8" s="702">
        <v>1032.7329999999999</v>
      </c>
      <c r="AM8" s="703">
        <v>1162.453</v>
      </c>
      <c r="AN8" s="703">
        <v>1134.2629999999999</v>
      </c>
      <c r="AO8" s="704">
        <v>886.45</v>
      </c>
      <c r="AP8" s="701">
        <f t="shared" ref="AP8:AP15" si="7">AO8</f>
        <v>886.45</v>
      </c>
      <c r="AQ8" s="702">
        <v>1148.925</v>
      </c>
      <c r="AR8" s="703">
        <v>1226.78</v>
      </c>
      <c r="AS8" s="703">
        <v>1132.144</v>
      </c>
      <c r="AT8" s="703">
        <v>999.48699999999997</v>
      </c>
      <c r="AU8" s="701">
        <f t="shared" ref="AU8:AU15" si="8">AT8</f>
        <v>999.48699999999997</v>
      </c>
      <c r="AV8" s="702">
        <v>1589.442</v>
      </c>
      <c r="AW8" s="703">
        <v>1137.606</v>
      </c>
      <c r="AX8" s="703">
        <v>814.149</v>
      </c>
      <c r="AY8" s="703">
        <v>749.89099999999996</v>
      </c>
      <c r="AZ8" s="701">
        <f t="shared" ref="AZ8:AZ15" si="9">AY8</f>
        <v>749.89099999999996</v>
      </c>
      <c r="BA8" s="702">
        <v>900.15599999999995</v>
      </c>
      <c r="BB8" s="703">
        <v>827.47500000000002</v>
      </c>
      <c r="BC8" s="703">
        <v>769.21199999999999</v>
      </c>
      <c r="BD8" s="703">
        <v>989.5</v>
      </c>
      <c r="BE8" s="701">
        <f t="shared" ref="BE8:BE15" si="10">BD8</f>
        <v>989.5</v>
      </c>
      <c r="BF8" s="702">
        <v>801.26300000000003</v>
      </c>
      <c r="BG8" s="703">
        <v>951.23800000000006</v>
      </c>
      <c r="BH8" s="703">
        <v>1162.3800000000001</v>
      </c>
      <c r="BI8" s="703">
        <v>1425.0519999999999</v>
      </c>
      <c r="BJ8" s="1379">
        <f t="shared" ref="BJ8:BJ15" si="11">BI8</f>
        <v>1425.0519999999999</v>
      </c>
      <c r="BK8" s="702">
        <v>1306.3820000000001</v>
      </c>
      <c r="BL8" s="703">
        <v>1246.4100000000001</v>
      </c>
      <c r="BM8" s="703">
        <v>819.08500000000004</v>
      </c>
      <c r="BN8" s="703">
        <v>834.55600000000004</v>
      </c>
      <c r="BO8" s="1379">
        <f t="shared" ref="BO8:BO15" si="12">BN8</f>
        <v>834.55600000000004</v>
      </c>
      <c r="BP8" s="702">
        <v>733.91600000000005</v>
      </c>
      <c r="BQ8" s="703">
        <v>817.02</v>
      </c>
      <c r="BR8" s="703">
        <v>903.32899999999995</v>
      </c>
      <c r="BS8" s="703">
        <v>1117.4000000000001</v>
      </c>
      <c r="BT8" s="1379">
        <f t="shared" ref="BT8:BT15" si="13">BS8</f>
        <v>1117.4000000000001</v>
      </c>
      <c r="BU8" s="702">
        <v>712.88400000000001</v>
      </c>
      <c r="BV8" s="703">
        <v>956.14700000000005</v>
      </c>
      <c r="BW8" s="703">
        <v>829.29200000000003</v>
      </c>
      <c r="BX8" s="703">
        <v>876.56</v>
      </c>
      <c r="BY8" s="1379">
        <f t="shared" ref="BY8:BY15" si="14">BX8</f>
        <v>876.56</v>
      </c>
      <c r="BZ8" s="702">
        <v>830.69600000000003</v>
      </c>
      <c r="CA8" s="703">
        <v>886.37900000000002</v>
      </c>
      <c r="CB8" s="1652">
        <v>767.67200000000003</v>
      </c>
      <c r="CC8" s="1652">
        <v>1011.3150000000001</v>
      </c>
      <c r="CD8" s="1688">
        <f t="shared" ref="CD8:CD15" si="15">CC8</f>
        <v>1011.3150000000001</v>
      </c>
      <c r="CE8" s="702">
        <v>1068.896</v>
      </c>
      <c r="CF8" s="1652">
        <v>1316.95</v>
      </c>
      <c r="CG8" s="1652">
        <v>1774.55</v>
      </c>
      <c r="CH8" s="1652">
        <v>2306.0720000000001</v>
      </c>
      <c r="CI8" s="1688">
        <f t="shared" ref="CI8:CI15" si="16">CH8</f>
        <v>2306.0720000000001</v>
      </c>
      <c r="CJ8" s="1600">
        <v>2666.9810000000002</v>
      </c>
      <c r="CK8" s="1600">
        <f>CF!CK107</f>
        <v>3436.1145424190772</v>
      </c>
      <c r="CL8" s="1600">
        <f>CF!CL107</f>
        <v>3976.5727887858725</v>
      </c>
      <c r="CM8" s="1600">
        <f>CF!CM107</f>
        <v>4787.8577727863667</v>
      </c>
      <c r="CN8" s="1606">
        <f t="shared" ref="CN8:CN15" si="17">CM8</f>
        <v>4787.8577727863667</v>
      </c>
      <c r="CO8" s="1600">
        <f>CF!CO107</f>
        <v>5389.2563677292874</v>
      </c>
      <c r="CP8" s="1600">
        <f>CF!CP107</f>
        <v>5961.3260898033559</v>
      </c>
      <c r="CQ8" s="1600">
        <f>CF!CQ107</f>
        <v>6573.3151238522496</v>
      </c>
      <c r="CR8" s="1600">
        <f>CF!CR107</f>
        <v>7495.8985275638079</v>
      </c>
      <c r="CS8" s="1606">
        <f t="shared" ref="CS8:CS15" si="18">CR8</f>
        <v>7495.8985275638079</v>
      </c>
      <c r="CT8" s="1600">
        <f>CF!CT107</f>
        <v>8258.9468185134519</v>
      </c>
      <c r="CU8" s="1600">
        <f>CF!CU107</f>
        <v>8942.5063349298143</v>
      </c>
      <c r="CV8" s="1600">
        <f>CF!CV107</f>
        <v>9663.8998985192284</v>
      </c>
      <c r="CW8" s="1600">
        <f>CF!CW107</f>
        <v>10732.676727110331</v>
      </c>
      <c r="CX8" s="1883">
        <f t="shared" ref="CX8:CX15" si="19">CW8</f>
        <v>10732.676727110331</v>
      </c>
      <c r="DB8" s="685"/>
      <c r="DC8" s="697"/>
      <c r="DD8" s="1615"/>
      <c r="DE8" s="697"/>
    </row>
    <row r="9" spans="1:109" ht="10.5" customHeight="1">
      <c r="A9" s="1881" t="s">
        <v>356</v>
      </c>
      <c r="B9" s="1882"/>
      <c r="C9" s="1316"/>
      <c r="D9" s="1316"/>
      <c r="E9" s="1316"/>
      <c r="F9" s="1316">
        <v>362.95100000000002</v>
      </c>
      <c r="G9" s="701">
        <f t="shared" si="0"/>
        <v>362.95100000000002</v>
      </c>
      <c r="H9" s="1316">
        <v>400.09</v>
      </c>
      <c r="I9" s="1316">
        <v>468.66</v>
      </c>
      <c r="J9" s="1316">
        <v>494.87700000000001</v>
      </c>
      <c r="K9" s="1316">
        <v>434.053</v>
      </c>
      <c r="L9" s="701">
        <f t="shared" si="1"/>
        <v>434.053</v>
      </c>
      <c r="M9" s="1316">
        <v>510.56</v>
      </c>
      <c r="N9" s="1316">
        <v>640.79100000000005</v>
      </c>
      <c r="O9" s="1316">
        <v>708.26900000000001</v>
      </c>
      <c r="P9" s="1316">
        <v>906.61599999999999</v>
      </c>
      <c r="Q9" s="701">
        <f t="shared" si="2"/>
        <v>906.61599999999999</v>
      </c>
      <c r="R9" s="1316">
        <v>1049.576</v>
      </c>
      <c r="S9" s="1316">
        <v>1062.5550000000001</v>
      </c>
      <c r="T9" s="1316">
        <v>941.072</v>
      </c>
      <c r="U9" s="1316">
        <v>1054.1600000000001</v>
      </c>
      <c r="V9" s="701">
        <f t="shared" si="3"/>
        <v>1054.1600000000001</v>
      </c>
      <c r="W9" s="1316">
        <v>1249.7429999999999</v>
      </c>
      <c r="X9" s="1316">
        <v>1437.2639999999999</v>
      </c>
      <c r="Y9" s="1316">
        <v>1438.617</v>
      </c>
      <c r="Z9" s="1316">
        <v>1280.0160000000001</v>
      </c>
      <c r="AA9" s="701">
        <f t="shared" si="4"/>
        <v>1280.0160000000001</v>
      </c>
      <c r="AB9" s="702">
        <v>1469.4190000000001</v>
      </c>
      <c r="AC9" s="703">
        <v>1400.693</v>
      </c>
      <c r="AD9" s="703">
        <v>1341.6980000000001</v>
      </c>
      <c r="AE9" s="704">
        <v>1508.3789999999999</v>
      </c>
      <c r="AF9" s="701">
        <f t="shared" si="5"/>
        <v>1508.3789999999999</v>
      </c>
      <c r="AG9" s="702">
        <v>1756.37</v>
      </c>
      <c r="AH9" s="703">
        <v>1422.2080000000001</v>
      </c>
      <c r="AI9" s="703">
        <v>1396.431</v>
      </c>
      <c r="AJ9" s="704">
        <v>1047.432</v>
      </c>
      <c r="AK9" s="701">
        <f t="shared" si="6"/>
        <v>1047.432</v>
      </c>
      <c r="AL9" s="702">
        <v>682.51099999999997</v>
      </c>
      <c r="AM9" s="703">
        <v>702.28300000000002</v>
      </c>
      <c r="AN9" s="703">
        <v>866.64099999999996</v>
      </c>
      <c r="AO9" s="704">
        <v>1132.752</v>
      </c>
      <c r="AP9" s="701">
        <f t="shared" si="7"/>
        <v>1132.752</v>
      </c>
      <c r="AQ9" s="702">
        <v>1234.769</v>
      </c>
      <c r="AR9" s="703">
        <v>1437.405</v>
      </c>
      <c r="AS9" s="703">
        <v>1424.317</v>
      </c>
      <c r="AT9" s="703">
        <v>904.98599999999999</v>
      </c>
      <c r="AU9" s="701">
        <f t="shared" si="8"/>
        <v>904.98599999999999</v>
      </c>
      <c r="AV9" s="702">
        <v>1082.942</v>
      </c>
      <c r="AW9" s="703">
        <v>1507.116</v>
      </c>
      <c r="AX9" s="703">
        <v>1764.125</v>
      </c>
      <c r="AY9" s="703">
        <v>1718.124</v>
      </c>
      <c r="AZ9" s="701">
        <f t="shared" si="9"/>
        <v>1718.124</v>
      </c>
      <c r="BA9" s="702">
        <v>1736.6790000000001</v>
      </c>
      <c r="BB9" s="703">
        <v>1798.0450000000001</v>
      </c>
      <c r="BC9" s="703">
        <v>1950.0640000000001</v>
      </c>
      <c r="BD9" s="703">
        <v>1922.192</v>
      </c>
      <c r="BE9" s="701">
        <f t="shared" si="10"/>
        <v>1922.192</v>
      </c>
      <c r="BF9" s="702">
        <v>1964.855</v>
      </c>
      <c r="BG9" s="703">
        <v>2046.8789999999999</v>
      </c>
      <c r="BH9" s="703">
        <v>2084.9830000000002</v>
      </c>
      <c r="BI9" s="703">
        <v>2113.3009999999999</v>
      </c>
      <c r="BJ9" s="1379">
        <f t="shared" si="11"/>
        <v>2113.3009999999999</v>
      </c>
      <c r="BK9" s="702">
        <v>2354.3069999999998</v>
      </c>
      <c r="BL9" s="703">
        <v>2619.2979999999998</v>
      </c>
      <c r="BM9" s="703">
        <v>2344.8519999999999</v>
      </c>
      <c r="BN9" s="703">
        <v>2339.1959999999999</v>
      </c>
      <c r="BO9" s="1379">
        <f t="shared" si="12"/>
        <v>2339.1959999999999</v>
      </c>
      <c r="BP9" s="702">
        <v>2398.1759999999999</v>
      </c>
      <c r="BQ9" s="703">
        <v>2513.1909999999998</v>
      </c>
      <c r="BR9" s="703">
        <v>2616.8679999999999</v>
      </c>
      <c r="BS9" s="703">
        <v>2622.0909999999999</v>
      </c>
      <c r="BT9" s="1379">
        <f t="shared" si="13"/>
        <v>2622.0909999999999</v>
      </c>
      <c r="BU9" s="702">
        <v>2463.9360000000001</v>
      </c>
      <c r="BV9" s="703">
        <v>2457.1010000000001</v>
      </c>
      <c r="BW9" s="703">
        <v>2839.4409999999998</v>
      </c>
      <c r="BX9" s="703">
        <v>3111.5239999999999</v>
      </c>
      <c r="BY9" s="1379">
        <f t="shared" si="14"/>
        <v>3111.5239999999999</v>
      </c>
      <c r="BZ9" s="702">
        <v>3267.192</v>
      </c>
      <c r="CA9" s="703">
        <v>3432.029</v>
      </c>
      <c r="CB9" s="1652">
        <v>3678.7260000000001</v>
      </c>
      <c r="CC9" s="1652">
        <v>3749.9850000000001</v>
      </c>
      <c r="CD9" s="1688">
        <f t="shared" si="15"/>
        <v>3749.9850000000001</v>
      </c>
      <c r="CE9" s="702">
        <v>3578.721</v>
      </c>
      <c r="CF9" s="1652">
        <v>3614.5630000000001</v>
      </c>
      <c r="CG9" s="1652">
        <v>3593.9360000000001</v>
      </c>
      <c r="CH9" s="1652">
        <v>3513.7020000000002</v>
      </c>
      <c r="CI9" s="1688">
        <f t="shared" si="16"/>
        <v>3513.7020000000002</v>
      </c>
      <c r="CJ9" s="1600">
        <v>3480.989</v>
      </c>
      <c r="CK9" s="1600">
        <f>CJ9</f>
        <v>3480.989</v>
      </c>
      <c r="CL9" s="1600">
        <f>CK9</f>
        <v>3480.989</v>
      </c>
      <c r="CM9" s="1600">
        <f>CL9</f>
        <v>3480.989</v>
      </c>
      <c r="CN9" s="1606">
        <f t="shared" si="17"/>
        <v>3480.989</v>
      </c>
      <c r="CO9" s="1600">
        <f>CM9</f>
        <v>3480.989</v>
      </c>
      <c r="CP9" s="1600">
        <f>CO9</f>
        <v>3480.989</v>
      </c>
      <c r="CQ9" s="1600">
        <f>CP9</f>
        <v>3480.989</v>
      </c>
      <c r="CR9" s="1600">
        <f>CQ9</f>
        <v>3480.989</v>
      </c>
      <c r="CS9" s="1606">
        <f t="shared" si="18"/>
        <v>3480.989</v>
      </c>
      <c r="CT9" s="1600">
        <f>CR9</f>
        <v>3480.989</v>
      </c>
      <c r="CU9" s="1600">
        <f>CT9</f>
        <v>3480.989</v>
      </c>
      <c r="CV9" s="1600">
        <f>CU9</f>
        <v>3480.989</v>
      </c>
      <c r="CW9" s="1600">
        <f>CV9</f>
        <v>3480.989</v>
      </c>
      <c r="CX9" s="1883">
        <f t="shared" si="19"/>
        <v>3480.989</v>
      </c>
      <c r="DB9" s="685"/>
      <c r="DC9" s="697"/>
      <c r="DD9" s="1615"/>
      <c r="DE9" s="697"/>
    </row>
    <row r="10" spans="1:109" ht="10.5" customHeight="1">
      <c r="A10" s="1881" t="s">
        <v>521</v>
      </c>
      <c r="B10" s="1882"/>
      <c r="C10" s="1316"/>
      <c r="D10" s="1316"/>
      <c r="E10" s="1316"/>
      <c r="F10" s="1316">
        <v>125.65600000000001</v>
      </c>
      <c r="G10" s="701">
        <f t="shared" si="0"/>
        <v>125.65600000000001</v>
      </c>
      <c r="H10" s="1316">
        <v>143.65299999999999</v>
      </c>
      <c r="I10" s="1316">
        <v>133.875</v>
      </c>
      <c r="J10" s="1316">
        <v>144.90899999999999</v>
      </c>
      <c r="K10" s="1316">
        <v>116.506</v>
      </c>
      <c r="L10" s="701">
        <f t="shared" si="1"/>
        <v>116.506</v>
      </c>
      <c r="M10" s="1316">
        <v>135.626</v>
      </c>
      <c r="N10" s="1316">
        <v>129.226</v>
      </c>
      <c r="O10" s="1316">
        <v>108.70699999999999</v>
      </c>
      <c r="P10" s="1316">
        <v>146.31100000000001</v>
      </c>
      <c r="Q10" s="701">
        <f t="shared" si="2"/>
        <v>146.31100000000001</v>
      </c>
      <c r="R10" s="1316">
        <v>122.955</v>
      </c>
      <c r="S10" s="1316">
        <v>105.654</v>
      </c>
      <c r="T10" s="1316">
        <v>110.57299999999999</v>
      </c>
      <c r="U10" s="1316">
        <v>141.94499999999999</v>
      </c>
      <c r="V10" s="701">
        <f t="shared" si="3"/>
        <v>141.94499999999999</v>
      </c>
      <c r="W10" s="1316">
        <v>138.352</v>
      </c>
      <c r="X10" s="1316">
        <v>172.173</v>
      </c>
      <c r="Y10" s="1316">
        <v>157.23599999999999</v>
      </c>
      <c r="Z10" s="1316">
        <v>173.245</v>
      </c>
      <c r="AA10" s="701">
        <f t="shared" si="4"/>
        <v>173.245</v>
      </c>
      <c r="AB10" s="702">
        <v>281.52999999999997</v>
      </c>
      <c r="AC10" s="703">
        <v>276.24</v>
      </c>
      <c r="AD10" s="703">
        <v>284.58600000000001</v>
      </c>
      <c r="AE10" s="704">
        <v>356.815</v>
      </c>
      <c r="AF10" s="701">
        <f t="shared" si="5"/>
        <v>356.815</v>
      </c>
      <c r="AG10" s="702">
        <v>304.74799999999999</v>
      </c>
      <c r="AH10" s="703">
        <v>318.08999999999997</v>
      </c>
      <c r="AI10" s="703">
        <v>260.95299999999997</v>
      </c>
      <c r="AJ10" s="704">
        <v>318.14499999999998</v>
      </c>
      <c r="AK10" s="701">
        <f t="shared" si="6"/>
        <v>318.14499999999998</v>
      </c>
      <c r="AL10" s="702">
        <v>293.26600000000002</v>
      </c>
      <c r="AM10" s="703">
        <v>321.14999999999998</v>
      </c>
      <c r="AN10" s="703">
        <v>327.97</v>
      </c>
      <c r="AO10" s="704">
        <v>467.23399999999998</v>
      </c>
      <c r="AP10" s="701">
        <f t="shared" si="7"/>
        <v>467.23399999999998</v>
      </c>
      <c r="AQ10" s="702">
        <v>300.048</v>
      </c>
      <c r="AR10" s="703">
        <v>262.59800000000001</v>
      </c>
      <c r="AS10" s="703">
        <v>281.80700000000002</v>
      </c>
      <c r="AT10" s="703">
        <v>410.87900000000002</v>
      </c>
      <c r="AU10" s="701">
        <f t="shared" si="8"/>
        <v>410.87900000000002</v>
      </c>
      <c r="AV10" s="702">
        <v>350.577</v>
      </c>
      <c r="AW10" s="703">
        <v>439.15100000000001</v>
      </c>
      <c r="AX10" s="703">
        <v>484.55</v>
      </c>
      <c r="AY10" s="703">
        <v>554.32799999999997</v>
      </c>
      <c r="AZ10" s="701">
        <f t="shared" si="9"/>
        <v>554.32799999999997</v>
      </c>
      <c r="BA10" s="702">
        <v>533.35299999999995</v>
      </c>
      <c r="BB10" s="703">
        <v>568.57000000000005</v>
      </c>
      <c r="BC10" s="703">
        <v>559.32000000000005</v>
      </c>
      <c r="BD10" s="703">
        <v>634.37300000000005</v>
      </c>
      <c r="BE10" s="701">
        <f t="shared" si="10"/>
        <v>634.37300000000005</v>
      </c>
      <c r="BF10" s="702">
        <v>512.21100000000001</v>
      </c>
      <c r="BG10" s="703">
        <v>529.39099999999996</v>
      </c>
      <c r="BH10" s="703">
        <v>566.67100000000005</v>
      </c>
      <c r="BI10" s="703">
        <v>617.23299999999995</v>
      </c>
      <c r="BJ10" s="1379">
        <f t="shared" si="11"/>
        <v>617.23299999999995</v>
      </c>
      <c r="BK10" s="702">
        <v>485.80099999999999</v>
      </c>
      <c r="BL10" s="703">
        <v>470.05200000000002</v>
      </c>
      <c r="BM10" s="703">
        <v>522.40899999999999</v>
      </c>
      <c r="BN10" s="703">
        <v>599.82000000000005</v>
      </c>
      <c r="BO10" s="1379">
        <f t="shared" si="12"/>
        <v>599.82000000000005</v>
      </c>
      <c r="BP10" s="702">
        <v>510.50700000000001</v>
      </c>
      <c r="BQ10" s="703">
        <v>531.55700000000002</v>
      </c>
      <c r="BR10" s="703">
        <v>528.33100000000002</v>
      </c>
      <c r="BS10" s="703">
        <v>591.79999999999995</v>
      </c>
      <c r="BT10" s="1379">
        <f t="shared" si="13"/>
        <v>591.79999999999995</v>
      </c>
      <c r="BU10" s="702">
        <v>532.42700000000002</v>
      </c>
      <c r="BV10" s="703">
        <v>502.61700000000002</v>
      </c>
      <c r="BW10" s="703">
        <v>593.55399999999997</v>
      </c>
      <c r="BX10" s="703">
        <v>672.00599999999997</v>
      </c>
      <c r="BY10" s="1379">
        <f t="shared" si="14"/>
        <v>672.00599999999997</v>
      </c>
      <c r="BZ10" s="702">
        <v>599.20699999999999</v>
      </c>
      <c r="CA10" s="703">
        <v>666.73599999999999</v>
      </c>
      <c r="CB10" s="1652">
        <v>731.16600000000005</v>
      </c>
      <c r="CC10" s="1652">
        <v>833.03300000000002</v>
      </c>
      <c r="CD10" s="1688">
        <f t="shared" si="15"/>
        <v>833.03300000000002</v>
      </c>
      <c r="CE10" s="702">
        <v>850.84</v>
      </c>
      <c r="CF10" s="1652">
        <v>901.452</v>
      </c>
      <c r="CG10" s="1652">
        <v>1006.187</v>
      </c>
      <c r="CH10" s="1652">
        <v>1217.9680000000001</v>
      </c>
      <c r="CI10" s="1688">
        <f t="shared" si="16"/>
        <v>1217.9680000000001</v>
      </c>
      <c r="CJ10" s="1600">
        <v>1062.69</v>
      </c>
      <c r="CK10" s="1600">
        <f>(Model!CK24*BS!CK95)/91.25</f>
        <v>1058.6771706442628</v>
      </c>
      <c r="CL10" s="1600">
        <f>(Model!CL24*BS!CL95)/91.25</f>
        <v>1186.3791294476423</v>
      </c>
      <c r="CM10" s="1600">
        <f>(Model!CM24*BS!CM95)/91.25</f>
        <v>1314.0993675285185</v>
      </c>
      <c r="CN10" s="1606">
        <f t="shared" si="17"/>
        <v>1314.0993675285185</v>
      </c>
      <c r="CO10" s="1600">
        <f>(Model!CO24*BS!CO95)/91.25</f>
        <v>1261.7928573303157</v>
      </c>
      <c r="CP10" s="1600">
        <f>(Model!CP24*BS!CP95)/91.25</f>
        <v>1251.4079131064832</v>
      </c>
      <c r="CQ10" s="1600">
        <f>(Model!CQ24*BS!CQ95)/91.25</f>
        <v>1404.9584201898574</v>
      </c>
      <c r="CR10" s="1600">
        <f>(Model!CR24*BS!CR95)/91.25</f>
        <v>1555.3487821982674</v>
      </c>
      <c r="CS10" s="1606">
        <f t="shared" si="18"/>
        <v>1555.3487821982674</v>
      </c>
      <c r="CT10" s="1600">
        <f>(Model!CT24*BS!CT95)/91.25</f>
        <v>1484.663313274239</v>
      </c>
      <c r="CU10" s="1600">
        <f>(Model!CU24*BS!CU95)/91.25</f>
        <v>1462.1397602483005</v>
      </c>
      <c r="CV10" s="1600">
        <f>(Model!CV24*BS!CV95)/91.25</f>
        <v>1628.9316143852557</v>
      </c>
      <c r="CW10" s="1600">
        <f>(Model!CW24*BS!CW95)/91.25</f>
        <v>1790.0158520590728</v>
      </c>
      <c r="CX10" s="1883">
        <f t="shared" si="19"/>
        <v>1790.0158520590728</v>
      </c>
      <c r="DB10" s="685"/>
      <c r="DC10" s="697"/>
      <c r="DD10" s="1615"/>
      <c r="DE10" s="697"/>
    </row>
    <row r="11" spans="1:109" ht="10.5" customHeight="1">
      <c r="A11" s="1881" t="s">
        <v>593</v>
      </c>
      <c r="B11" s="1882"/>
      <c r="C11" s="1316"/>
      <c r="D11" s="1316"/>
      <c r="E11" s="1316"/>
      <c r="F11" s="1316">
        <v>0</v>
      </c>
      <c r="G11" s="701">
        <f t="shared" si="0"/>
        <v>0</v>
      </c>
      <c r="H11" s="1316">
        <v>0</v>
      </c>
      <c r="I11" s="1316">
        <v>0</v>
      </c>
      <c r="J11" s="1316">
        <v>0</v>
      </c>
      <c r="K11" s="1316">
        <v>0</v>
      </c>
      <c r="L11" s="701">
        <f t="shared" si="1"/>
        <v>0</v>
      </c>
      <c r="M11" s="1316">
        <v>0</v>
      </c>
      <c r="N11" s="1316">
        <v>0</v>
      </c>
      <c r="O11" s="1316">
        <v>0</v>
      </c>
      <c r="P11" s="1316">
        <v>0</v>
      </c>
      <c r="Q11" s="701">
        <f t="shared" si="2"/>
        <v>0</v>
      </c>
      <c r="R11" s="1316">
        <v>0</v>
      </c>
      <c r="S11" s="1316">
        <v>0</v>
      </c>
      <c r="T11" s="1316">
        <v>0</v>
      </c>
      <c r="U11" s="1316">
        <v>0</v>
      </c>
      <c r="V11" s="701">
        <f t="shared" si="3"/>
        <v>0</v>
      </c>
      <c r="W11" s="1316">
        <v>0</v>
      </c>
      <c r="X11" s="1316">
        <v>0</v>
      </c>
      <c r="Y11" s="1316">
        <v>0</v>
      </c>
      <c r="Z11" s="1316">
        <v>0</v>
      </c>
      <c r="AA11" s="701">
        <f t="shared" si="4"/>
        <v>0</v>
      </c>
      <c r="AB11" s="702">
        <v>0</v>
      </c>
      <c r="AC11" s="703">
        <v>0</v>
      </c>
      <c r="AD11" s="703">
        <v>0</v>
      </c>
      <c r="AE11" s="704">
        <v>0</v>
      </c>
      <c r="AF11" s="705">
        <f>AE11</f>
        <v>0</v>
      </c>
      <c r="AG11" s="702">
        <v>0</v>
      </c>
      <c r="AH11" s="703">
        <v>0</v>
      </c>
      <c r="AI11" s="703">
        <v>0</v>
      </c>
      <c r="AJ11" s="704">
        <v>0</v>
      </c>
      <c r="AK11" s="705">
        <f>AJ11</f>
        <v>0</v>
      </c>
      <c r="AL11" s="702">
        <v>0</v>
      </c>
      <c r="AM11" s="703">
        <v>0</v>
      </c>
      <c r="AN11" s="703">
        <v>0</v>
      </c>
      <c r="AO11" s="704">
        <v>0</v>
      </c>
      <c r="AP11" s="705">
        <f>AO11</f>
        <v>0</v>
      </c>
      <c r="AQ11" s="702">
        <v>0</v>
      </c>
      <c r="AR11" s="703">
        <v>0</v>
      </c>
      <c r="AS11" s="703">
        <v>0</v>
      </c>
      <c r="AT11" s="703">
        <v>0</v>
      </c>
      <c r="AU11" s="705">
        <f>AT11</f>
        <v>0</v>
      </c>
      <c r="AV11" s="702">
        <v>0</v>
      </c>
      <c r="AW11" s="703">
        <v>0</v>
      </c>
      <c r="AX11" s="703">
        <v>0</v>
      </c>
      <c r="AY11" s="703">
        <v>0</v>
      </c>
      <c r="AZ11" s="705">
        <f>AY11</f>
        <v>0</v>
      </c>
      <c r="BA11" s="702">
        <v>0</v>
      </c>
      <c r="BB11" s="703">
        <v>0</v>
      </c>
      <c r="BC11" s="703">
        <v>0</v>
      </c>
      <c r="BD11" s="703">
        <v>0</v>
      </c>
      <c r="BE11" s="705">
        <f>BD11</f>
        <v>0</v>
      </c>
      <c r="BF11" s="702">
        <v>0</v>
      </c>
      <c r="BG11" s="703">
        <v>0</v>
      </c>
      <c r="BH11" s="703">
        <v>0</v>
      </c>
      <c r="BI11" s="703">
        <v>0</v>
      </c>
      <c r="BJ11" s="1380">
        <f>BI11</f>
        <v>0</v>
      </c>
      <c r="BK11" s="702">
        <v>0</v>
      </c>
      <c r="BL11" s="703">
        <v>0</v>
      </c>
      <c r="BM11" s="703">
        <v>0</v>
      </c>
      <c r="BN11" s="703">
        <v>0</v>
      </c>
      <c r="BO11" s="1380">
        <f>BN11</f>
        <v>0</v>
      </c>
      <c r="BP11" s="702">
        <v>0</v>
      </c>
      <c r="BQ11" s="703">
        <v>0</v>
      </c>
      <c r="BR11" s="703">
        <v>0</v>
      </c>
      <c r="BS11" s="703">
        <v>0</v>
      </c>
      <c r="BT11" s="1380">
        <f>BS11</f>
        <v>0</v>
      </c>
      <c r="BU11" s="702">
        <v>0</v>
      </c>
      <c r="BV11" s="703">
        <f>BU11</f>
        <v>0</v>
      </c>
      <c r="BW11" s="703">
        <v>0</v>
      </c>
      <c r="BX11" s="703">
        <f>BW11</f>
        <v>0</v>
      </c>
      <c r="BY11" s="1380">
        <f>BX11</f>
        <v>0</v>
      </c>
      <c r="BZ11" s="702">
        <v>0</v>
      </c>
      <c r="CA11" s="703">
        <v>0</v>
      </c>
      <c r="CB11" s="1652">
        <v>0</v>
      </c>
      <c r="CC11" s="1652">
        <v>0</v>
      </c>
      <c r="CD11" s="1613">
        <f>CC11</f>
        <v>0</v>
      </c>
      <c r="CE11" s="702">
        <v>0</v>
      </c>
      <c r="CF11" s="1652">
        <v>0</v>
      </c>
      <c r="CG11" s="1652">
        <v>0</v>
      </c>
      <c r="CH11" s="1652">
        <v>0</v>
      </c>
      <c r="CI11" s="1613">
        <f>CH11</f>
        <v>0</v>
      </c>
      <c r="CJ11" s="1600">
        <v>0</v>
      </c>
      <c r="CK11" s="1600">
        <f>CJ11</f>
        <v>0</v>
      </c>
      <c r="CL11" s="1600">
        <f>CK11</f>
        <v>0</v>
      </c>
      <c r="CM11" s="1600">
        <f>CL11</f>
        <v>0</v>
      </c>
      <c r="CN11" s="1599">
        <f>CM11</f>
        <v>0</v>
      </c>
      <c r="CO11" s="1600">
        <f>CM11</f>
        <v>0</v>
      </c>
      <c r="CP11" s="1600">
        <f t="shared" ref="CP11:CR13" si="20">CO11</f>
        <v>0</v>
      </c>
      <c r="CQ11" s="1600">
        <f t="shared" si="20"/>
        <v>0</v>
      </c>
      <c r="CR11" s="1600">
        <f t="shared" si="20"/>
        <v>0</v>
      </c>
      <c r="CS11" s="1599">
        <f t="shared" si="18"/>
        <v>0</v>
      </c>
      <c r="CT11" s="1600">
        <f>CR11</f>
        <v>0</v>
      </c>
      <c r="CU11" s="1600">
        <f t="shared" ref="CU11:CU13" si="21">CT11</f>
        <v>0</v>
      </c>
      <c r="CV11" s="1600">
        <f t="shared" ref="CV11:CV13" si="22">CU11</f>
        <v>0</v>
      </c>
      <c r="CW11" s="1600">
        <f t="shared" ref="CW11:CW13" si="23">CV11</f>
        <v>0</v>
      </c>
      <c r="CX11" s="1884">
        <f t="shared" si="19"/>
        <v>0</v>
      </c>
      <c r="DB11" s="685"/>
      <c r="DC11" s="697"/>
      <c r="DD11" s="1615"/>
      <c r="DE11" s="697"/>
    </row>
    <row r="12" spans="1:109" ht="10.5" customHeight="1">
      <c r="A12" s="1881" t="s">
        <v>202</v>
      </c>
      <c r="B12" s="1882"/>
      <c r="C12" s="1316"/>
      <c r="D12" s="1316"/>
      <c r="E12" s="1316"/>
      <c r="F12" s="1316">
        <v>18.298999999999999</v>
      </c>
      <c r="G12" s="701">
        <f t="shared" si="0"/>
        <v>18.298999999999999</v>
      </c>
      <c r="H12" s="1316">
        <v>20.170000000000002</v>
      </c>
      <c r="I12" s="1316">
        <v>28.861000000000001</v>
      </c>
      <c r="J12" s="1316">
        <v>27.677</v>
      </c>
      <c r="K12" s="1316">
        <v>30.367000000000001</v>
      </c>
      <c r="L12" s="701">
        <f t="shared" si="1"/>
        <v>30.367000000000001</v>
      </c>
      <c r="M12" s="1316">
        <v>23.312999999999999</v>
      </c>
      <c r="N12" s="1316">
        <v>29.364999999999998</v>
      </c>
      <c r="O12" s="1316">
        <v>32.347999999999999</v>
      </c>
      <c r="P12" s="1316">
        <v>27.731000000000002</v>
      </c>
      <c r="Q12" s="701">
        <f t="shared" si="2"/>
        <v>27.731000000000002</v>
      </c>
      <c r="R12" s="1316">
        <v>32.034999999999997</v>
      </c>
      <c r="S12" s="1316">
        <v>37.881</v>
      </c>
      <c r="T12" s="1316">
        <v>26.518000000000001</v>
      </c>
      <c r="U12" s="1316">
        <v>25.495000000000001</v>
      </c>
      <c r="V12" s="701">
        <f t="shared" si="3"/>
        <v>25.495000000000001</v>
      </c>
      <c r="W12" s="1316">
        <v>28.187999999999999</v>
      </c>
      <c r="X12" s="1316">
        <v>36.466000000000001</v>
      </c>
      <c r="Y12" s="1316">
        <v>39.889000000000003</v>
      </c>
      <c r="Z12" s="1316">
        <v>31.504000000000001</v>
      </c>
      <c r="AA12" s="701">
        <f t="shared" si="4"/>
        <v>31.504000000000001</v>
      </c>
      <c r="AB12" s="702">
        <v>50.323</v>
      </c>
      <c r="AC12" s="703">
        <v>55.947000000000003</v>
      </c>
      <c r="AD12" s="703">
        <v>46.104999999999997</v>
      </c>
      <c r="AE12" s="704">
        <v>51.850999999999999</v>
      </c>
      <c r="AF12" s="701">
        <f t="shared" si="5"/>
        <v>51.850999999999999</v>
      </c>
      <c r="AG12" s="702">
        <v>63.511000000000003</v>
      </c>
      <c r="AH12" s="703">
        <v>53.366999999999997</v>
      </c>
      <c r="AI12" s="703">
        <v>60.720999999999997</v>
      </c>
      <c r="AJ12" s="704">
        <v>44.665999999999997</v>
      </c>
      <c r="AK12" s="701">
        <f t="shared" si="6"/>
        <v>44.665999999999997</v>
      </c>
      <c r="AL12" s="702">
        <v>38.838999999999999</v>
      </c>
      <c r="AM12" s="703">
        <v>46.98</v>
      </c>
      <c r="AN12" s="703">
        <v>33.686999999999998</v>
      </c>
      <c r="AO12" s="704">
        <v>45.835000000000001</v>
      </c>
      <c r="AP12" s="701">
        <f t="shared" si="7"/>
        <v>45.835000000000001</v>
      </c>
      <c r="AQ12" s="702">
        <v>0</v>
      </c>
      <c r="AR12" s="703">
        <v>0</v>
      </c>
      <c r="AS12" s="703">
        <v>0</v>
      </c>
      <c r="AT12" s="703">
        <v>0</v>
      </c>
      <c r="AU12" s="701">
        <f t="shared" si="8"/>
        <v>0</v>
      </c>
      <c r="AV12" s="702">
        <v>0</v>
      </c>
      <c r="AW12" s="703">
        <v>0</v>
      </c>
      <c r="AX12" s="703">
        <v>0</v>
      </c>
      <c r="AY12" s="703">
        <v>0</v>
      </c>
      <c r="AZ12" s="701">
        <f t="shared" si="9"/>
        <v>0</v>
      </c>
      <c r="BA12" s="702">
        <v>0</v>
      </c>
      <c r="BB12" s="703">
        <v>0</v>
      </c>
      <c r="BC12" s="703">
        <v>0</v>
      </c>
      <c r="BD12" s="703">
        <v>0</v>
      </c>
      <c r="BE12" s="701">
        <f t="shared" si="10"/>
        <v>0</v>
      </c>
      <c r="BF12" s="702">
        <v>0</v>
      </c>
      <c r="BG12" s="703">
        <v>0</v>
      </c>
      <c r="BH12" s="703">
        <v>0</v>
      </c>
      <c r="BI12" s="703">
        <v>0</v>
      </c>
      <c r="BJ12" s="1379">
        <f t="shared" si="11"/>
        <v>0</v>
      </c>
      <c r="BK12" s="702">
        <v>0</v>
      </c>
      <c r="BL12" s="703">
        <v>0</v>
      </c>
      <c r="BM12" s="703">
        <v>0</v>
      </c>
      <c r="BN12" s="703">
        <v>0</v>
      </c>
      <c r="BO12" s="1379">
        <f t="shared" si="12"/>
        <v>0</v>
      </c>
      <c r="BP12" s="702">
        <v>0</v>
      </c>
      <c r="BQ12" s="703">
        <v>0</v>
      </c>
      <c r="BR12" s="703">
        <v>0</v>
      </c>
      <c r="BS12" s="703">
        <v>0</v>
      </c>
      <c r="BT12" s="1379">
        <f t="shared" si="13"/>
        <v>0</v>
      </c>
      <c r="BU12" s="702">
        <v>0</v>
      </c>
      <c r="BV12" s="703">
        <f>BU12</f>
        <v>0</v>
      </c>
      <c r="BW12" s="703">
        <v>0</v>
      </c>
      <c r="BX12" s="703">
        <f>BW12</f>
        <v>0</v>
      </c>
      <c r="BY12" s="1379">
        <f t="shared" si="14"/>
        <v>0</v>
      </c>
      <c r="BZ12" s="702">
        <v>0</v>
      </c>
      <c r="CA12" s="703">
        <v>0</v>
      </c>
      <c r="CB12" s="1652">
        <v>0</v>
      </c>
      <c r="CC12" s="1652">
        <v>0</v>
      </c>
      <c r="CD12" s="1688">
        <f t="shared" si="15"/>
        <v>0</v>
      </c>
      <c r="CE12" s="702">
        <v>0</v>
      </c>
      <c r="CF12" s="1652">
        <v>0</v>
      </c>
      <c r="CG12" s="1652">
        <v>0</v>
      </c>
      <c r="CH12" s="1652">
        <v>0</v>
      </c>
      <c r="CI12" s="1688">
        <f t="shared" si="16"/>
        <v>0</v>
      </c>
      <c r="CJ12" s="1600">
        <v>0</v>
      </c>
      <c r="CK12" s="1600">
        <f t="shared" ref="CK12:CM13" si="24">CJ12</f>
        <v>0</v>
      </c>
      <c r="CL12" s="1600">
        <f t="shared" si="24"/>
        <v>0</v>
      </c>
      <c r="CM12" s="1600">
        <f t="shared" si="24"/>
        <v>0</v>
      </c>
      <c r="CN12" s="1606">
        <f t="shared" si="17"/>
        <v>0</v>
      </c>
      <c r="CO12" s="1600">
        <f>CM12</f>
        <v>0</v>
      </c>
      <c r="CP12" s="1600">
        <f t="shared" si="20"/>
        <v>0</v>
      </c>
      <c r="CQ12" s="1600">
        <f t="shared" si="20"/>
        <v>0</v>
      </c>
      <c r="CR12" s="1600">
        <f t="shared" si="20"/>
        <v>0</v>
      </c>
      <c r="CS12" s="1606">
        <f t="shared" si="18"/>
        <v>0</v>
      </c>
      <c r="CT12" s="1600">
        <f>CR12</f>
        <v>0</v>
      </c>
      <c r="CU12" s="1600">
        <f t="shared" si="21"/>
        <v>0</v>
      </c>
      <c r="CV12" s="1600">
        <f t="shared" si="22"/>
        <v>0</v>
      </c>
      <c r="CW12" s="1600">
        <f t="shared" si="23"/>
        <v>0</v>
      </c>
      <c r="CX12" s="1883">
        <f t="shared" si="19"/>
        <v>0</v>
      </c>
      <c r="DB12" s="685"/>
      <c r="DC12" s="697"/>
      <c r="DD12" s="1615"/>
      <c r="DE12" s="697"/>
    </row>
    <row r="13" spans="1:109" ht="10.5" customHeight="1">
      <c r="A13" s="1881" t="s">
        <v>36</v>
      </c>
      <c r="B13" s="1882"/>
      <c r="C13" s="1316"/>
      <c r="D13" s="1316"/>
      <c r="E13" s="1316"/>
      <c r="F13" s="1316">
        <v>22.725999999999999</v>
      </c>
      <c r="G13" s="701">
        <f t="shared" si="0"/>
        <v>22.725999999999999</v>
      </c>
      <c r="H13" s="1316">
        <v>22.298999999999999</v>
      </c>
      <c r="I13" s="1316">
        <v>26.742999999999999</v>
      </c>
      <c r="J13" s="1316">
        <v>31.655000000000001</v>
      </c>
      <c r="K13" s="1316">
        <v>31.53</v>
      </c>
      <c r="L13" s="701">
        <f t="shared" si="1"/>
        <v>31.53</v>
      </c>
      <c r="M13" s="1316">
        <v>22.975999999999999</v>
      </c>
      <c r="N13" s="1316">
        <v>20.297000000000001</v>
      </c>
      <c r="O13" s="1316">
        <v>12.141</v>
      </c>
      <c r="P13" s="1316">
        <v>35.875</v>
      </c>
      <c r="Q13" s="701">
        <f t="shared" si="2"/>
        <v>35.875</v>
      </c>
      <c r="R13" s="1316">
        <v>27.954999999999998</v>
      </c>
      <c r="S13" s="1316">
        <v>31.960999999999999</v>
      </c>
      <c r="T13" s="1316">
        <v>30.113</v>
      </c>
      <c r="U13" s="1316">
        <v>51.750999999999998</v>
      </c>
      <c r="V13" s="701">
        <f t="shared" si="3"/>
        <v>51.750999999999998</v>
      </c>
      <c r="W13" s="1316">
        <v>37.923999999999999</v>
      </c>
      <c r="X13" s="1316">
        <v>56.512999999999998</v>
      </c>
      <c r="Y13" s="1316">
        <v>55.018000000000001</v>
      </c>
      <c r="Z13" s="1316">
        <v>58.71</v>
      </c>
      <c r="AA13" s="701">
        <f t="shared" si="4"/>
        <v>58.71</v>
      </c>
      <c r="AB13" s="702">
        <v>124.898</v>
      </c>
      <c r="AC13" s="703">
        <v>128.81399999999999</v>
      </c>
      <c r="AD13" s="703">
        <v>138.50399999999999</v>
      </c>
      <c r="AE13" s="704">
        <v>155.613</v>
      </c>
      <c r="AF13" s="701">
        <f t="shared" si="5"/>
        <v>155.613</v>
      </c>
      <c r="AG13" s="702">
        <v>164.26400000000001</v>
      </c>
      <c r="AH13" s="703">
        <v>196.09800000000001</v>
      </c>
      <c r="AI13" s="703">
        <v>168.78299999999999</v>
      </c>
      <c r="AJ13" s="704">
        <v>171.47200000000001</v>
      </c>
      <c r="AK13" s="701">
        <f t="shared" si="6"/>
        <v>171.47200000000001</v>
      </c>
      <c r="AL13" s="702">
        <v>132.892</v>
      </c>
      <c r="AM13" s="703">
        <v>100.206</v>
      </c>
      <c r="AN13" s="703">
        <v>94.5</v>
      </c>
      <c r="AO13" s="704">
        <v>110.71299999999999</v>
      </c>
      <c r="AP13" s="701">
        <f t="shared" si="7"/>
        <v>110.71299999999999</v>
      </c>
      <c r="AQ13" s="702">
        <v>81.125</v>
      </c>
      <c r="AR13" s="703">
        <v>76.906999999999996</v>
      </c>
      <c r="AS13" s="703">
        <v>72.162999999999997</v>
      </c>
      <c r="AT13" s="703">
        <v>77.417000000000002</v>
      </c>
      <c r="AU13" s="701">
        <f t="shared" si="8"/>
        <v>77.417000000000002</v>
      </c>
      <c r="AV13" s="702">
        <v>67.265000000000001</v>
      </c>
      <c r="AW13" s="703">
        <v>70.954999999999998</v>
      </c>
      <c r="AX13" s="703">
        <v>76.765000000000001</v>
      </c>
      <c r="AY13" s="703">
        <v>83.247</v>
      </c>
      <c r="AZ13" s="701">
        <f t="shared" si="9"/>
        <v>83.247</v>
      </c>
      <c r="BA13" s="702">
        <v>66.927999999999997</v>
      </c>
      <c r="BB13" s="703">
        <v>68.016999999999996</v>
      </c>
      <c r="BC13" s="703">
        <v>71.087000000000003</v>
      </c>
      <c r="BD13" s="703">
        <v>91.962999999999994</v>
      </c>
      <c r="BE13" s="701">
        <f t="shared" si="10"/>
        <v>91.962999999999994</v>
      </c>
      <c r="BF13" s="702">
        <v>77.513999999999996</v>
      </c>
      <c r="BG13" s="703">
        <v>79.36</v>
      </c>
      <c r="BH13" s="703">
        <v>57.024000000000001</v>
      </c>
      <c r="BI13" s="703">
        <v>59.536999999999999</v>
      </c>
      <c r="BJ13" s="1379">
        <f t="shared" si="11"/>
        <v>59.536999999999999</v>
      </c>
      <c r="BK13" s="702">
        <v>64.930000000000007</v>
      </c>
      <c r="BL13" s="703">
        <v>54.524999999999999</v>
      </c>
      <c r="BM13" s="703">
        <v>47.71</v>
      </c>
      <c r="BN13" s="703">
        <v>102.247</v>
      </c>
      <c r="BO13" s="1379">
        <f t="shared" si="12"/>
        <v>102.247</v>
      </c>
      <c r="BP13" s="702">
        <v>91.149000000000001</v>
      </c>
      <c r="BQ13" s="703">
        <v>72.489000000000004</v>
      </c>
      <c r="BR13" s="703">
        <v>79.712999999999994</v>
      </c>
      <c r="BS13" s="703">
        <v>95.278999999999996</v>
      </c>
      <c r="BT13" s="1379">
        <f t="shared" si="13"/>
        <v>95.278999999999996</v>
      </c>
      <c r="BU13" s="702">
        <v>60.47</v>
      </c>
      <c r="BV13" s="703">
        <v>71.218000000000004</v>
      </c>
      <c r="BW13" s="703">
        <v>82.438000000000002</v>
      </c>
      <c r="BX13" s="703">
        <v>0</v>
      </c>
      <c r="BY13" s="1379">
        <f t="shared" si="14"/>
        <v>0</v>
      </c>
      <c r="BZ13" s="702">
        <v>0</v>
      </c>
      <c r="CA13" s="703">
        <v>0</v>
      </c>
      <c r="CB13" s="1652">
        <v>0</v>
      </c>
      <c r="CC13" s="1652">
        <v>0</v>
      </c>
      <c r="CD13" s="1688">
        <f t="shared" si="15"/>
        <v>0</v>
      </c>
      <c r="CE13" s="702">
        <v>0</v>
      </c>
      <c r="CF13" s="1652">
        <v>0</v>
      </c>
      <c r="CG13" s="1652">
        <v>0</v>
      </c>
      <c r="CH13" s="1652">
        <v>0</v>
      </c>
      <c r="CI13" s="1688">
        <f t="shared" si="16"/>
        <v>0</v>
      </c>
      <c r="CJ13" s="1600">
        <v>0</v>
      </c>
      <c r="CK13" s="1600">
        <f t="shared" si="24"/>
        <v>0</v>
      </c>
      <c r="CL13" s="1600">
        <f t="shared" si="24"/>
        <v>0</v>
      </c>
      <c r="CM13" s="1600">
        <f t="shared" si="24"/>
        <v>0</v>
      </c>
      <c r="CN13" s="1606">
        <f t="shared" si="17"/>
        <v>0</v>
      </c>
      <c r="CO13" s="1600">
        <f>CM13</f>
        <v>0</v>
      </c>
      <c r="CP13" s="1600">
        <f t="shared" si="20"/>
        <v>0</v>
      </c>
      <c r="CQ13" s="1600">
        <f t="shared" si="20"/>
        <v>0</v>
      </c>
      <c r="CR13" s="1600">
        <f t="shared" si="20"/>
        <v>0</v>
      </c>
      <c r="CS13" s="1606">
        <f t="shared" si="18"/>
        <v>0</v>
      </c>
      <c r="CT13" s="1600">
        <f>CR13</f>
        <v>0</v>
      </c>
      <c r="CU13" s="1600">
        <f t="shared" si="21"/>
        <v>0</v>
      </c>
      <c r="CV13" s="1600">
        <f t="shared" si="22"/>
        <v>0</v>
      </c>
      <c r="CW13" s="1600">
        <f t="shared" si="23"/>
        <v>0</v>
      </c>
      <c r="CX13" s="1883">
        <f t="shared" si="19"/>
        <v>0</v>
      </c>
      <c r="DB13" s="685"/>
      <c r="DC13" s="697"/>
      <c r="DD13" s="1615"/>
      <c r="DE13" s="697"/>
    </row>
    <row r="14" spans="1:109" ht="10.5" customHeight="1">
      <c r="A14" s="1881" t="s">
        <v>323</v>
      </c>
      <c r="B14" s="1882"/>
      <c r="C14" s="1316"/>
      <c r="D14" s="1316"/>
      <c r="E14" s="1316"/>
      <c r="F14" s="1316">
        <v>20.62</v>
      </c>
      <c r="G14" s="701">
        <f t="shared" si="0"/>
        <v>20.62</v>
      </c>
      <c r="H14" s="1316">
        <v>19.291</v>
      </c>
      <c r="I14" s="1316">
        <v>18.385999999999999</v>
      </c>
      <c r="J14" s="1316">
        <v>23.196999999999999</v>
      </c>
      <c r="K14" s="1316">
        <v>18.032</v>
      </c>
      <c r="L14" s="701">
        <f t="shared" si="1"/>
        <v>18.032</v>
      </c>
      <c r="M14" s="1316">
        <v>18.475000000000001</v>
      </c>
      <c r="N14" s="1316">
        <v>24.535</v>
      </c>
      <c r="O14" s="1316">
        <v>31.236000000000001</v>
      </c>
      <c r="P14" s="1316">
        <v>22.577999999999999</v>
      </c>
      <c r="Q14" s="701">
        <f t="shared" si="2"/>
        <v>22.577999999999999</v>
      </c>
      <c r="R14" s="1316">
        <v>29.858000000000001</v>
      </c>
      <c r="S14" s="1316">
        <v>27.923999999999999</v>
      </c>
      <c r="T14" s="1316">
        <v>26.594999999999999</v>
      </c>
      <c r="U14" s="1316">
        <v>18.617000000000001</v>
      </c>
      <c r="V14" s="701">
        <f t="shared" si="3"/>
        <v>18.617000000000001</v>
      </c>
      <c r="W14" s="1316">
        <v>28.372</v>
      </c>
      <c r="X14" s="1316">
        <v>43.85</v>
      </c>
      <c r="Y14" s="1316">
        <v>35.750999999999998</v>
      </c>
      <c r="Z14" s="1316">
        <v>44.284999999999997</v>
      </c>
      <c r="AA14" s="701">
        <f t="shared" si="4"/>
        <v>44.284999999999997</v>
      </c>
      <c r="AB14" s="702">
        <v>34.176000000000002</v>
      </c>
      <c r="AC14" s="703">
        <v>41.369</v>
      </c>
      <c r="AD14" s="703">
        <v>40.906999999999996</v>
      </c>
      <c r="AE14" s="704">
        <f>35.715+3.596</f>
        <v>39.311000000000007</v>
      </c>
      <c r="AF14" s="701">
        <f t="shared" si="5"/>
        <v>39.311000000000007</v>
      </c>
      <c r="AG14" s="702">
        <v>42.076999999999998</v>
      </c>
      <c r="AH14" s="703">
        <v>61.140999999999998</v>
      </c>
      <c r="AI14" s="703">
        <v>59.058999999999997</v>
      </c>
      <c r="AJ14" s="704">
        <v>44.84</v>
      </c>
      <c r="AK14" s="701">
        <f t="shared" si="6"/>
        <v>44.84</v>
      </c>
      <c r="AL14" s="702">
        <v>46.030999999999999</v>
      </c>
      <c r="AM14" s="703">
        <v>48.396999999999998</v>
      </c>
      <c r="AN14" s="703">
        <v>60.058999999999997</v>
      </c>
      <c r="AO14" s="704">
        <v>92.119</v>
      </c>
      <c r="AP14" s="701">
        <f t="shared" si="7"/>
        <v>92.119</v>
      </c>
      <c r="AQ14" s="702">
        <v>104.124</v>
      </c>
      <c r="AR14" s="703">
        <v>84.078999999999994</v>
      </c>
      <c r="AS14" s="703">
        <v>80.503</v>
      </c>
      <c r="AT14" s="703">
        <v>80.855000000000004</v>
      </c>
      <c r="AU14" s="701">
        <f t="shared" si="8"/>
        <v>80.855000000000004</v>
      </c>
      <c r="AV14" s="702">
        <v>86.992999999999995</v>
      </c>
      <c r="AW14" s="703">
        <v>121.24299999999999</v>
      </c>
      <c r="AX14" s="703">
        <v>96.825999999999993</v>
      </c>
      <c r="AY14" s="703">
        <v>110.46</v>
      </c>
      <c r="AZ14" s="701">
        <f t="shared" si="9"/>
        <v>110.46</v>
      </c>
      <c r="BA14" s="702">
        <v>113.682</v>
      </c>
      <c r="BB14" s="703">
        <v>127.211</v>
      </c>
      <c r="BC14" s="703">
        <v>119.51300000000001</v>
      </c>
      <c r="BD14" s="703">
        <v>133.423</v>
      </c>
      <c r="BE14" s="701">
        <f t="shared" si="10"/>
        <v>133.423</v>
      </c>
      <c r="BF14" s="702">
        <v>149.81200000000001</v>
      </c>
      <c r="BG14" s="703">
        <v>163.93899999999999</v>
      </c>
      <c r="BH14" s="703">
        <v>139.11500000000001</v>
      </c>
      <c r="BI14" s="703">
        <v>116.23699999999999</v>
      </c>
      <c r="BJ14" s="1379">
        <f t="shared" si="11"/>
        <v>116.23699999999999</v>
      </c>
      <c r="BK14" s="702">
        <v>161.66300000000001</v>
      </c>
      <c r="BL14" s="703">
        <f>143.799+23.573</f>
        <v>167.37200000000001</v>
      </c>
      <c r="BM14" s="703">
        <f>128.495+23.573</f>
        <v>152.06800000000001</v>
      </c>
      <c r="BN14" s="703">
        <v>170.11</v>
      </c>
      <c r="BO14" s="1379">
        <f t="shared" si="12"/>
        <v>170.11</v>
      </c>
      <c r="BP14" s="702">
        <v>208.643</v>
      </c>
      <c r="BQ14" s="703">
        <v>180.08600000000001</v>
      </c>
      <c r="BR14" s="703">
        <v>151.227</v>
      </c>
      <c r="BS14" s="703">
        <v>175.75800000000001</v>
      </c>
      <c r="BT14" s="1379">
        <f t="shared" si="13"/>
        <v>175.75800000000001</v>
      </c>
      <c r="BU14" s="702">
        <v>202.44200000000001</v>
      </c>
      <c r="BV14" s="703">
        <v>191.31399999999999</v>
      </c>
      <c r="BW14" s="703">
        <v>181.16300000000001</v>
      </c>
      <c r="BX14" s="703">
        <v>161.80199999999999</v>
      </c>
      <c r="BY14" s="1379">
        <f t="shared" si="14"/>
        <v>161.80199999999999</v>
      </c>
      <c r="BZ14" s="702">
        <v>238.29499999999999</v>
      </c>
      <c r="CA14" s="703">
        <v>253.42</v>
      </c>
      <c r="CB14" s="1652">
        <v>241.14599999999999</v>
      </c>
      <c r="CC14" s="1652">
        <v>245.441</v>
      </c>
      <c r="CD14" s="1688">
        <f t="shared" si="15"/>
        <v>245.441</v>
      </c>
      <c r="CE14" s="702">
        <v>257.10500000000002</v>
      </c>
      <c r="CF14" s="1652">
        <v>219.232</v>
      </c>
      <c r="CG14" s="1652">
        <v>206.38399999999999</v>
      </c>
      <c r="CH14" s="1652">
        <v>210.071</v>
      </c>
      <c r="CI14" s="1688">
        <f t="shared" si="16"/>
        <v>210.071</v>
      </c>
      <c r="CJ14" s="1600">
        <v>270.154</v>
      </c>
      <c r="CK14" s="1600">
        <f>BS!CK109*Model!CK24</f>
        <v>269.06255843851216</v>
      </c>
      <c r="CL14" s="1600">
        <f>BS!CL109*Model!CL24</f>
        <v>253.51094963589372</v>
      </c>
      <c r="CM14" s="1600">
        <f>BS!CM109*Model!CM24</f>
        <v>249.14240619139187</v>
      </c>
      <c r="CN14" s="1606">
        <f t="shared" si="17"/>
        <v>249.14240619139187</v>
      </c>
      <c r="CO14" s="1600">
        <f>BS!CO109*Model!CO24</f>
        <v>320.76935661313655</v>
      </c>
      <c r="CP14" s="1600">
        <f>BS!CP109*Model!CP24</f>
        <v>318.04503212790081</v>
      </c>
      <c r="CQ14" s="1600">
        <f>BS!CQ109*Model!CQ24</f>
        <v>300.21797793012718</v>
      </c>
      <c r="CR14" s="1600">
        <f>BS!CR109*Model!CR24</f>
        <v>294.88130626873453</v>
      </c>
      <c r="CS14" s="1606">
        <f t="shared" si="18"/>
        <v>294.88130626873453</v>
      </c>
      <c r="CT14" s="1600">
        <f>BS!CT109*Model!CT24</f>
        <v>377.42684389077596</v>
      </c>
      <c r="CU14" s="1600">
        <f>BS!CU109*Model!CU24</f>
        <v>371.60248241460692</v>
      </c>
      <c r="CV14" s="1600">
        <f>BS!CV109*Model!CV24</f>
        <v>348.0776003257904</v>
      </c>
      <c r="CW14" s="1600">
        <f>BS!CW109*Model!CW24</f>
        <v>339.37224803744039</v>
      </c>
      <c r="CX14" s="1883">
        <f t="shared" si="19"/>
        <v>339.37224803744039</v>
      </c>
      <c r="DB14" s="685"/>
      <c r="DC14" s="697"/>
      <c r="DD14" s="1615"/>
      <c r="DE14" s="697"/>
    </row>
    <row r="15" spans="1:109" ht="10.5" customHeight="1">
      <c r="A15" s="1885" t="s">
        <v>37</v>
      </c>
      <c r="B15" s="1317"/>
      <c r="C15" s="1299">
        <f>SUM(C8:C14)</f>
        <v>0</v>
      </c>
      <c r="D15" s="1299">
        <f>SUM(D8:D14)</f>
        <v>0</v>
      </c>
      <c r="E15" s="1299">
        <f>SUM(E8:E14)</f>
        <v>0</v>
      </c>
      <c r="F15" s="1299">
        <f>SUM(F8:F14)</f>
        <v>768.91399999999999</v>
      </c>
      <c r="G15" s="708">
        <f t="shared" si="0"/>
        <v>768.91399999999999</v>
      </c>
      <c r="H15" s="1299">
        <f>SUM(H8:H14)</f>
        <v>826.20299999999997</v>
      </c>
      <c r="I15" s="1299">
        <f>SUM(I8:I14)</f>
        <v>907.77700000000004</v>
      </c>
      <c r="J15" s="1299">
        <f>SUM(J8:J14)</f>
        <v>863.66899999999998</v>
      </c>
      <c r="K15" s="1299">
        <f>SUM(K8:K14)</f>
        <v>814.17199999999991</v>
      </c>
      <c r="L15" s="708">
        <f t="shared" si="1"/>
        <v>814.17199999999991</v>
      </c>
      <c r="M15" s="1299">
        <f>SUM(M8:M14)</f>
        <v>853.04700000000003</v>
      </c>
      <c r="N15" s="1299">
        <f>SUM(N8:N14)</f>
        <v>986.04500000000007</v>
      </c>
      <c r="O15" s="1299">
        <f>SUM(O8:O14)</f>
        <v>1037.162</v>
      </c>
      <c r="P15" s="1299">
        <f>SUM(P8:P14)</f>
        <v>1329.0279999999998</v>
      </c>
      <c r="Q15" s="708">
        <f t="shared" si="2"/>
        <v>1329.0279999999998</v>
      </c>
      <c r="R15" s="1299">
        <f>SUM(R8:R14)</f>
        <v>1462.1379999999999</v>
      </c>
      <c r="S15" s="1299">
        <f>SUM(S8:S14)</f>
        <v>1484.6390000000001</v>
      </c>
      <c r="T15" s="1299">
        <f>SUM(T8:T14)</f>
        <v>1333.5710000000001</v>
      </c>
      <c r="U15" s="1299">
        <f>SUM(U8:U14)</f>
        <v>1551.0289999999998</v>
      </c>
      <c r="V15" s="708">
        <f t="shared" si="3"/>
        <v>1551.0289999999998</v>
      </c>
      <c r="W15" s="1299">
        <f>SUM(W8:W14)</f>
        <v>1699.9390000000003</v>
      </c>
      <c r="X15" s="1299">
        <f>SUM(X8:X14)</f>
        <v>1999.5679999999995</v>
      </c>
      <c r="Y15" s="1299">
        <f>SUM(Y8:Y14)</f>
        <v>2180.6790000000001</v>
      </c>
      <c r="Z15" s="1299">
        <f>SUM(Z8:Z14)</f>
        <v>2008.5780000000002</v>
      </c>
      <c r="AA15" s="708">
        <f t="shared" si="4"/>
        <v>2008.5780000000002</v>
      </c>
      <c r="AB15" s="1299">
        <f>SUM(AB8:AB14)</f>
        <v>2595.5320000000002</v>
      </c>
      <c r="AC15" s="1299">
        <f>SUM(AC8:AC14)</f>
        <v>2328.4560000000001</v>
      </c>
      <c r="AD15" s="1299">
        <f>SUM(AD8:AD14)</f>
        <v>2496.5540000000005</v>
      </c>
      <c r="AE15" s="1299">
        <f>SUM(AE8:AE14)</f>
        <v>2884.4690000000001</v>
      </c>
      <c r="AF15" s="708">
        <f t="shared" si="5"/>
        <v>2884.4690000000001</v>
      </c>
      <c r="AG15" s="1299">
        <f>SUM(AG8:AG14)</f>
        <v>2857</v>
      </c>
      <c r="AH15" s="1299">
        <f>SUM(AH8:AH14)</f>
        <v>2952.5210000000002</v>
      </c>
      <c r="AI15" s="1299">
        <f>SUM(AI8:AI14)</f>
        <v>2505.23</v>
      </c>
      <c r="AJ15" s="1299">
        <f>SUM(AJ8:AJ14)</f>
        <v>2572.9770000000003</v>
      </c>
      <c r="AK15" s="708">
        <f t="shared" si="6"/>
        <v>2572.9770000000003</v>
      </c>
      <c r="AL15" s="1299">
        <f>SUM(AL8:AL14)</f>
        <v>2226.2719999999999</v>
      </c>
      <c r="AM15" s="1299">
        <f>SUM(AM8:AM14)</f>
        <v>2381.4690000000001</v>
      </c>
      <c r="AN15" s="1299">
        <f>SUM(AN8:AN14)</f>
        <v>2517.12</v>
      </c>
      <c r="AO15" s="1299">
        <f>SUM(AO8:AO14)</f>
        <v>2735.1030000000005</v>
      </c>
      <c r="AP15" s="708">
        <f t="shared" si="7"/>
        <v>2735.1030000000005</v>
      </c>
      <c r="AQ15" s="1299">
        <f>SUM(AQ8:AQ14)</f>
        <v>2868.991</v>
      </c>
      <c r="AR15" s="1299">
        <f>SUM(AR8:AR14)</f>
        <v>3087.7690000000002</v>
      </c>
      <c r="AS15" s="1299">
        <f>SUM(AS8:AS14)</f>
        <v>2990.9340000000002</v>
      </c>
      <c r="AT15" s="1299">
        <f>SUM(AT8:AT14)</f>
        <v>2473.6239999999998</v>
      </c>
      <c r="AU15" s="708">
        <f t="shared" si="8"/>
        <v>2473.6239999999998</v>
      </c>
      <c r="AV15" s="1299">
        <f>SUM(AV8:AV14)</f>
        <v>3177.2190000000001</v>
      </c>
      <c r="AW15" s="1299">
        <f>SUM(AW8:AW14)</f>
        <v>3276.0709999999995</v>
      </c>
      <c r="AX15" s="1299">
        <f>SUM(AX8:AX14)</f>
        <v>3236.415</v>
      </c>
      <c r="AY15" s="1299">
        <f>SUM(AY8:AY14)</f>
        <v>3216.0499999999997</v>
      </c>
      <c r="AZ15" s="708">
        <f t="shared" si="9"/>
        <v>3216.0499999999997</v>
      </c>
      <c r="BA15" s="1299">
        <f>SUM(BA8:BA14)</f>
        <v>3350.7979999999998</v>
      </c>
      <c r="BB15" s="1299">
        <f>SUM(BB8:BB14)</f>
        <v>3389.3179999999998</v>
      </c>
      <c r="BC15" s="1299">
        <f>SUM(BC8:BC14)</f>
        <v>3469.1959999999999</v>
      </c>
      <c r="BD15" s="1299">
        <f>SUM(BD8:BD14)</f>
        <v>3771.451</v>
      </c>
      <c r="BE15" s="708">
        <f t="shared" si="10"/>
        <v>3771.451</v>
      </c>
      <c r="BF15" s="1299">
        <f>SUM(BF8:BF14)</f>
        <v>3505.6549999999997</v>
      </c>
      <c r="BG15" s="1299">
        <f>SUM(BG8:BG14)</f>
        <v>3770.8070000000002</v>
      </c>
      <c r="BH15" s="1299">
        <f>SUM(BH8:BH14)</f>
        <v>4010.1730000000007</v>
      </c>
      <c r="BI15" s="1299">
        <f>SUM(BI8:BI14)</f>
        <v>4331.3600000000006</v>
      </c>
      <c r="BJ15" s="1381">
        <f t="shared" si="11"/>
        <v>4331.3600000000006</v>
      </c>
      <c r="BK15" s="1299">
        <f>SUM(BK8:BK14)</f>
        <v>4373.0830000000005</v>
      </c>
      <c r="BL15" s="1299">
        <f>SUM(BL8:BL14)</f>
        <v>4557.6569999999992</v>
      </c>
      <c r="BM15" s="1299">
        <f>SUM(BM8:BM14)</f>
        <v>3886.1240000000003</v>
      </c>
      <c r="BN15" s="1299">
        <f>SUM(BN8:BN14)</f>
        <v>4045.9290000000001</v>
      </c>
      <c r="BO15" s="1381">
        <f t="shared" si="12"/>
        <v>4045.9290000000001</v>
      </c>
      <c r="BP15" s="1299">
        <f>SUM(BP8:BP14)</f>
        <v>3942.3910000000001</v>
      </c>
      <c r="BQ15" s="1299">
        <f>SUM(BQ8:BQ14)</f>
        <v>4114.3429999999998</v>
      </c>
      <c r="BR15" s="1299">
        <f>SUM(BR8:BR14)</f>
        <v>4279.4679999999998</v>
      </c>
      <c r="BS15" s="1299">
        <f>SUM(BS8:BS14)</f>
        <v>4602.3279999999995</v>
      </c>
      <c r="BT15" s="1381">
        <f t="shared" si="13"/>
        <v>4602.3279999999995</v>
      </c>
      <c r="BU15" s="1299">
        <f>SUM(BU8:BU14)</f>
        <v>3972.1590000000001</v>
      </c>
      <c r="BV15" s="1299">
        <f>SUM(BV8:BV14)</f>
        <v>4178.3969999999999</v>
      </c>
      <c r="BW15" s="1299">
        <f>SUM(BW8:BW14)</f>
        <v>4525.887999999999</v>
      </c>
      <c r="BX15" s="1299">
        <f>SUM(BX8:BX14)</f>
        <v>4821.8919999999998</v>
      </c>
      <c r="BY15" s="1381">
        <f t="shared" si="14"/>
        <v>4821.8919999999998</v>
      </c>
      <c r="BZ15" s="1299">
        <f>SUM(BZ8:BZ14)</f>
        <v>4935.3900000000003</v>
      </c>
      <c r="CA15" s="1299">
        <f>SUM(CA8:CA14)</f>
        <v>5238.5640000000003</v>
      </c>
      <c r="CB15" s="1374">
        <f>SUM(CB8:CB14)</f>
        <v>5418.71</v>
      </c>
      <c r="CC15" s="1374">
        <f>SUM(CC8:CC14)</f>
        <v>5839.7740000000003</v>
      </c>
      <c r="CD15" s="1689">
        <f t="shared" si="15"/>
        <v>5839.7740000000003</v>
      </c>
      <c r="CE15" s="1299">
        <f>SUM(CE8:CE14)</f>
        <v>5755.5619999999999</v>
      </c>
      <c r="CF15" s="1374">
        <f>SUM(CF8:CF14)</f>
        <v>6052.1970000000001</v>
      </c>
      <c r="CG15" s="1374">
        <f>SUM(CG8:CG14)</f>
        <v>6581.0569999999998</v>
      </c>
      <c r="CH15" s="1374">
        <f>SUM(CH8:CH14)</f>
        <v>7247.8130000000001</v>
      </c>
      <c r="CI15" s="1689">
        <f t="shared" si="16"/>
        <v>7247.8130000000001</v>
      </c>
      <c r="CJ15" s="1603">
        <f>SUM(CJ8:CJ14)</f>
        <v>7480.8140000000003</v>
      </c>
      <c r="CK15" s="1603">
        <f>SUM(CK8:CK14)</f>
        <v>8244.8432715018535</v>
      </c>
      <c r="CL15" s="1603">
        <f>SUM(CL8:CL14)</f>
        <v>8897.4518678694094</v>
      </c>
      <c r="CM15" s="1603">
        <f>SUM(CM8:CM14)</f>
        <v>9832.0885465062765</v>
      </c>
      <c r="CN15" s="1598">
        <f t="shared" si="17"/>
        <v>9832.0885465062765</v>
      </c>
      <c r="CO15" s="1603">
        <f>SUM(CO8:CO14)</f>
        <v>10452.80758167274</v>
      </c>
      <c r="CP15" s="1603">
        <f>SUM(CP8:CP14)</f>
        <v>11011.76803503774</v>
      </c>
      <c r="CQ15" s="1603">
        <f>SUM(CQ8:CQ14)</f>
        <v>11759.480521972235</v>
      </c>
      <c r="CR15" s="1603">
        <f>SUM(CR8:CR14)</f>
        <v>12827.11761603081</v>
      </c>
      <c r="CS15" s="1598">
        <f t="shared" si="18"/>
        <v>12827.11761603081</v>
      </c>
      <c r="CT15" s="1603">
        <f>SUM(CT8:CT14)</f>
        <v>13602.025975678467</v>
      </c>
      <c r="CU15" s="1603">
        <f>SUM(CU8:CU14)</f>
        <v>14257.237577592721</v>
      </c>
      <c r="CV15" s="1603">
        <f>SUM(CV8:CV14)</f>
        <v>15121.898113230274</v>
      </c>
      <c r="CW15" s="1603">
        <f>SUM(CW8:CW14)</f>
        <v>16343.053827206842</v>
      </c>
      <c r="CX15" s="1886">
        <f t="shared" si="19"/>
        <v>16343.053827206842</v>
      </c>
      <c r="DB15" s="685"/>
      <c r="DC15" s="686"/>
      <c r="DD15" s="1615"/>
      <c r="DE15" s="686"/>
    </row>
    <row r="16" spans="1:109" ht="5.25" customHeight="1">
      <c r="A16" s="1876"/>
      <c r="B16" s="688"/>
      <c r="C16" s="689"/>
      <c r="D16" s="689"/>
      <c r="E16" s="689"/>
      <c r="F16" s="689"/>
      <c r="G16" s="690"/>
      <c r="H16" s="689"/>
      <c r="I16" s="689"/>
      <c r="J16" s="689"/>
      <c r="K16" s="689"/>
      <c r="L16" s="690"/>
      <c r="M16" s="689"/>
      <c r="N16" s="689"/>
      <c r="O16" s="689"/>
      <c r="P16" s="689"/>
      <c r="Q16" s="690"/>
      <c r="R16" s="689"/>
      <c r="S16" s="689"/>
      <c r="T16" s="689"/>
      <c r="U16" s="689"/>
      <c r="V16" s="690"/>
      <c r="W16" s="689"/>
      <c r="X16" s="689"/>
      <c r="Y16" s="689"/>
      <c r="Z16" s="689"/>
      <c r="AA16" s="691"/>
      <c r="AB16" s="688"/>
      <c r="AC16" s="688"/>
      <c r="AD16" s="688"/>
      <c r="AE16" s="688"/>
      <c r="AF16" s="691"/>
      <c r="AG16" s="688"/>
      <c r="AH16" s="688"/>
      <c r="AI16" s="688"/>
      <c r="AJ16" s="688"/>
      <c r="AK16" s="691"/>
      <c r="AL16" s="688"/>
      <c r="AM16" s="688"/>
      <c r="AN16" s="688"/>
      <c r="AO16" s="688"/>
      <c r="AP16" s="691"/>
      <c r="AQ16" s="688"/>
      <c r="AR16" s="692"/>
      <c r="AS16" s="688"/>
      <c r="AT16" s="688"/>
      <c r="AU16" s="691"/>
      <c r="AV16" s="688"/>
      <c r="AW16" s="692"/>
      <c r="AX16" s="692"/>
      <c r="AY16" s="688"/>
      <c r="AZ16" s="691"/>
      <c r="BA16" s="688"/>
      <c r="BB16" s="692"/>
      <c r="BC16" s="688"/>
      <c r="BD16" s="688"/>
      <c r="BE16" s="691"/>
      <c r="BF16" s="688"/>
      <c r="BG16" s="692"/>
      <c r="BH16" s="692"/>
      <c r="BI16" s="688"/>
      <c r="BJ16" s="1378"/>
      <c r="BK16" s="688"/>
      <c r="BL16" s="692"/>
      <c r="BM16" s="692"/>
      <c r="BN16" s="692"/>
      <c r="BO16" s="1378"/>
      <c r="BP16" s="688"/>
      <c r="BQ16" s="692"/>
      <c r="BR16" s="692"/>
      <c r="BS16" s="692"/>
      <c r="BT16" s="1378"/>
      <c r="BU16" s="688"/>
      <c r="BV16" s="692"/>
      <c r="BW16" s="692"/>
      <c r="BX16" s="692"/>
      <c r="BY16" s="1378"/>
      <c r="BZ16" s="688"/>
      <c r="CA16" s="692"/>
      <c r="CB16" s="1607"/>
      <c r="CC16" s="1503"/>
      <c r="CD16" s="1690"/>
      <c r="CE16" s="688"/>
      <c r="CF16" s="1503"/>
      <c r="CG16" s="1503"/>
      <c r="CH16" s="1503"/>
      <c r="CI16" s="1690"/>
      <c r="CJ16" s="1607"/>
      <c r="CK16" s="1607"/>
      <c r="CL16" s="1607"/>
      <c r="CM16" s="1607"/>
      <c r="CN16" s="1608"/>
      <c r="CO16" s="1607"/>
      <c r="CP16" s="1607"/>
      <c r="CQ16" s="1607"/>
      <c r="CR16" s="1607"/>
      <c r="CS16" s="1608"/>
      <c r="CT16" s="1607"/>
      <c r="CU16" s="1607"/>
      <c r="CV16" s="1607"/>
      <c r="CW16" s="1607"/>
      <c r="CX16" s="1887"/>
      <c r="DB16" s="685"/>
      <c r="DC16" s="689"/>
      <c r="DD16" s="1615"/>
      <c r="DE16" s="689"/>
    </row>
    <row r="17" spans="1:109" ht="10.5" customHeight="1">
      <c r="A17" s="1881" t="s">
        <v>389</v>
      </c>
      <c r="B17" s="1882"/>
      <c r="C17" s="1316"/>
      <c r="D17" s="1316"/>
      <c r="E17" s="1316"/>
      <c r="F17" s="1316">
        <v>77.611000000000004</v>
      </c>
      <c r="G17" s="701">
        <f t="shared" ref="G17:G24" si="25">F17</f>
        <v>77.611000000000004</v>
      </c>
      <c r="H17" s="1316">
        <v>79.058999999999997</v>
      </c>
      <c r="I17" s="1316">
        <v>80.286000000000001</v>
      </c>
      <c r="J17" s="1316">
        <v>69.36</v>
      </c>
      <c r="K17" s="1316">
        <v>71.09</v>
      </c>
      <c r="L17" s="701">
        <f t="shared" ref="L17:L24" si="26">K17</f>
        <v>71.09</v>
      </c>
      <c r="M17" s="1316">
        <v>70.227999999999994</v>
      </c>
      <c r="N17" s="1316">
        <v>73.626000000000005</v>
      </c>
      <c r="O17" s="1316">
        <v>72.873999999999995</v>
      </c>
      <c r="P17" s="1316">
        <v>77.007000000000005</v>
      </c>
      <c r="Q17" s="701">
        <f t="shared" ref="Q17:Q24" si="27">P17</f>
        <v>77.007000000000005</v>
      </c>
      <c r="R17" s="1316">
        <v>82.512</v>
      </c>
      <c r="S17" s="1316">
        <v>84.712999999999994</v>
      </c>
      <c r="T17" s="1316">
        <v>89.028999999999996</v>
      </c>
      <c r="U17" s="1316">
        <v>99.674999999999997</v>
      </c>
      <c r="V17" s="701">
        <f t="shared" ref="V17:V24" si="28">U17</f>
        <v>99.674999999999997</v>
      </c>
      <c r="W17" s="1316">
        <v>100.34</v>
      </c>
      <c r="X17" s="1316">
        <v>98.933999999999997</v>
      </c>
      <c r="Y17" s="1316">
        <v>103.663</v>
      </c>
      <c r="Z17" s="1316">
        <v>103.54900000000001</v>
      </c>
      <c r="AA17" s="701">
        <f t="shared" ref="AA17:AA24" si="29">Z17</f>
        <v>103.54900000000001</v>
      </c>
      <c r="AB17" s="702">
        <v>208.15899999999999</v>
      </c>
      <c r="AC17" s="703">
        <v>210.18100000000001</v>
      </c>
      <c r="AD17" s="703">
        <v>212.875</v>
      </c>
      <c r="AE17" s="704">
        <v>219.31700000000001</v>
      </c>
      <c r="AF17" s="701">
        <f t="shared" ref="AF17:AF24" si="30">AE17</f>
        <v>219.31700000000001</v>
      </c>
      <c r="AG17" s="702">
        <v>258.899</v>
      </c>
      <c r="AH17" s="703">
        <v>266.39499999999998</v>
      </c>
      <c r="AI17" s="703">
        <v>278.72199999999998</v>
      </c>
      <c r="AJ17" s="704">
        <v>289.75799999999998</v>
      </c>
      <c r="AK17" s="701">
        <f t="shared" ref="AK17:AK24" si="31">AJ17</f>
        <v>289.75799999999998</v>
      </c>
      <c r="AL17" s="702">
        <v>297.52199999999999</v>
      </c>
      <c r="AM17" s="703">
        <v>300.37099999999998</v>
      </c>
      <c r="AN17" s="703">
        <v>317.07100000000003</v>
      </c>
      <c r="AO17" s="704">
        <v>313.03699999999998</v>
      </c>
      <c r="AP17" s="701">
        <f t="shared" ref="AP17:AP24" si="32">AO17</f>
        <v>313.03699999999998</v>
      </c>
      <c r="AQ17" s="702">
        <v>300.37599999999998</v>
      </c>
      <c r="AR17" s="703">
        <v>291.72000000000003</v>
      </c>
      <c r="AS17" s="703">
        <v>335.75200000000001</v>
      </c>
      <c r="AT17" s="703">
        <v>388.13200000000001</v>
      </c>
      <c r="AU17" s="701">
        <f t="shared" ref="AU17:AU24" si="33">AT17</f>
        <v>388.13200000000001</v>
      </c>
      <c r="AV17" s="702">
        <v>386.20499999999998</v>
      </c>
      <c r="AW17" s="703">
        <v>407.62099999999998</v>
      </c>
      <c r="AX17" s="703">
        <v>422.92</v>
      </c>
      <c r="AY17" s="703">
        <v>448.88099999999997</v>
      </c>
      <c r="AZ17" s="701">
        <f t="shared" ref="AZ17:AZ24" si="34">AY17</f>
        <v>448.88099999999997</v>
      </c>
      <c r="BA17" s="702">
        <v>453.49700000000001</v>
      </c>
      <c r="BB17" s="703">
        <v>463.41500000000002</v>
      </c>
      <c r="BC17" s="703">
        <v>499.05900000000003</v>
      </c>
      <c r="BD17" s="703">
        <v>527.82799999999997</v>
      </c>
      <c r="BE17" s="701">
        <f t="shared" ref="BE17:BE24" si="35">BD17</f>
        <v>527.82799999999997</v>
      </c>
      <c r="BF17" s="702">
        <v>549.78</v>
      </c>
      <c r="BG17" s="703">
        <v>573.56600000000003</v>
      </c>
      <c r="BH17" s="703">
        <v>619.39200000000005</v>
      </c>
      <c r="BI17" s="703">
        <v>664.30200000000002</v>
      </c>
      <c r="BJ17" s="1379">
        <f t="shared" ref="BJ17:BJ24" si="36">BI17</f>
        <v>664.30200000000002</v>
      </c>
      <c r="BK17" s="702">
        <v>686.01400000000001</v>
      </c>
      <c r="BL17" s="703">
        <v>645.86500000000001</v>
      </c>
      <c r="BM17" s="703">
        <f>659.747</f>
        <v>659.74699999999996</v>
      </c>
      <c r="BN17" s="703">
        <v>659.774</v>
      </c>
      <c r="BO17" s="1379">
        <f t="shared" ref="BO17:BO24" si="37">BN17</f>
        <v>659.774</v>
      </c>
      <c r="BP17" s="702">
        <v>651.08299999999997</v>
      </c>
      <c r="BQ17" s="703">
        <v>642.45000000000005</v>
      </c>
      <c r="BR17" s="703">
        <v>785.85599999999999</v>
      </c>
      <c r="BS17" s="703">
        <v>785.12300000000005</v>
      </c>
      <c r="BT17" s="1379">
        <f t="shared" ref="BT17:BT24" si="38">BS17</f>
        <v>785.12300000000005</v>
      </c>
      <c r="BU17" s="702">
        <v>784.31399999999996</v>
      </c>
      <c r="BV17" s="703">
        <v>785.19899999999996</v>
      </c>
      <c r="BW17" s="703">
        <v>797.46400000000006</v>
      </c>
      <c r="BX17" s="703">
        <v>787.42100000000005</v>
      </c>
      <c r="BY17" s="1379">
        <f t="shared" ref="BY17:BY24" si="39">BX17</f>
        <v>787.42100000000005</v>
      </c>
      <c r="BZ17" s="702">
        <v>794.87599999999998</v>
      </c>
      <c r="CA17" s="703">
        <v>796.077</v>
      </c>
      <c r="CB17" s="1652">
        <v>811.524</v>
      </c>
      <c r="CC17" s="1652">
        <v>816.26400000000001</v>
      </c>
      <c r="CD17" s="1688">
        <f t="shared" ref="CD17:CD24" si="40">CC17</f>
        <v>816.26400000000001</v>
      </c>
      <c r="CE17" s="702">
        <v>821.73</v>
      </c>
      <c r="CF17" s="1652">
        <v>924.10799999999995</v>
      </c>
      <c r="CG17" s="1652">
        <v>939.80899999999997</v>
      </c>
      <c r="CH17" s="1652">
        <v>936.976</v>
      </c>
      <c r="CI17" s="1688">
        <f t="shared" ref="CI17:CI24" si="41">CH17</f>
        <v>936.976</v>
      </c>
      <c r="CJ17" s="1600">
        <v>991.67399999999998</v>
      </c>
      <c r="CK17" s="1600">
        <f>BS!CK129</f>
        <v>1006.4853239876387</v>
      </c>
      <c r="CL17" s="1600">
        <f>BS!CL129</f>
        <v>1023.2394604593736</v>
      </c>
      <c r="CM17" s="1600">
        <f>BS!CM129</f>
        <v>1041.606063278897</v>
      </c>
      <c r="CN17" s="1606">
        <f t="shared" ref="CN17:CN24" si="42">CM17</f>
        <v>1041.606063278897</v>
      </c>
      <c r="CO17" s="1600">
        <f>BS!CO129</f>
        <v>1061.6992091312597</v>
      </c>
      <c r="CP17" s="1600">
        <f>BS!CP129</f>
        <v>1083.5640477580951</v>
      </c>
      <c r="CQ17" s="1600">
        <f>BS!CQ129</f>
        <v>1107.3454771471429</v>
      </c>
      <c r="CR17" s="1600">
        <f>BS!CR129</f>
        <v>1133.1851874859879</v>
      </c>
      <c r="CS17" s="1606">
        <f t="shared" ref="CS17:CS22" si="43">CR17</f>
        <v>1133.1851874859879</v>
      </c>
      <c r="CT17" s="1600">
        <f>BS!CT129</f>
        <v>1161.076917755775</v>
      </c>
      <c r="CU17" s="1600">
        <f>BS!CU129</f>
        <v>1190.9992176721701</v>
      </c>
      <c r="CV17" s="1600">
        <f>BS!CV129</f>
        <v>1222.9100813585148</v>
      </c>
      <c r="CW17" s="1600">
        <f>BS!CW129</f>
        <v>1256.7957826430463</v>
      </c>
      <c r="CX17" s="1883">
        <f t="shared" ref="CX17:CX22" si="44">CW17</f>
        <v>1256.7957826430463</v>
      </c>
      <c r="DB17" s="685"/>
      <c r="DC17" s="697"/>
      <c r="DD17" s="1615"/>
      <c r="DE17" s="697"/>
    </row>
    <row r="18" spans="1:109" ht="10.5" customHeight="1">
      <c r="A18" s="1881" t="s">
        <v>113</v>
      </c>
      <c r="B18" s="1882"/>
      <c r="C18" s="1316"/>
      <c r="D18" s="1316"/>
      <c r="E18" s="1316"/>
      <c r="F18" s="1316">
        <v>36.402000000000001</v>
      </c>
      <c r="G18" s="701">
        <f t="shared" si="25"/>
        <v>36.402000000000001</v>
      </c>
      <c r="H18" s="1316"/>
      <c r="I18" s="1316">
        <v>114.06100000000001</v>
      </c>
      <c r="J18" s="1316">
        <v>109.343</v>
      </c>
      <c r="K18" s="1316">
        <v>82.745999999999995</v>
      </c>
      <c r="L18" s="701">
        <f t="shared" si="26"/>
        <v>82.745999999999995</v>
      </c>
      <c r="M18" s="1316">
        <v>95.825999999999993</v>
      </c>
      <c r="N18" s="1316">
        <v>111.98</v>
      </c>
      <c r="O18" s="1316">
        <v>112.45</v>
      </c>
      <c r="P18" s="1316">
        <v>95.971000000000004</v>
      </c>
      <c r="Q18" s="701">
        <f t="shared" si="27"/>
        <v>95.971000000000004</v>
      </c>
      <c r="R18" s="1316">
        <v>95.971000000000004</v>
      </c>
      <c r="S18" s="1316">
        <v>110.232</v>
      </c>
      <c r="T18" s="1316">
        <v>110.26</v>
      </c>
      <c r="U18" s="1316">
        <v>110.28700000000001</v>
      </c>
      <c r="V18" s="701">
        <f t="shared" si="28"/>
        <v>110.28700000000001</v>
      </c>
      <c r="W18" s="1316">
        <v>119.08199999999999</v>
      </c>
      <c r="X18" s="1316">
        <v>119.08199999999999</v>
      </c>
      <c r="Y18" s="1316">
        <v>118.68300000000001</v>
      </c>
      <c r="Z18" s="1316">
        <v>118.68300000000001</v>
      </c>
      <c r="AA18" s="701">
        <f>Z18</f>
        <v>118.68300000000001</v>
      </c>
      <c r="AB18" s="702">
        <v>2126.1729999999998</v>
      </c>
      <c r="AC18" s="703">
        <v>2143.625</v>
      </c>
      <c r="AD18" s="703">
        <v>2147.5569999999998</v>
      </c>
      <c r="AE18" s="704">
        <v>2149.4940000000001</v>
      </c>
      <c r="AF18" s="701">
        <f t="shared" si="30"/>
        <v>2149.4940000000001</v>
      </c>
      <c r="AG18" s="702">
        <v>2134.058</v>
      </c>
      <c r="AH18" s="703">
        <v>2147.0340000000001</v>
      </c>
      <c r="AI18" s="703">
        <v>2153.0929999999998</v>
      </c>
      <c r="AJ18" s="704">
        <v>2148.1019999999999</v>
      </c>
      <c r="AK18" s="701">
        <f t="shared" si="31"/>
        <v>2148.1019999999999</v>
      </c>
      <c r="AL18" s="702">
        <v>2144.3679999999999</v>
      </c>
      <c r="AM18" s="703">
        <v>2135.1669999999999</v>
      </c>
      <c r="AN18" s="703">
        <v>2134.0320000000002</v>
      </c>
      <c r="AO18" s="704">
        <v>2134.73</v>
      </c>
      <c r="AP18" s="701">
        <f t="shared" si="32"/>
        <v>2134.73</v>
      </c>
      <c r="AQ18" s="702">
        <v>2132.375</v>
      </c>
      <c r="AR18" s="703">
        <v>2134.9969999999998</v>
      </c>
      <c r="AS18" s="703">
        <v>2125.9459999999999</v>
      </c>
      <c r="AT18" s="703">
        <v>3468.1709999999998</v>
      </c>
      <c r="AU18" s="701">
        <f t="shared" si="33"/>
        <v>3468.1709999999998</v>
      </c>
      <c r="AV18" s="702">
        <v>3494.0729999999999</v>
      </c>
      <c r="AW18" s="703">
        <v>3488.252</v>
      </c>
      <c r="AX18" s="703">
        <v>3489.9380000000001</v>
      </c>
      <c r="AY18" s="703">
        <v>3641.8440000000001</v>
      </c>
      <c r="AZ18" s="701">
        <f t="shared" si="34"/>
        <v>3641.8440000000001</v>
      </c>
      <c r="BA18" s="702">
        <v>3686.0729999999999</v>
      </c>
      <c r="BB18" s="703">
        <v>3693.5050000000001</v>
      </c>
      <c r="BC18" s="703">
        <v>3740.1990000000001</v>
      </c>
      <c r="BD18" s="703">
        <v>3849.2170000000001</v>
      </c>
      <c r="BE18" s="701">
        <f t="shared" si="35"/>
        <v>3849.2170000000001</v>
      </c>
      <c r="BF18" s="702">
        <v>4138.0770000000002</v>
      </c>
      <c r="BG18" s="703">
        <v>4122.8130000000001</v>
      </c>
      <c r="BH18" s="703">
        <v>4126.5479999999998</v>
      </c>
      <c r="BI18" s="703">
        <v>4133.259</v>
      </c>
      <c r="BJ18" s="1379">
        <f t="shared" si="36"/>
        <v>4133.259</v>
      </c>
      <c r="BK18" s="702">
        <v>4221.4870000000001</v>
      </c>
      <c r="BL18" s="703">
        <v>4225.1689999999999</v>
      </c>
      <c r="BM18" s="703">
        <v>4752.3149999999996</v>
      </c>
      <c r="BN18" s="703">
        <v>4771.9809999999998</v>
      </c>
      <c r="BO18" s="1379">
        <f t="shared" si="37"/>
        <v>4771.9809999999998</v>
      </c>
      <c r="BP18" s="702">
        <v>4782.4480000000003</v>
      </c>
      <c r="BQ18" s="703">
        <v>4773.7979999999998</v>
      </c>
      <c r="BR18" s="703">
        <v>4746.7809999999999</v>
      </c>
      <c r="BS18" s="703">
        <v>4721.9620000000004</v>
      </c>
      <c r="BT18" s="1379">
        <f t="shared" si="38"/>
        <v>4721.9620000000004</v>
      </c>
      <c r="BU18" s="702">
        <v>5396.174</v>
      </c>
      <c r="BV18" s="703">
        <v>5388.9709999999995</v>
      </c>
      <c r="BW18" s="703">
        <v>5402.1589999999997</v>
      </c>
      <c r="BX18" s="703">
        <v>5366.8810000000003</v>
      </c>
      <c r="BY18" s="1379">
        <f t="shared" si="39"/>
        <v>5366.8810000000003</v>
      </c>
      <c r="BZ18" s="702">
        <v>5389</v>
      </c>
      <c r="CA18" s="703">
        <v>5444.5559999999996</v>
      </c>
      <c r="CB18" s="1652">
        <v>5433.18</v>
      </c>
      <c r="CC18" s="1652">
        <v>5406.4740000000002</v>
      </c>
      <c r="CD18" s="1688">
        <f t="shared" si="40"/>
        <v>5406.4740000000002</v>
      </c>
      <c r="CE18" s="702">
        <v>5753.5749999999998</v>
      </c>
      <c r="CF18" s="1652">
        <v>5788.7030000000004</v>
      </c>
      <c r="CG18" s="1652">
        <v>5820.6559999999999</v>
      </c>
      <c r="CH18" s="1652">
        <v>5821.5609999999997</v>
      </c>
      <c r="CI18" s="1688">
        <f t="shared" si="41"/>
        <v>5821.5609999999997</v>
      </c>
      <c r="CJ18" s="1600">
        <v>5843.8990000000003</v>
      </c>
      <c r="CK18" s="1600">
        <f>CJ18</f>
        <v>5843.8990000000003</v>
      </c>
      <c r="CL18" s="1600">
        <f>CK18</f>
        <v>5843.8990000000003</v>
      </c>
      <c r="CM18" s="1600">
        <f>CL18</f>
        <v>5843.8990000000003</v>
      </c>
      <c r="CN18" s="1606">
        <f t="shared" si="42"/>
        <v>5843.8990000000003</v>
      </c>
      <c r="CO18" s="1600">
        <f>CM18</f>
        <v>5843.8990000000003</v>
      </c>
      <c r="CP18" s="1600">
        <f>CO18</f>
        <v>5843.8990000000003</v>
      </c>
      <c r="CQ18" s="1600">
        <f>CP18</f>
        <v>5843.8990000000003</v>
      </c>
      <c r="CR18" s="1600">
        <f>CQ18</f>
        <v>5843.8990000000003</v>
      </c>
      <c r="CS18" s="1606">
        <f t="shared" si="43"/>
        <v>5843.8990000000003</v>
      </c>
      <c r="CT18" s="1600">
        <f>CR18</f>
        <v>5843.8990000000003</v>
      </c>
      <c r="CU18" s="1600">
        <f>CT18</f>
        <v>5843.8990000000003</v>
      </c>
      <c r="CV18" s="1600">
        <f>CU18</f>
        <v>5843.8990000000003</v>
      </c>
      <c r="CW18" s="1600">
        <f>CV18</f>
        <v>5843.8990000000003</v>
      </c>
      <c r="CX18" s="1883">
        <f t="shared" si="44"/>
        <v>5843.8990000000003</v>
      </c>
      <c r="DB18" s="685"/>
      <c r="DC18" s="697"/>
      <c r="DD18" s="1615"/>
      <c r="DE18" s="697"/>
    </row>
    <row r="19" spans="1:109" ht="10.5" customHeight="1">
      <c r="A19" s="1881" t="s">
        <v>607</v>
      </c>
      <c r="B19" s="1882"/>
      <c r="C19" s="1316"/>
      <c r="D19" s="1316"/>
      <c r="E19" s="1316"/>
      <c r="F19" s="1316"/>
      <c r="G19" s="701">
        <f t="shared" si="25"/>
        <v>0</v>
      </c>
      <c r="H19" s="1316"/>
      <c r="I19" s="1316"/>
      <c r="J19" s="1316"/>
      <c r="K19" s="1316">
        <v>16.067</v>
      </c>
      <c r="L19" s="701">
        <f t="shared" si="26"/>
        <v>16.067</v>
      </c>
      <c r="M19" s="1316"/>
      <c r="N19" s="1316"/>
      <c r="O19" s="1316"/>
      <c r="P19" s="1316">
        <v>15.318</v>
      </c>
      <c r="Q19" s="701">
        <f t="shared" si="27"/>
        <v>15.318</v>
      </c>
      <c r="R19" s="1316">
        <v>15.161</v>
      </c>
      <c r="S19" s="1316">
        <v>14.811999999999999</v>
      </c>
      <c r="T19" s="1316">
        <v>14.2</v>
      </c>
      <c r="U19" s="1316">
        <v>15.513</v>
      </c>
      <c r="V19" s="701">
        <f t="shared" si="28"/>
        <v>15.513</v>
      </c>
      <c r="W19" s="1316">
        <v>17.814</v>
      </c>
      <c r="X19" s="1316">
        <v>17.108000000000001</v>
      </c>
      <c r="Y19" s="1316">
        <v>16.803999999999998</v>
      </c>
      <c r="Z19" s="1316">
        <v>16.477</v>
      </c>
      <c r="AA19" s="701">
        <f t="shared" si="29"/>
        <v>16.477</v>
      </c>
      <c r="AB19" s="702">
        <v>641.89400000000001</v>
      </c>
      <c r="AC19" s="703">
        <v>593.57000000000005</v>
      </c>
      <c r="AD19" s="703">
        <v>541.54200000000003</v>
      </c>
      <c r="AE19" s="704">
        <v>506.40499999999997</v>
      </c>
      <c r="AF19" s="701">
        <f t="shared" si="30"/>
        <v>506.40499999999997</v>
      </c>
      <c r="AG19" s="702">
        <v>464.33800000000002</v>
      </c>
      <c r="AH19" s="703">
        <v>476.97800000000001</v>
      </c>
      <c r="AI19" s="703">
        <v>438.26</v>
      </c>
      <c r="AJ19" s="704">
        <v>402.61900000000003</v>
      </c>
      <c r="AK19" s="701">
        <f t="shared" si="31"/>
        <v>402.61900000000003</v>
      </c>
      <c r="AL19" s="702">
        <v>357.221</v>
      </c>
      <c r="AM19" s="703">
        <v>313.245</v>
      </c>
      <c r="AN19" s="703">
        <v>246.40100000000001</v>
      </c>
      <c r="AO19" s="704">
        <v>214.96</v>
      </c>
      <c r="AP19" s="701">
        <f t="shared" si="32"/>
        <v>214.96</v>
      </c>
      <c r="AQ19" s="702">
        <v>181.46799999999999</v>
      </c>
      <c r="AR19" s="703">
        <v>148.50700000000001</v>
      </c>
      <c r="AS19" s="703">
        <v>117.384</v>
      </c>
      <c r="AT19" s="703">
        <v>527.38699999999994</v>
      </c>
      <c r="AU19" s="701">
        <f t="shared" si="33"/>
        <v>527.38699999999994</v>
      </c>
      <c r="AV19" s="702">
        <v>487.60500000000002</v>
      </c>
      <c r="AW19" s="703">
        <v>447.37200000000001</v>
      </c>
      <c r="AX19" s="703">
        <v>413.09100000000001</v>
      </c>
      <c r="AY19" s="703">
        <v>457.26299999999998</v>
      </c>
      <c r="AZ19" s="701">
        <f t="shared" si="34"/>
        <v>457.26299999999998</v>
      </c>
      <c r="BA19" s="702">
        <v>447.61599999999999</v>
      </c>
      <c r="BB19" s="703">
        <v>424.19900000000001</v>
      </c>
      <c r="BC19" s="703">
        <v>419.82400000000001</v>
      </c>
      <c r="BD19" s="703">
        <v>545.52599999999995</v>
      </c>
      <c r="BE19" s="701">
        <f t="shared" si="35"/>
        <v>545.52599999999995</v>
      </c>
      <c r="BF19" s="702">
        <v>637.82500000000005</v>
      </c>
      <c r="BG19" s="703">
        <v>600.33199999999999</v>
      </c>
      <c r="BH19" s="703">
        <v>576.94799999999998</v>
      </c>
      <c r="BI19" s="703">
        <v>545.03599999999994</v>
      </c>
      <c r="BJ19" s="1379">
        <f t="shared" si="36"/>
        <v>545.03599999999994</v>
      </c>
      <c r="BK19" s="702">
        <v>580.56799999999998</v>
      </c>
      <c r="BL19" s="703">
        <v>551.26499999999999</v>
      </c>
      <c r="BM19" s="703">
        <v>637.95699999999999</v>
      </c>
      <c r="BN19" s="703">
        <v>605.25400000000002</v>
      </c>
      <c r="BO19" s="1379">
        <f t="shared" si="37"/>
        <v>605.25400000000002</v>
      </c>
      <c r="BP19" s="702">
        <v>570.17100000000005</v>
      </c>
      <c r="BQ19" s="703">
        <v>532.31700000000001</v>
      </c>
      <c r="BR19" s="703">
        <v>490.839</v>
      </c>
      <c r="BS19" s="703">
        <v>469.66199999999998</v>
      </c>
      <c r="BT19" s="1379">
        <f t="shared" si="38"/>
        <v>469.66199999999998</v>
      </c>
      <c r="BU19" s="702">
        <v>629.31700000000001</v>
      </c>
      <c r="BV19" s="703">
        <v>583.19799999999998</v>
      </c>
      <c r="BW19" s="703">
        <v>556.80999999999995</v>
      </c>
      <c r="BX19" s="703">
        <v>510.00700000000001</v>
      </c>
      <c r="BY19" s="1379">
        <f t="shared" si="39"/>
        <v>510.00700000000001</v>
      </c>
      <c r="BZ19" s="702">
        <v>518.68600000000004</v>
      </c>
      <c r="CA19" s="703">
        <v>494.19299999999998</v>
      </c>
      <c r="CB19" s="1652">
        <v>454.23</v>
      </c>
      <c r="CC19" s="1652">
        <v>414.40499999999997</v>
      </c>
      <c r="CD19" s="1688">
        <f t="shared" si="40"/>
        <v>414.40499999999997</v>
      </c>
      <c r="CE19" s="702">
        <v>489.202</v>
      </c>
      <c r="CF19" s="1652">
        <v>453.834</v>
      </c>
      <c r="CG19" s="1652">
        <v>420.66699999999997</v>
      </c>
      <c r="CH19" s="1652">
        <v>385.65800000000002</v>
      </c>
      <c r="CI19" s="1688">
        <f t="shared" si="41"/>
        <v>385.65800000000002</v>
      </c>
      <c r="CJ19" s="1600">
        <v>353.74</v>
      </c>
      <c r="CK19" s="1600">
        <f>CK136</f>
        <v>323.74</v>
      </c>
      <c r="CL19" s="1600">
        <f>CL136</f>
        <v>293.74</v>
      </c>
      <c r="CM19" s="1600">
        <f>CM136</f>
        <v>263.74</v>
      </c>
      <c r="CN19" s="1606">
        <f t="shared" si="42"/>
        <v>263.74</v>
      </c>
      <c r="CO19" s="1600">
        <f>CO136</f>
        <v>233.74</v>
      </c>
      <c r="CP19" s="1600">
        <f>CP136</f>
        <v>203.74</v>
      </c>
      <c r="CQ19" s="1600">
        <f>CQ136</f>
        <v>173.74</v>
      </c>
      <c r="CR19" s="1600">
        <f>CR136</f>
        <v>143.74</v>
      </c>
      <c r="CS19" s="1606">
        <f t="shared" si="43"/>
        <v>143.74</v>
      </c>
      <c r="CT19" s="1600">
        <f>CT136</f>
        <v>113.74000000000001</v>
      </c>
      <c r="CU19" s="1600">
        <f>CU136</f>
        <v>83.740000000000009</v>
      </c>
      <c r="CV19" s="1600">
        <f>CV136</f>
        <v>53.740000000000009</v>
      </c>
      <c r="CW19" s="1600">
        <f>CW136</f>
        <v>23.740000000000009</v>
      </c>
      <c r="CX19" s="1883">
        <f t="shared" si="44"/>
        <v>23.740000000000009</v>
      </c>
      <c r="DB19" s="685"/>
      <c r="DC19" s="697"/>
      <c r="DD19" s="1615"/>
      <c r="DE19" s="697"/>
    </row>
    <row r="20" spans="1:109" ht="10.5" customHeight="1">
      <c r="A20" s="1881" t="s">
        <v>355</v>
      </c>
      <c r="B20" s="1882"/>
      <c r="C20" s="1316"/>
      <c r="D20" s="1316"/>
      <c r="E20" s="1316"/>
      <c r="F20" s="1316"/>
      <c r="G20" s="701">
        <f t="shared" si="25"/>
        <v>0</v>
      </c>
      <c r="H20" s="1316"/>
      <c r="I20" s="1316"/>
      <c r="J20" s="1316"/>
      <c r="K20" s="1316"/>
      <c r="L20" s="701">
        <f t="shared" si="26"/>
        <v>0</v>
      </c>
      <c r="M20" s="1316"/>
      <c r="N20" s="1316"/>
      <c r="O20" s="1316"/>
      <c r="P20" s="1316"/>
      <c r="Q20" s="701">
        <f t="shared" si="27"/>
        <v>0</v>
      </c>
      <c r="R20" s="1316"/>
      <c r="S20" s="1316"/>
      <c r="T20" s="1316">
        <v>126.8</v>
      </c>
      <c r="U20" s="1316">
        <v>126.8</v>
      </c>
      <c r="V20" s="701">
        <f t="shared" si="28"/>
        <v>126.8</v>
      </c>
      <c r="W20" s="1316">
        <v>126.8</v>
      </c>
      <c r="X20" s="1316">
        <v>126.8</v>
      </c>
      <c r="Y20" s="1316">
        <v>126.8</v>
      </c>
      <c r="Z20" s="1316">
        <v>126.8</v>
      </c>
      <c r="AA20" s="701">
        <f>Z20</f>
        <v>126.8</v>
      </c>
      <c r="AB20" s="702">
        <v>126.8</v>
      </c>
      <c r="AC20" s="703">
        <v>126.8</v>
      </c>
      <c r="AD20" s="703">
        <v>126.8</v>
      </c>
      <c r="AE20" s="704">
        <v>126.8</v>
      </c>
      <c r="AF20" s="701">
        <f>AE20</f>
        <v>126.8</v>
      </c>
      <c r="AG20" s="702">
        <v>126.8</v>
      </c>
      <c r="AH20" s="703">
        <v>207.239</v>
      </c>
      <c r="AI20" s="703">
        <v>207.239</v>
      </c>
      <c r="AJ20" s="704">
        <v>207.239</v>
      </c>
      <c r="AK20" s="701">
        <f t="shared" si="31"/>
        <v>207.239</v>
      </c>
      <c r="AL20" s="702">
        <v>207.239</v>
      </c>
      <c r="AM20" s="703">
        <v>207.239</v>
      </c>
      <c r="AN20" s="703">
        <v>207.239</v>
      </c>
      <c r="AO20" s="704">
        <v>207.239</v>
      </c>
      <c r="AP20" s="701">
        <f t="shared" si="32"/>
        <v>207.239</v>
      </c>
      <c r="AQ20" s="702">
        <v>207.239</v>
      </c>
      <c r="AR20" s="703">
        <v>207.239</v>
      </c>
      <c r="AS20" s="703">
        <v>207.239</v>
      </c>
      <c r="AT20" s="703">
        <v>207.239</v>
      </c>
      <c r="AU20" s="701">
        <f t="shared" si="33"/>
        <v>207.239</v>
      </c>
      <c r="AV20" s="702">
        <v>207.239</v>
      </c>
      <c r="AW20" s="703">
        <v>207.239</v>
      </c>
      <c r="AX20" s="703">
        <v>207.239</v>
      </c>
      <c r="AY20" s="703">
        <v>207.239</v>
      </c>
      <c r="AZ20" s="701">
        <f t="shared" si="34"/>
        <v>207.239</v>
      </c>
      <c r="BA20" s="702">
        <v>207.239</v>
      </c>
      <c r="BB20" s="703">
        <v>207.239</v>
      </c>
      <c r="BC20" s="703">
        <v>207.239</v>
      </c>
      <c r="BD20" s="703">
        <v>207.239</v>
      </c>
      <c r="BE20" s="701">
        <f t="shared" si="35"/>
        <v>207.239</v>
      </c>
      <c r="BF20" s="702">
        <v>207.239</v>
      </c>
      <c r="BG20" s="703">
        <v>207.239</v>
      </c>
      <c r="BH20" s="703">
        <v>207.239</v>
      </c>
      <c r="BI20" s="703">
        <v>207.239</v>
      </c>
      <c r="BJ20" s="1379">
        <f t="shared" si="36"/>
        <v>207.239</v>
      </c>
      <c r="BK20" s="702">
        <v>207.239</v>
      </c>
      <c r="BL20" s="703">
        <v>207.239</v>
      </c>
      <c r="BM20" s="703">
        <v>207.239</v>
      </c>
      <c r="BN20" s="703">
        <v>207.239</v>
      </c>
      <c r="BO20" s="1379">
        <f t="shared" si="37"/>
        <v>207.239</v>
      </c>
      <c r="BP20" s="702">
        <v>207.239</v>
      </c>
      <c r="BQ20" s="703">
        <v>207.239</v>
      </c>
      <c r="BR20" s="703">
        <v>80.438999999999993</v>
      </c>
      <c r="BS20" s="703">
        <v>80.438999999999993</v>
      </c>
      <c r="BT20" s="1379">
        <f t="shared" si="38"/>
        <v>80.438999999999993</v>
      </c>
      <c r="BU20" s="702">
        <v>80.438999999999993</v>
      </c>
      <c r="BV20" s="703">
        <v>80.438999999999993</v>
      </c>
      <c r="BW20" s="703">
        <v>80.438999999999993</v>
      </c>
      <c r="BX20" s="703">
        <v>80.438999999999993</v>
      </c>
      <c r="BY20" s="1379">
        <f t="shared" si="39"/>
        <v>80.438999999999993</v>
      </c>
      <c r="BZ20" s="702">
        <v>80.438999999999993</v>
      </c>
      <c r="CA20" s="703">
        <v>80.438999999999993</v>
      </c>
      <c r="CB20" s="1652">
        <v>80.438999999999993</v>
      </c>
      <c r="CC20" s="1652">
        <v>80.438999999999993</v>
      </c>
      <c r="CD20" s="1688">
        <f t="shared" si="40"/>
        <v>80.438999999999993</v>
      </c>
      <c r="CE20" s="702">
        <v>80.438999999999993</v>
      </c>
      <c r="CF20" s="1652">
        <v>0</v>
      </c>
      <c r="CG20" s="1652">
        <v>0</v>
      </c>
      <c r="CH20" s="1652">
        <v>0</v>
      </c>
      <c r="CI20" s="1688">
        <f t="shared" si="41"/>
        <v>0</v>
      </c>
      <c r="CJ20" s="1600">
        <v>0</v>
      </c>
      <c r="CK20" s="1600">
        <f t="shared" ref="CK20:CM21" si="45">CJ20</f>
        <v>0</v>
      </c>
      <c r="CL20" s="1600">
        <f t="shared" si="45"/>
        <v>0</v>
      </c>
      <c r="CM20" s="1600">
        <f t="shared" si="45"/>
        <v>0</v>
      </c>
      <c r="CN20" s="1606">
        <f t="shared" si="42"/>
        <v>0</v>
      </c>
      <c r="CO20" s="1600">
        <f>CM20</f>
        <v>0</v>
      </c>
      <c r="CP20" s="1600">
        <f t="shared" ref="CP20:CR21" si="46">CO20</f>
        <v>0</v>
      </c>
      <c r="CQ20" s="1600">
        <f t="shared" si="46"/>
        <v>0</v>
      </c>
      <c r="CR20" s="1600">
        <f t="shared" si="46"/>
        <v>0</v>
      </c>
      <c r="CS20" s="1606">
        <f t="shared" si="43"/>
        <v>0</v>
      </c>
      <c r="CT20" s="1600">
        <f>CR20</f>
        <v>0</v>
      </c>
      <c r="CU20" s="1600">
        <f t="shared" ref="CU20:CU21" si="47">CT20</f>
        <v>0</v>
      </c>
      <c r="CV20" s="1600">
        <f t="shared" ref="CV20:CV21" si="48">CU20</f>
        <v>0</v>
      </c>
      <c r="CW20" s="1600">
        <f t="shared" ref="CW20:CW21" si="49">CV20</f>
        <v>0</v>
      </c>
      <c r="CX20" s="1883">
        <f t="shared" si="44"/>
        <v>0</v>
      </c>
      <c r="DB20" s="685"/>
      <c r="DC20" s="697"/>
      <c r="DD20" s="1615"/>
      <c r="DE20" s="697"/>
    </row>
    <row r="21" spans="1:109" ht="10.5" customHeight="1">
      <c r="A21" s="1881" t="s">
        <v>36</v>
      </c>
      <c r="B21" s="1882"/>
      <c r="C21" s="1316"/>
      <c r="D21" s="1316"/>
      <c r="E21" s="1316"/>
      <c r="F21" s="1316">
        <v>11.593999999999999</v>
      </c>
      <c r="G21" s="701">
        <f>F21</f>
        <v>11.593999999999999</v>
      </c>
      <c r="H21" s="1316">
        <v>12.561999999999999</v>
      </c>
      <c r="I21" s="1316">
        <v>17.335999999999999</v>
      </c>
      <c r="J21" s="1316">
        <v>23.212</v>
      </c>
      <c r="K21" s="1316">
        <v>43.085000000000001</v>
      </c>
      <c r="L21" s="701">
        <f>K21</f>
        <v>43.085000000000001</v>
      </c>
      <c r="M21" s="1316">
        <v>26.242999999999999</v>
      </c>
      <c r="N21" s="1316">
        <v>25.728000000000002</v>
      </c>
      <c r="O21" s="1316">
        <v>24.797000000000001</v>
      </c>
      <c r="P21" s="1316">
        <v>0</v>
      </c>
      <c r="Q21" s="701">
        <f>P21</f>
        <v>0</v>
      </c>
      <c r="R21" s="1316">
        <v>0</v>
      </c>
      <c r="S21" s="1316">
        <v>0</v>
      </c>
      <c r="T21" s="1316">
        <v>0</v>
      </c>
      <c r="U21" s="1316">
        <v>0</v>
      </c>
      <c r="V21" s="701">
        <f>U21</f>
        <v>0</v>
      </c>
      <c r="W21" s="1316">
        <v>0</v>
      </c>
      <c r="X21" s="1316">
        <v>0</v>
      </c>
      <c r="Y21" s="1316">
        <v>0</v>
      </c>
      <c r="Z21" s="1316">
        <v>0</v>
      </c>
      <c r="AA21" s="701">
        <f>Z21</f>
        <v>0</v>
      </c>
      <c r="AB21" s="702">
        <v>0</v>
      </c>
      <c r="AC21" s="703">
        <v>0</v>
      </c>
      <c r="AD21" s="703">
        <v>0</v>
      </c>
      <c r="AE21" s="704">
        <v>0</v>
      </c>
      <c r="AF21" s="701">
        <f>AE21</f>
        <v>0</v>
      </c>
      <c r="AG21" s="702">
        <v>0</v>
      </c>
      <c r="AH21" s="703">
        <v>0</v>
      </c>
      <c r="AI21" s="703">
        <v>0</v>
      </c>
      <c r="AJ21" s="704">
        <v>0</v>
      </c>
      <c r="AK21" s="701">
        <f>AJ21</f>
        <v>0</v>
      </c>
      <c r="AL21" s="702">
        <v>0</v>
      </c>
      <c r="AM21" s="703">
        <v>0</v>
      </c>
      <c r="AN21" s="703">
        <v>0</v>
      </c>
      <c r="AO21" s="704">
        <v>0</v>
      </c>
      <c r="AP21" s="701">
        <f>AO21</f>
        <v>0</v>
      </c>
      <c r="AQ21" s="702">
        <v>0</v>
      </c>
      <c r="AR21" s="703">
        <v>0</v>
      </c>
      <c r="AS21" s="703">
        <v>0</v>
      </c>
      <c r="AT21" s="703">
        <v>0</v>
      </c>
      <c r="AU21" s="701">
        <f>AT21</f>
        <v>0</v>
      </c>
      <c r="AV21" s="702">
        <v>0</v>
      </c>
      <c r="AW21" s="703">
        <v>0</v>
      </c>
      <c r="AX21" s="703">
        <v>0</v>
      </c>
      <c r="AY21" s="703">
        <v>0</v>
      </c>
      <c r="AZ21" s="701">
        <f>AY21</f>
        <v>0</v>
      </c>
      <c r="BA21" s="702">
        <v>0</v>
      </c>
      <c r="BB21" s="703">
        <v>0</v>
      </c>
      <c r="BC21" s="703">
        <v>0</v>
      </c>
      <c r="BD21" s="703">
        <v>0</v>
      </c>
      <c r="BE21" s="701">
        <f>BD21</f>
        <v>0</v>
      </c>
      <c r="BF21" s="702">
        <v>0</v>
      </c>
      <c r="BG21" s="703">
        <v>0</v>
      </c>
      <c r="BH21" s="703">
        <v>0</v>
      </c>
      <c r="BI21" s="703">
        <v>0</v>
      </c>
      <c r="BJ21" s="1379">
        <f>BI21</f>
        <v>0</v>
      </c>
      <c r="BK21" s="702">
        <v>0</v>
      </c>
      <c r="BL21" s="703">
        <v>0</v>
      </c>
      <c r="BM21" s="703">
        <v>0</v>
      </c>
      <c r="BN21" s="703">
        <v>0</v>
      </c>
      <c r="BO21" s="1379">
        <f>BN21</f>
        <v>0</v>
      </c>
      <c r="BP21" s="702">
        <v>0</v>
      </c>
      <c r="BQ21" s="703">
        <v>0</v>
      </c>
      <c r="BR21" s="703">
        <v>0</v>
      </c>
      <c r="BS21" s="703">
        <v>0</v>
      </c>
      <c r="BT21" s="1379">
        <f>BS21</f>
        <v>0</v>
      </c>
      <c r="BU21" s="702">
        <v>0</v>
      </c>
      <c r="BV21" s="703">
        <v>0</v>
      </c>
      <c r="BW21" s="703">
        <v>0</v>
      </c>
      <c r="BX21" s="703">
        <v>0</v>
      </c>
      <c r="BY21" s="1379">
        <f>BX21</f>
        <v>0</v>
      </c>
      <c r="BZ21" s="702">
        <v>0</v>
      </c>
      <c r="CA21" s="703">
        <v>0</v>
      </c>
      <c r="CB21" s="1652">
        <v>0</v>
      </c>
      <c r="CC21" s="1652">
        <v>0</v>
      </c>
      <c r="CD21" s="1688">
        <f>CC21</f>
        <v>0</v>
      </c>
      <c r="CE21" s="702">
        <v>0</v>
      </c>
      <c r="CF21" s="1652">
        <v>0</v>
      </c>
      <c r="CG21" s="1652">
        <v>0</v>
      </c>
      <c r="CH21" s="1652">
        <v>0</v>
      </c>
      <c r="CI21" s="1688">
        <f>CH21</f>
        <v>0</v>
      </c>
      <c r="CJ21" s="1600">
        <v>149.71</v>
      </c>
      <c r="CK21" s="1600">
        <f t="shared" si="45"/>
        <v>149.71</v>
      </c>
      <c r="CL21" s="1600">
        <f t="shared" si="45"/>
        <v>149.71</v>
      </c>
      <c r="CM21" s="1600">
        <f t="shared" si="45"/>
        <v>149.71</v>
      </c>
      <c r="CN21" s="1606">
        <f>CM21</f>
        <v>149.71</v>
      </c>
      <c r="CO21" s="1600">
        <f>CM21</f>
        <v>149.71</v>
      </c>
      <c r="CP21" s="1600">
        <f t="shared" si="46"/>
        <v>149.71</v>
      </c>
      <c r="CQ21" s="1600">
        <f t="shared" si="46"/>
        <v>149.71</v>
      </c>
      <c r="CR21" s="1600">
        <f t="shared" si="46"/>
        <v>149.71</v>
      </c>
      <c r="CS21" s="1606">
        <f t="shared" si="43"/>
        <v>149.71</v>
      </c>
      <c r="CT21" s="1600">
        <f>CR21</f>
        <v>149.71</v>
      </c>
      <c r="CU21" s="1600">
        <f t="shared" si="47"/>
        <v>149.71</v>
      </c>
      <c r="CV21" s="1600">
        <f t="shared" si="48"/>
        <v>149.71</v>
      </c>
      <c r="CW21" s="1600">
        <f t="shared" si="49"/>
        <v>149.71</v>
      </c>
      <c r="CX21" s="1883">
        <f t="shared" si="44"/>
        <v>149.71</v>
      </c>
      <c r="DB21" s="685"/>
      <c r="DC21" s="697"/>
      <c r="DD21" s="1615"/>
      <c r="DE21" s="697"/>
    </row>
    <row r="22" spans="1:109" ht="10.5" customHeight="1">
      <c r="A22" s="1881" t="s">
        <v>324</v>
      </c>
      <c r="B22" s="1882"/>
      <c r="C22" s="1316"/>
      <c r="D22" s="1316"/>
      <c r="E22" s="1316"/>
      <c r="F22" s="1316">
        <v>37.652000000000001</v>
      </c>
      <c r="G22" s="701">
        <f t="shared" si="25"/>
        <v>37.652000000000001</v>
      </c>
      <c r="H22" s="1316">
        <v>72.117999999999995</v>
      </c>
      <c r="I22" s="1316">
        <v>35.677</v>
      </c>
      <c r="J22" s="1316">
        <v>39.279000000000003</v>
      </c>
      <c r="K22" s="1316">
        <v>24.45</v>
      </c>
      <c r="L22" s="701">
        <f t="shared" si="26"/>
        <v>24.45</v>
      </c>
      <c r="M22" s="1316">
        <v>42.487000000000002</v>
      </c>
      <c r="N22" s="1316">
        <v>42.356999999999999</v>
      </c>
      <c r="O22" s="1316">
        <v>39.497999999999998</v>
      </c>
      <c r="P22" s="1316">
        <v>37.720999999999997</v>
      </c>
      <c r="Q22" s="701">
        <f t="shared" si="27"/>
        <v>37.720999999999997</v>
      </c>
      <c r="R22" s="1316">
        <v>35.723999999999997</v>
      </c>
      <c r="S22" s="1316">
        <v>38.731000000000002</v>
      </c>
      <c r="T22" s="1316">
        <f>46.948</f>
        <v>46.948</v>
      </c>
      <c r="U22" s="1316">
        <f>55.328</f>
        <v>55.328000000000003</v>
      </c>
      <c r="V22" s="701">
        <f t="shared" si="28"/>
        <v>55.328000000000003</v>
      </c>
      <c r="W22" s="1316">
        <v>58.835000000000001</v>
      </c>
      <c r="X22" s="1316">
        <v>59.723999999999997</v>
      </c>
      <c r="Y22" s="1316">
        <v>58.966000000000001</v>
      </c>
      <c r="Z22" s="1316">
        <v>66.227999999999994</v>
      </c>
      <c r="AA22" s="701">
        <f t="shared" si="29"/>
        <v>66.227999999999994</v>
      </c>
      <c r="AB22" s="702">
        <v>103.175</v>
      </c>
      <c r="AC22" s="703">
        <v>98.853999999999999</v>
      </c>
      <c r="AD22" s="703">
        <v>95.456999999999994</v>
      </c>
      <c r="AE22" s="704">
        <f>68.183</f>
        <v>68.183000000000007</v>
      </c>
      <c r="AF22" s="701">
        <f t="shared" si="30"/>
        <v>68.183000000000007</v>
      </c>
      <c r="AG22" s="702">
        <v>63.088999999999999</v>
      </c>
      <c r="AH22" s="703">
        <v>85.781999999999996</v>
      </c>
      <c r="AI22" s="703">
        <v>83.917000000000002</v>
      </c>
      <c r="AJ22" s="704">
        <v>92.983999999999995</v>
      </c>
      <c r="AK22" s="701">
        <f t="shared" si="31"/>
        <v>92.983999999999995</v>
      </c>
      <c r="AL22" s="702">
        <v>108.279</v>
      </c>
      <c r="AM22" s="703">
        <v>122.926</v>
      </c>
      <c r="AN22" s="703">
        <v>216.887</v>
      </c>
      <c r="AO22" s="704">
        <v>216.529</v>
      </c>
      <c r="AP22" s="701">
        <f t="shared" si="32"/>
        <v>216.529</v>
      </c>
      <c r="AQ22" s="702">
        <v>197.14699999999999</v>
      </c>
      <c r="AR22" s="703">
        <v>193.51300000000001</v>
      </c>
      <c r="AS22" s="703">
        <v>184.70500000000001</v>
      </c>
      <c r="AT22" s="703">
        <v>191.26599999999999</v>
      </c>
      <c r="AU22" s="701">
        <f t="shared" si="33"/>
        <v>191.26599999999999</v>
      </c>
      <c r="AV22" s="702">
        <v>192.72800000000001</v>
      </c>
      <c r="AW22" s="703">
        <v>180.376</v>
      </c>
      <c r="AX22" s="703">
        <v>177.42599999999999</v>
      </c>
      <c r="AY22" s="703">
        <v>169.87100000000001</v>
      </c>
      <c r="AZ22" s="701">
        <f t="shared" si="34"/>
        <v>169.87100000000001</v>
      </c>
      <c r="BA22" s="702">
        <v>164.80099999999999</v>
      </c>
      <c r="BB22" s="703">
        <v>162.04</v>
      </c>
      <c r="BC22" s="703">
        <v>157.24100000000001</v>
      </c>
      <c r="BD22" s="703">
        <v>89.921999999999997</v>
      </c>
      <c r="BE22" s="701">
        <f t="shared" si="35"/>
        <v>89.921999999999997</v>
      </c>
      <c r="BF22" s="702">
        <v>94.132000000000005</v>
      </c>
      <c r="BG22" s="703">
        <v>91.075000000000003</v>
      </c>
      <c r="BH22" s="703">
        <v>89.712999999999994</v>
      </c>
      <c r="BI22" s="703">
        <v>93.326999999999998</v>
      </c>
      <c r="BJ22" s="1379">
        <f t="shared" si="36"/>
        <v>93.326999999999998</v>
      </c>
      <c r="BK22" s="702">
        <v>97.32</v>
      </c>
      <c r="BL22" s="703">
        <v>93.174000000000007</v>
      </c>
      <c r="BM22" s="703">
        <v>90.774000000000001</v>
      </c>
      <c r="BN22" s="703">
        <v>90.120999999999995</v>
      </c>
      <c r="BO22" s="1379">
        <f t="shared" si="37"/>
        <v>90.120999999999995</v>
      </c>
      <c r="BP22" s="702">
        <v>92.55</v>
      </c>
      <c r="BQ22" s="703">
        <v>102.05200000000001</v>
      </c>
      <c r="BR22" s="703">
        <v>110.297</v>
      </c>
      <c r="BS22" s="703">
        <v>126.315</v>
      </c>
      <c r="BT22" s="1379">
        <f t="shared" si="38"/>
        <v>126.315</v>
      </c>
      <c r="BU22" s="702">
        <v>146.01900000000001</v>
      </c>
      <c r="BV22" s="703">
        <v>149.179</v>
      </c>
      <c r="BW22" s="703">
        <v>145.63499999999999</v>
      </c>
      <c r="BX22" s="703">
        <v>159.83199999999999</v>
      </c>
      <c r="BY22" s="1379">
        <f t="shared" si="39"/>
        <v>159.83199999999999</v>
      </c>
      <c r="BZ22" s="702">
        <v>178.291</v>
      </c>
      <c r="CA22" s="703">
        <v>162.95400000000001</v>
      </c>
      <c r="CB22" s="1652">
        <v>169.358</v>
      </c>
      <c r="CC22" s="1652">
        <v>149.75800000000001</v>
      </c>
      <c r="CD22" s="1688">
        <f t="shared" si="40"/>
        <v>149.75800000000001</v>
      </c>
      <c r="CE22" s="702">
        <v>144.27500000000001</v>
      </c>
      <c r="CF22" s="1652">
        <v>146.05799999999999</v>
      </c>
      <c r="CG22" s="1652">
        <v>144.626</v>
      </c>
      <c r="CH22" s="1652">
        <v>143.548</v>
      </c>
      <c r="CI22" s="1688">
        <f t="shared" si="41"/>
        <v>143.548</v>
      </c>
      <c r="CJ22" s="1600">
        <v>153.648</v>
      </c>
      <c r="CK22" s="1600">
        <f>BS!CK110*Model!CK24</f>
        <v>179.25640034489587</v>
      </c>
      <c r="CL22" s="1600">
        <f>BS!CL110*Model!CL24</f>
        <v>177.65076072777333</v>
      </c>
      <c r="CM22" s="1600">
        <f>BS!CM110*Model!CM24</f>
        <v>170.24669813521106</v>
      </c>
      <c r="CN22" s="1606">
        <f t="shared" si="42"/>
        <v>170.24669813521106</v>
      </c>
      <c r="CO22" s="1600">
        <f>BS!CO110*Model!CO24</f>
        <v>219.46189017833294</v>
      </c>
      <c r="CP22" s="1600">
        <f>BS!CP110*Model!CP24</f>
        <v>250.45415215314415</v>
      </c>
      <c r="CQ22" s="1600">
        <f>BS!CQ110*Model!CQ24</f>
        <v>250.55323076700978</v>
      </c>
      <c r="CR22" s="1600">
        <f>BS!CR110*Model!CR24</f>
        <v>243.75202704585104</v>
      </c>
      <c r="CS22" s="1606">
        <f t="shared" si="43"/>
        <v>243.75202704585104</v>
      </c>
      <c r="CT22" s="1600">
        <f>BS!CT110*Model!CT24</f>
        <v>258.22544098004431</v>
      </c>
      <c r="CU22" s="1600">
        <f>BS!CU110*Model!CU24</f>
        <v>292.62958156732498</v>
      </c>
      <c r="CV22" s="1600">
        <f>BS!CV110*Model!CV24</f>
        <v>290.49548571522422</v>
      </c>
      <c r="CW22" s="1600">
        <f>BS!CW110*Model!CW24</f>
        <v>280.52871315906913</v>
      </c>
      <c r="CX22" s="1883">
        <f t="shared" si="44"/>
        <v>280.52871315906913</v>
      </c>
      <c r="DB22" s="685"/>
      <c r="DC22" s="697"/>
      <c r="DD22" s="1615"/>
      <c r="DE22" s="697"/>
    </row>
    <row r="23" spans="1:109" ht="10.5" customHeight="1" thickBot="1">
      <c r="A23" s="1881"/>
      <c r="B23" s="1882"/>
      <c r="C23" s="1316"/>
      <c r="D23" s="1316"/>
      <c r="E23" s="1316"/>
      <c r="F23" s="1316"/>
      <c r="G23" s="701"/>
      <c r="H23" s="1316"/>
      <c r="I23" s="1316"/>
      <c r="J23" s="1316"/>
      <c r="K23" s="1316"/>
      <c r="L23" s="701"/>
      <c r="M23" s="1316"/>
      <c r="N23" s="1316"/>
      <c r="O23" s="1316"/>
      <c r="P23" s="1316"/>
      <c r="Q23" s="701"/>
      <c r="R23" s="1316"/>
      <c r="S23" s="1316"/>
      <c r="T23" s="1316"/>
      <c r="U23" s="1316"/>
      <c r="V23" s="701"/>
      <c r="W23" s="1316"/>
      <c r="X23" s="1316"/>
      <c r="Y23" s="1316"/>
      <c r="Z23" s="1316"/>
      <c r="AA23" s="701"/>
      <c r="AB23" s="703"/>
      <c r="AC23" s="703"/>
      <c r="AD23" s="703"/>
      <c r="AE23" s="703"/>
      <c r="AF23" s="701"/>
      <c r="AG23" s="703"/>
      <c r="AH23" s="703"/>
      <c r="AI23" s="703"/>
      <c r="AJ23" s="703"/>
      <c r="AK23" s="701"/>
      <c r="AL23" s="703"/>
      <c r="AM23" s="703"/>
      <c r="AN23" s="703"/>
      <c r="AO23" s="703"/>
      <c r="AP23" s="701"/>
      <c r="AQ23" s="703"/>
      <c r="AR23" s="703"/>
      <c r="AS23" s="703"/>
      <c r="AT23" s="703"/>
      <c r="AU23" s="701"/>
      <c r="AV23" s="703"/>
      <c r="AW23" s="703"/>
      <c r="AX23" s="703"/>
      <c r="AY23" s="703"/>
      <c r="AZ23" s="701"/>
      <c r="BA23" s="703"/>
      <c r="BB23" s="703"/>
      <c r="BC23" s="703"/>
      <c r="BD23" s="703"/>
      <c r="BE23" s="701"/>
      <c r="BF23" s="703"/>
      <c r="BG23" s="703"/>
      <c r="BH23" s="703"/>
      <c r="BI23" s="703"/>
      <c r="BJ23" s="1379"/>
      <c r="BK23" s="703"/>
      <c r="BL23" s="703"/>
      <c r="BM23" s="703"/>
      <c r="BN23" s="703"/>
      <c r="BO23" s="1379"/>
      <c r="BP23" s="703"/>
      <c r="BQ23" s="703"/>
      <c r="BR23" s="703"/>
      <c r="BS23" s="703"/>
      <c r="BT23" s="1379"/>
      <c r="BU23" s="703"/>
      <c r="BV23" s="703"/>
      <c r="BW23" s="703"/>
      <c r="BX23" s="703"/>
      <c r="BY23" s="1379"/>
      <c r="BZ23" s="703"/>
      <c r="CA23" s="703"/>
      <c r="CB23" s="1652"/>
      <c r="CC23" s="1652"/>
      <c r="CD23" s="1688"/>
      <c r="CE23" s="703"/>
      <c r="CF23" s="1652"/>
      <c r="CG23" s="1652"/>
      <c r="CH23" s="1652"/>
      <c r="CI23" s="1688"/>
      <c r="CJ23" s="1600"/>
      <c r="CK23" s="1600"/>
      <c r="CL23" s="1600"/>
      <c r="CM23" s="1600"/>
      <c r="CN23" s="1606"/>
      <c r="CO23" s="1600"/>
      <c r="CP23" s="1600"/>
      <c r="CQ23" s="1600"/>
      <c r="CR23" s="1600"/>
      <c r="CS23" s="1606"/>
      <c r="CT23" s="1600"/>
      <c r="CU23" s="1600"/>
      <c r="CV23" s="1600"/>
      <c r="CW23" s="1600"/>
      <c r="CX23" s="1883"/>
      <c r="DB23" s="685"/>
      <c r="DC23" s="697"/>
      <c r="DD23" s="1615"/>
      <c r="DE23" s="697"/>
    </row>
    <row r="24" spans="1:109" ht="13.5" customHeight="1" thickBot="1">
      <c r="A24" s="1888" t="s">
        <v>38</v>
      </c>
      <c r="B24" s="711"/>
      <c r="C24" s="712">
        <f>SUM(C15:C22)</f>
        <v>0</v>
      </c>
      <c r="D24" s="712">
        <f>SUM(D15:D22)</f>
        <v>0</v>
      </c>
      <c r="E24" s="712">
        <f>SUM(E15:E22)</f>
        <v>0</v>
      </c>
      <c r="F24" s="712">
        <f>SUM(F15:F22)</f>
        <v>932.17300000000012</v>
      </c>
      <c r="G24" s="713">
        <f t="shared" si="25"/>
        <v>932.17300000000012</v>
      </c>
      <c r="H24" s="712">
        <f>SUM(H15:H22)</f>
        <v>989.94200000000001</v>
      </c>
      <c r="I24" s="712">
        <f>SUM(I15:I22)</f>
        <v>1155.1369999999999</v>
      </c>
      <c r="J24" s="712">
        <f>SUM(J15:J22)</f>
        <v>1104.8630000000001</v>
      </c>
      <c r="K24" s="712">
        <f>SUM(K15:K22)</f>
        <v>1051.6099999999999</v>
      </c>
      <c r="L24" s="713">
        <f t="shared" si="26"/>
        <v>1051.6099999999999</v>
      </c>
      <c r="M24" s="712">
        <f>SUM(M15:M22)</f>
        <v>1087.8310000000001</v>
      </c>
      <c r="N24" s="712">
        <f>SUM(N15:N22)</f>
        <v>1239.7360000000001</v>
      </c>
      <c r="O24" s="712">
        <f>SUM(O15:O22)</f>
        <v>1286.7810000000002</v>
      </c>
      <c r="P24" s="712">
        <f>SUM(P15:P22)</f>
        <v>1555.0449999999998</v>
      </c>
      <c r="Q24" s="713">
        <f t="shared" si="27"/>
        <v>1555.0449999999998</v>
      </c>
      <c r="R24" s="712">
        <f>SUM(R15:R22)</f>
        <v>1691.5059999999999</v>
      </c>
      <c r="S24" s="712">
        <f>SUM(S15:S22)</f>
        <v>1733.127</v>
      </c>
      <c r="T24" s="712">
        <f>SUM(T15:T22)</f>
        <v>1720.8080000000002</v>
      </c>
      <c r="U24" s="712">
        <f>SUM(U15:U22)</f>
        <v>1958.6319999999996</v>
      </c>
      <c r="V24" s="713">
        <f t="shared" si="28"/>
        <v>1958.6319999999996</v>
      </c>
      <c r="W24" s="712">
        <f>SUM(W15:W22)</f>
        <v>2122.8100000000004</v>
      </c>
      <c r="X24" s="712">
        <f>SUM(X15:X22)</f>
        <v>2421.2159999999999</v>
      </c>
      <c r="Y24" s="712">
        <f>SUM(Y15:Y22)</f>
        <v>2605.5950000000003</v>
      </c>
      <c r="Z24" s="712">
        <f>SUM(Z15:Z22)</f>
        <v>2440.3150000000005</v>
      </c>
      <c r="AA24" s="713">
        <f t="shared" si="29"/>
        <v>2440.3150000000005</v>
      </c>
      <c r="AB24" s="712">
        <f>SUM(AB15:AB22)</f>
        <v>5801.7330000000002</v>
      </c>
      <c r="AC24" s="712">
        <f>SUM(AC15:AC22)</f>
        <v>5501.4860000000008</v>
      </c>
      <c r="AD24" s="712">
        <f>SUM(AD15:AD22)</f>
        <v>5620.7850000000017</v>
      </c>
      <c r="AE24" s="712">
        <f>SUM(AE15:AE22)</f>
        <v>5954.6680000000006</v>
      </c>
      <c r="AF24" s="713">
        <f t="shared" si="30"/>
        <v>5954.6680000000006</v>
      </c>
      <c r="AG24" s="712">
        <f>SUM(AG15:AG22)</f>
        <v>5904.1840000000002</v>
      </c>
      <c r="AH24" s="712">
        <f>SUM(AH15:AH22)</f>
        <v>6135.9490000000005</v>
      </c>
      <c r="AI24" s="712">
        <f>SUM(AI15:AI22)</f>
        <v>5666.4610000000002</v>
      </c>
      <c r="AJ24" s="712">
        <f>SUM(AJ15:AJ22)</f>
        <v>5713.6789999999992</v>
      </c>
      <c r="AK24" s="713">
        <f t="shared" si="31"/>
        <v>5713.6789999999992</v>
      </c>
      <c r="AL24" s="712">
        <f>SUM(AL15:AL22)</f>
        <v>5340.9009999999998</v>
      </c>
      <c r="AM24" s="712">
        <f>SUM(AM15:AM22)</f>
        <v>5460.4169999999995</v>
      </c>
      <c r="AN24" s="712">
        <f>SUM(AN15:AN22)</f>
        <v>5638.7499999999991</v>
      </c>
      <c r="AO24" s="712">
        <f>SUM(AO15:AO22)</f>
        <v>5821.598</v>
      </c>
      <c r="AP24" s="713">
        <f t="shared" si="32"/>
        <v>5821.598</v>
      </c>
      <c r="AQ24" s="712">
        <f>SUM(AQ15:AQ22)</f>
        <v>5887.5959999999995</v>
      </c>
      <c r="AR24" s="712">
        <f>SUM(AR15:AR22)</f>
        <v>6063.7449999999999</v>
      </c>
      <c r="AS24" s="712">
        <f>SUM(AS15:AS22)</f>
        <v>5961.9599999999991</v>
      </c>
      <c r="AT24" s="712">
        <f>SUM(AT15:AT22)</f>
        <v>7255.8189999999986</v>
      </c>
      <c r="AU24" s="713">
        <f t="shared" si="33"/>
        <v>7255.8189999999986</v>
      </c>
      <c r="AV24" s="712">
        <f>SUM(AV15:AV22)</f>
        <v>7945.0689999999986</v>
      </c>
      <c r="AW24" s="712">
        <f>SUM(AW15:AW22)</f>
        <v>8006.9309999999996</v>
      </c>
      <c r="AX24" s="712">
        <f>SUM(AX15:AX22)</f>
        <v>7947.0290000000005</v>
      </c>
      <c r="AY24" s="712">
        <f>SUM(AY15:AY22)</f>
        <v>8141.1479999999992</v>
      </c>
      <c r="AZ24" s="713">
        <f t="shared" si="34"/>
        <v>8141.1479999999992</v>
      </c>
      <c r="BA24" s="712">
        <f>SUM(BA15:BA22)</f>
        <v>8310.0239999999994</v>
      </c>
      <c r="BB24" s="712">
        <f>SUM(BB15:BB22)</f>
        <v>8339.7159999999985</v>
      </c>
      <c r="BC24" s="712">
        <f>SUM(BC15:BC22)</f>
        <v>8492.7579999999998</v>
      </c>
      <c r="BD24" s="712">
        <f>SUM(BD15:BD22)</f>
        <v>8991.1830000000009</v>
      </c>
      <c r="BE24" s="713">
        <f t="shared" si="35"/>
        <v>8991.1830000000009</v>
      </c>
      <c r="BF24" s="712">
        <f>SUM(BF15:BF22)</f>
        <v>9132.7079999999987</v>
      </c>
      <c r="BG24" s="712">
        <f>SUM(BG15:BG22)</f>
        <v>9365.8320000000022</v>
      </c>
      <c r="BH24" s="712">
        <f>SUM(BH15:BH22)</f>
        <v>9630.0130000000008</v>
      </c>
      <c r="BI24" s="712">
        <f>SUM(BI15:BI22)</f>
        <v>9974.5229999999992</v>
      </c>
      <c r="BJ24" s="1382">
        <f t="shared" si="36"/>
        <v>9974.5229999999992</v>
      </c>
      <c r="BK24" s="712">
        <f>SUM(BK15:BK22)</f>
        <v>10165.710999999999</v>
      </c>
      <c r="BL24" s="712">
        <f>SUM(BL15:BL22)</f>
        <v>10280.368999999999</v>
      </c>
      <c r="BM24" s="712">
        <f>SUM(BM15:BM22)</f>
        <v>10234.155999999999</v>
      </c>
      <c r="BN24" s="712">
        <f>SUM(BN15:BN22)</f>
        <v>10380.298000000001</v>
      </c>
      <c r="BO24" s="1382">
        <f t="shared" si="37"/>
        <v>10380.298000000001</v>
      </c>
      <c r="BP24" s="712">
        <f>SUM(BP15:BP22)</f>
        <v>10245.882</v>
      </c>
      <c r="BQ24" s="712">
        <f>SUM(BQ15:BQ22)</f>
        <v>10372.198999999999</v>
      </c>
      <c r="BR24" s="712">
        <f>SUM(BR15:BR22)</f>
        <v>10493.68</v>
      </c>
      <c r="BS24" s="712">
        <f>SUM(BS15:BS22)</f>
        <v>10785.829000000002</v>
      </c>
      <c r="BT24" s="1382">
        <f t="shared" si="38"/>
        <v>10785.829000000002</v>
      </c>
      <c r="BU24" s="712">
        <f>SUM(BU15:BU22)</f>
        <v>11008.422</v>
      </c>
      <c r="BV24" s="712">
        <f>SUM(BV15:BV22)</f>
        <v>11165.383</v>
      </c>
      <c r="BW24" s="712">
        <f>SUM(BW15:BW22)</f>
        <v>11508.394999999999</v>
      </c>
      <c r="BX24" s="712">
        <f>SUM(BX15:BX22)</f>
        <v>11726.472</v>
      </c>
      <c r="BY24" s="1382">
        <f t="shared" si="39"/>
        <v>11726.472</v>
      </c>
      <c r="BZ24" s="712">
        <f>SUM(BZ15:BZ22)</f>
        <v>11896.681999999999</v>
      </c>
      <c r="CA24" s="712">
        <f>SUM(CA15:CA22)</f>
        <v>12216.782999999999</v>
      </c>
      <c r="CB24" s="1653">
        <f>SUM(CB15:CB22)</f>
        <v>12367.441000000001</v>
      </c>
      <c r="CC24" s="1653">
        <f>SUM(CC15:CC22)</f>
        <v>12707.114000000001</v>
      </c>
      <c r="CD24" s="1691">
        <f t="shared" si="40"/>
        <v>12707.114000000001</v>
      </c>
      <c r="CE24" s="712">
        <f>SUM(CE15:CE22)</f>
        <v>13044.782999999998</v>
      </c>
      <c r="CF24" s="1653">
        <f>SUM(CF15:CF22)</f>
        <v>13364.900000000001</v>
      </c>
      <c r="CG24" s="1653">
        <f>SUM(CG15:CG22)</f>
        <v>13906.815000000001</v>
      </c>
      <c r="CH24" s="1653">
        <f>SUM(CH15:CH22)</f>
        <v>14535.555999999999</v>
      </c>
      <c r="CI24" s="1691">
        <f t="shared" si="41"/>
        <v>14535.555999999999</v>
      </c>
      <c r="CJ24" s="1604">
        <f>SUM(CJ15:CJ22)</f>
        <v>14973.485000000001</v>
      </c>
      <c r="CK24" s="1604">
        <f>SUM(CK15:CK22)</f>
        <v>15747.933995834388</v>
      </c>
      <c r="CL24" s="1604">
        <f>SUM(CL15:CL22)</f>
        <v>16385.691089056556</v>
      </c>
      <c r="CM24" s="1604">
        <f>SUM(CM15:CM22)</f>
        <v>17301.290307920386</v>
      </c>
      <c r="CN24" s="1609">
        <f t="shared" si="42"/>
        <v>17301.290307920386</v>
      </c>
      <c r="CO24" s="1604">
        <f>SUM(CO15:CO22)</f>
        <v>17961.317680982334</v>
      </c>
      <c r="CP24" s="1604">
        <f>SUM(CP15:CP22)</f>
        <v>18543.135234948979</v>
      </c>
      <c r="CQ24" s="1604">
        <f>SUM(CQ15:CQ22)</f>
        <v>19284.72822988639</v>
      </c>
      <c r="CR24" s="1604">
        <f>SUM(CR15:CR22)</f>
        <v>20341.403830562649</v>
      </c>
      <c r="CS24" s="1609">
        <f>CR24</f>
        <v>20341.403830562649</v>
      </c>
      <c r="CT24" s="1604">
        <f>SUM(CT15:CT22)</f>
        <v>21128.677334414289</v>
      </c>
      <c r="CU24" s="1604">
        <f>SUM(CU15:CU22)</f>
        <v>21818.215376832217</v>
      </c>
      <c r="CV24" s="1604">
        <f>SUM(CV15:CV22)</f>
        <v>22682.652680304014</v>
      </c>
      <c r="CW24" s="1604">
        <f>SUM(CW15:CW22)</f>
        <v>23897.72732300896</v>
      </c>
      <c r="CX24" s="1889">
        <f>CW24</f>
        <v>23897.72732300896</v>
      </c>
      <c r="DB24" s="685"/>
      <c r="DC24" s="686"/>
      <c r="DD24" s="1008"/>
      <c r="DE24" s="686"/>
    </row>
    <row r="25" spans="1:109" ht="10.5" customHeight="1">
      <c r="A25" s="1877" t="s">
        <v>39</v>
      </c>
      <c r="B25" s="1878"/>
      <c r="C25" s="1879"/>
      <c r="D25" s="1879"/>
      <c r="E25" s="1879"/>
      <c r="F25" s="1879"/>
      <c r="G25" s="694"/>
      <c r="H25" s="1879"/>
      <c r="I25" s="1879"/>
      <c r="J25" s="1879"/>
      <c r="K25" s="1879"/>
      <c r="L25" s="694"/>
      <c r="M25" s="1879"/>
      <c r="N25" s="1879"/>
      <c r="O25" s="1879"/>
      <c r="P25" s="1879"/>
      <c r="Q25" s="694"/>
      <c r="R25" s="1879"/>
      <c r="S25" s="1879"/>
      <c r="T25" s="1879"/>
      <c r="U25" s="1879"/>
      <c r="V25" s="694"/>
      <c r="W25" s="1879"/>
      <c r="X25" s="1879"/>
      <c r="Y25" s="1879"/>
      <c r="Z25" s="1879"/>
      <c r="AA25" s="694"/>
      <c r="AB25" s="1879"/>
      <c r="AC25" s="1879"/>
      <c r="AD25" s="1879"/>
      <c r="AE25" s="1879"/>
      <c r="AF25" s="694"/>
      <c r="AG25" s="1879"/>
      <c r="AH25" s="1879"/>
      <c r="AI25" s="1879"/>
      <c r="AJ25" s="1879"/>
      <c r="AK25" s="694"/>
      <c r="AL25" s="719"/>
      <c r="AM25" s="1879"/>
      <c r="AN25" s="1879"/>
      <c r="AO25" s="1879"/>
      <c r="AP25" s="694"/>
      <c r="AQ25" s="719"/>
      <c r="AR25" s="1890"/>
      <c r="AS25" s="1879"/>
      <c r="AT25" s="1879"/>
      <c r="AU25" s="694"/>
      <c r="AV25" s="719"/>
      <c r="AW25" s="1890"/>
      <c r="AX25" s="1890"/>
      <c r="AY25" s="1879"/>
      <c r="AZ25" s="694"/>
      <c r="BA25" s="719"/>
      <c r="BB25" s="1890"/>
      <c r="BC25" s="1879"/>
      <c r="BD25" s="1879"/>
      <c r="BE25" s="694"/>
      <c r="BF25" s="719"/>
      <c r="BG25" s="1890"/>
      <c r="BH25" s="1890"/>
      <c r="BI25" s="1879"/>
      <c r="BJ25" s="1383"/>
      <c r="BK25" s="719"/>
      <c r="BL25" s="1890"/>
      <c r="BM25" s="1890"/>
      <c r="BN25" s="1890"/>
      <c r="BO25" s="1383"/>
      <c r="BP25" s="719"/>
      <c r="BQ25" s="1890"/>
      <c r="BR25" s="1890"/>
      <c r="BS25" s="1890"/>
      <c r="BT25" s="1383"/>
      <c r="BU25" s="719"/>
      <c r="BV25" s="1890"/>
      <c r="BW25" s="1890"/>
      <c r="BX25" s="1890"/>
      <c r="BY25" s="1383"/>
      <c r="BZ25" s="719"/>
      <c r="CA25" s="1890"/>
      <c r="CB25" s="1891"/>
      <c r="CC25" s="1892"/>
      <c r="CD25" s="1692"/>
      <c r="CE25" s="719"/>
      <c r="CF25" s="1892"/>
      <c r="CG25" s="1892"/>
      <c r="CH25" s="1892"/>
      <c r="CI25" s="1692"/>
      <c r="CJ25" s="1891"/>
      <c r="CK25" s="1891"/>
      <c r="CL25" s="1891"/>
      <c r="CM25" s="1891"/>
      <c r="CN25" s="1610"/>
      <c r="CO25" s="1891"/>
      <c r="CP25" s="1891"/>
      <c r="CQ25" s="1891"/>
      <c r="CR25" s="1891"/>
      <c r="CS25" s="1610"/>
      <c r="CT25" s="1891"/>
      <c r="CU25" s="1891"/>
      <c r="CV25" s="1891"/>
      <c r="CW25" s="1891"/>
      <c r="CX25" s="1893"/>
      <c r="DB25" s="685"/>
      <c r="DC25" s="695"/>
      <c r="DD25" s="1615"/>
      <c r="DE25" s="695"/>
    </row>
    <row r="26" spans="1:109" ht="10.5" customHeight="1">
      <c r="A26" s="1881" t="s">
        <v>40</v>
      </c>
      <c r="B26" s="1882"/>
      <c r="C26" s="1316"/>
      <c r="D26" s="1316"/>
      <c r="E26" s="1316"/>
      <c r="F26" s="1316">
        <v>30.890999999999998</v>
      </c>
      <c r="G26" s="701">
        <f t="shared" ref="G26:G34" si="50">F26</f>
        <v>30.890999999999998</v>
      </c>
      <c r="H26" s="1316">
        <v>34.442999999999998</v>
      </c>
      <c r="I26" s="1316">
        <v>33.712000000000003</v>
      </c>
      <c r="J26" s="1316">
        <v>32.868000000000002</v>
      </c>
      <c r="K26" s="1316">
        <v>37.765000000000001</v>
      </c>
      <c r="L26" s="701">
        <f t="shared" ref="L26:L34" si="51">K26</f>
        <v>37.765000000000001</v>
      </c>
      <c r="M26" s="1316">
        <v>34.191000000000003</v>
      </c>
      <c r="N26" s="1316">
        <v>41.305999999999997</v>
      </c>
      <c r="O26" s="1316">
        <v>32.07</v>
      </c>
      <c r="P26" s="1316">
        <v>37.436999999999998</v>
      </c>
      <c r="Q26" s="701">
        <f t="shared" ref="Q26:Q34" si="52">P26</f>
        <v>37.436999999999998</v>
      </c>
      <c r="R26" s="1316">
        <v>35.597999999999999</v>
      </c>
      <c r="S26" s="1316">
        <v>33.133000000000003</v>
      </c>
      <c r="T26" s="1316">
        <v>36.661000000000001</v>
      </c>
      <c r="U26" s="1316">
        <v>43.192</v>
      </c>
      <c r="V26" s="701">
        <f t="shared" ref="V26:V34" si="53">U26</f>
        <v>43.192</v>
      </c>
      <c r="W26" s="1316">
        <v>38.575000000000003</v>
      </c>
      <c r="X26" s="1316">
        <v>38.716999999999999</v>
      </c>
      <c r="Y26" s="1316">
        <v>37.427999999999997</v>
      </c>
      <c r="Z26" s="1316">
        <v>41.042000000000002</v>
      </c>
      <c r="AA26" s="701">
        <f t="shared" ref="AA26:AA34" si="54">Z26</f>
        <v>41.042000000000002</v>
      </c>
      <c r="AB26" s="702">
        <v>51.218000000000004</v>
      </c>
      <c r="AC26" s="703">
        <v>49.481000000000002</v>
      </c>
      <c r="AD26" s="703">
        <v>38.624000000000002</v>
      </c>
      <c r="AE26" s="704">
        <v>55.030999999999999</v>
      </c>
      <c r="AF26" s="701">
        <f t="shared" ref="AF26:AF34" si="55">AE26</f>
        <v>55.030999999999999</v>
      </c>
      <c r="AG26" s="702">
        <v>46.866999999999997</v>
      </c>
      <c r="AH26" s="703">
        <v>55.037999999999997</v>
      </c>
      <c r="AI26" s="703">
        <v>64.373999999999995</v>
      </c>
      <c r="AJ26" s="704">
        <v>66.867000000000004</v>
      </c>
      <c r="AK26" s="701">
        <f t="shared" ref="AK26:AK34" si="56">AJ26</f>
        <v>66.867000000000004</v>
      </c>
      <c r="AL26" s="702">
        <v>62.018999999999998</v>
      </c>
      <c r="AM26" s="703">
        <v>60.960999999999999</v>
      </c>
      <c r="AN26" s="703">
        <v>56.253999999999998</v>
      </c>
      <c r="AO26" s="704">
        <v>55.84</v>
      </c>
      <c r="AP26" s="701">
        <f t="shared" ref="AP26:AP34" si="57">AO26</f>
        <v>55.84</v>
      </c>
      <c r="AQ26" s="702">
        <v>41.415999999999997</v>
      </c>
      <c r="AR26" s="703">
        <v>42.258000000000003</v>
      </c>
      <c r="AS26" s="703">
        <v>48.415999999999997</v>
      </c>
      <c r="AT26" s="703">
        <v>58.904000000000003</v>
      </c>
      <c r="AU26" s="701">
        <f t="shared" ref="AU26:AU34" si="58">AT26</f>
        <v>58.904000000000003</v>
      </c>
      <c r="AV26" s="702">
        <v>44.188000000000002</v>
      </c>
      <c r="AW26" s="703">
        <v>50.273000000000003</v>
      </c>
      <c r="AX26" s="703">
        <v>56.465000000000003</v>
      </c>
      <c r="AY26" s="703">
        <v>52.432000000000002</v>
      </c>
      <c r="AZ26" s="701">
        <f t="shared" ref="AZ26:AZ34" si="59">AY26</f>
        <v>52.432000000000002</v>
      </c>
      <c r="BA26" s="702">
        <v>54.741999999999997</v>
      </c>
      <c r="BB26" s="703">
        <v>60.533000000000001</v>
      </c>
      <c r="BC26" s="703">
        <v>65.236000000000004</v>
      </c>
      <c r="BD26" s="703">
        <v>86.66</v>
      </c>
      <c r="BE26" s="701">
        <f t="shared" ref="BE26:BE43" si="60">BD26</f>
        <v>86.66</v>
      </c>
      <c r="BF26" s="702">
        <v>70.099999999999994</v>
      </c>
      <c r="BG26" s="703">
        <v>69.415999999999997</v>
      </c>
      <c r="BH26" s="703">
        <v>58.445999999999998</v>
      </c>
      <c r="BI26" s="703">
        <v>49.759</v>
      </c>
      <c r="BJ26" s="1379">
        <f t="shared" ref="BJ26:BJ43" si="61">BI26</f>
        <v>49.759</v>
      </c>
      <c r="BK26" s="702">
        <v>72.724999999999994</v>
      </c>
      <c r="BL26" s="703">
        <v>53.685000000000002</v>
      </c>
      <c r="BM26" s="703">
        <v>71.069999999999993</v>
      </c>
      <c r="BN26" s="703">
        <v>62.095999999999997</v>
      </c>
      <c r="BO26" s="1379">
        <f t="shared" ref="BO26:BO43" si="62">BN26</f>
        <v>62.095999999999997</v>
      </c>
      <c r="BP26" s="702">
        <v>64.507999999999996</v>
      </c>
      <c r="BQ26" s="703">
        <v>54.857999999999997</v>
      </c>
      <c r="BR26" s="703">
        <v>53.790999999999997</v>
      </c>
      <c r="BS26" s="703">
        <v>68.376999999999995</v>
      </c>
      <c r="BT26" s="1379">
        <f t="shared" ref="BT26:BT43" si="63">BS26</f>
        <v>68.376999999999995</v>
      </c>
      <c r="BU26" s="702">
        <v>71.67</v>
      </c>
      <c r="BV26" s="703">
        <v>56.539000000000001</v>
      </c>
      <c r="BW26" s="703">
        <v>69.822999999999993</v>
      </c>
      <c r="BX26" s="703">
        <v>93.307000000000002</v>
      </c>
      <c r="BY26" s="1379">
        <f t="shared" ref="BY26:BY43" si="64">BX26</f>
        <v>93.307000000000002</v>
      </c>
      <c r="BZ26" s="702">
        <v>71.706000000000003</v>
      </c>
      <c r="CA26" s="703">
        <v>75.581999999999994</v>
      </c>
      <c r="CB26" s="1652">
        <v>83.444000000000003</v>
      </c>
      <c r="CC26" s="1652">
        <v>88.024000000000001</v>
      </c>
      <c r="CD26" s="1688">
        <f t="shared" ref="CD26:CD43" si="65">CC26</f>
        <v>88.024000000000001</v>
      </c>
      <c r="CE26" s="702">
        <v>191.48400000000001</v>
      </c>
      <c r="CF26" s="1652">
        <v>77.905000000000001</v>
      </c>
      <c r="CG26" s="1652">
        <v>90.326999999999998</v>
      </c>
      <c r="CH26" s="1652">
        <v>113.538</v>
      </c>
      <c r="CI26" s="1688">
        <f t="shared" ref="CI26:CI43" si="66">CH26</f>
        <v>113.538</v>
      </c>
      <c r="CJ26" s="1600">
        <v>131.09</v>
      </c>
      <c r="CK26" s="1600">
        <f>((Model!CK32+Model!CK65)*BS!CK98)/91.25</f>
        <v>103.28917086145708</v>
      </c>
      <c r="CL26" s="1600">
        <f>((Model!CL32+Model!CL65)*BS!CL98)/91.25</f>
        <v>120.27082658935366</v>
      </c>
      <c r="CM26" s="1600">
        <f>((Model!CM32+Model!CM65)*BS!CM98)/91.25</f>
        <v>178.4083654628285</v>
      </c>
      <c r="CN26" s="1606">
        <f t="shared" ref="CN26:CN43" si="67">CM26</f>
        <v>178.4083654628285</v>
      </c>
      <c r="CO26" s="1600">
        <f>((Model!CO32+Model!CO65)*BS!CO98)/91.25</f>
        <v>152.59394227052738</v>
      </c>
      <c r="CP26" s="1600">
        <f>((Model!CP32+Model!CP65)*BS!CP98)/91.25</f>
        <v>119.28729530411762</v>
      </c>
      <c r="CQ26" s="1600">
        <f>((Model!CQ32+Model!CQ65)*BS!CQ98)/91.25</f>
        <v>139.01542325607375</v>
      </c>
      <c r="CR26" s="1600">
        <f>((Model!CR32+Model!CR65)*BS!CR98)/91.25</f>
        <v>206.09128018798029</v>
      </c>
      <c r="CS26" s="1606">
        <f t="shared" ref="CS26:CS41" si="68">CR26</f>
        <v>206.09128018798029</v>
      </c>
      <c r="CT26" s="1600">
        <f>((Model!CT32+Model!CT65)*BS!CT98)/91.25</f>
        <v>177.1260736924379</v>
      </c>
      <c r="CU26" s="1600">
        <f>((Model!CU32+Model!CU65)*BS!CU98)/91.25</f>
        <v>136.31007668931534</v>
      </c>
      <c r="CV26" s="1600">
        <f>((Model!CV32+Model!CV65)*BS!CV98)/91.25</f>
        <v>157.59634304430111</v>
      </c>
      <c r="CW26" s="1600">
        <f>((Model!CW32+Model!CW65)*BS!CW98)/91.25</f>
        <v>231.90384013204709</v>
      </c>
      <c r="CX26" s="1883">
        <f t="shared" ref="CX26:CX41" si="69">CW26</f>
        <v>231.90384013204709</v>
      </c>
      <c r="DB26" s="685"/>
      <c r="DC26" s="697"/>
      <c r="DD26" s="1615"/>
      <c r="DE26" s="697"/>
    </row>
    <row r="27" spans="1:109" ht="10.5" customHeight="1">
      <c r="A27" s="1881" t="s">
        <v>321</v>
      </c>
      <c r="B27" s="1882"/>
      <c r="C27" s="1316"/>
      <c r="D27" s="1316"/>
      <c r="E27" s="1316"/>
      <c r="F27" s="1316">
        <v>130.381</v>
      </c>
      <c r="G27" s="701">
        <f t="shared" si="50"/>
        <v>130.381</v>
      </c>
      <c r="H27" s="1316">
        <v>118.52</v>
      </c>
      <c r="I27" s="1316">
        <v>153.721</v>
      </c>
      <c r="J27" s="1316">
        <v>127.979</v>
      </c>
      <c r="K27" s="1316">
        <v>135.02799999999999</v>
      </c>
      <c r="L27" s="701">
        <f t="shared" si="51"/>
        <v>135.02799999999999</v>
      </c>
      <c r="M27" s="1316">
        <v>145.52099999999999</v>
      </c>
      <c r="N27" s="1316">
        <v>157.94200000000001</v>
      </c>
      <c r="O27" s="1316">
        <v>148.30099999999999</v>
      </c>
      <c r="P27" s="1316">
        <v>160.00899999999999</v>
      </c>
      <c r="Q27" s="701">
        <f t="shared" si="52"/>
        <v>160.00899999999999</v>
      </c>
      <c r="R27" s="1316">
        <v>175.50800000000001</v>
      </c>
      <c r="S27" s="1316">
        <v>188.852</v>
      </c>
      <c r="T27" s="1316">
        <v>169.72399999999999</v>
      </c>
      <c r="U27" s="1316">
        <v>202.762</v>
      </c>
      <c r="V27" s="701">
        <f t="shared" si="53"/>
        <v>202.762</v>
      </c>
      <c r="W27" s="1316">
        <v>196.56700000000001</v>
      </c>
      <c r="X27" s="1316">
        <v>215.755</v>
      </c>
      <c r="Y27" s="1316">
        <v>207.35499999999999</v>
      </c>
      <c r="Z27" s="1316">
        <v>226.98500000000001</v>
      </c>
      <c r="AA27" s="701">
        <f t="shared" si="54"/>
        <v>226.98500000000001</v>
      </c>
      <c r="AB27" s="702">
        <v>284.48399999999998</v>
      </c>
      <c r="AC27" s="703">
        <v>280.58499999999998</v>
      </c>
      <c r="AD27" s="703">
        <v>253.38900000000001</v>
      </c>
      <c r="AE27" s="704">
        <v>297.55</v>
      </c>
      <c r="AF27" s="701">
        <f t="shared" si="55"/>
        <v>297.55</v>
      </c>
      <c r="AG27" s="702">
        <v>270.51499999999999</v>
      </c>
      <c r="AH27" s="703">
        <v>369.26400000000001</v>
      </c>
      <c r="AI27" s="703">
        <v>349.26299999999998</v>
      </c>
      <c r="AJ27" s="704">
        <v>383.43599999999998</v>
      </c>
      <c r="AK27" s="701">
        <f t="shared" si="56"/>
        <v>383.43599999999998</v>
      </c>
      <c r="AL27" s="702">
        <v>368.97800000000001</v>
      </c>
      <c r="AM27" s="703">
        <v>377.572</v>
      </c>
      <c r="AN27" s="703">
        <v>356.40800000000002</v>
      </c>
      <c r="AO27" s="704">
        <v>399.96899999999999</v>
      </c>
      <c r="AP27" s="701">
        <f t="shared" si="57"/>
        <v>399.96899999999999</v>
      </c>
      <c r="AQ27" s="702">
        <v>345.67700000000002</v>
      </c>
      <c r="AR27" s="703">
        <v>363.43099999999998</v>
      </c>
      <c r="AS27" s="703">
        <v>349.077</v>
      </c>
      <c r="AT27" s="703">
        <v>419.64600000000002</v>
      </c>
      <c r="AU27" s="701">
        <f t="shared" si="58"/>
        <v>419.64600000000002</v>
      </c>
      <c r="AV27" s="702">
        <v>364.43700000000001</v>
      </c>
      <c r="AW27" s="703">
        <v>468.58699999999999</v>
      </c>
      <c r="AX27" s="703">
        <v>468.47699999999998</v>
      </c>
      <c r="AY27" s="703">
        <v>564.27499999999998</v>
      </c>
      <c r="AZ27" s="701">
        <f t="shared" si="59"/>
        <v>564.27499999999998</v>
      </c>
      <c r="BA27" s="702">
        <v>458.46300000000002</v>
      </c>
      <c r="BB27" s="703">
        <v>496.53500000000003</v>
      </c>
      <c r="BC27" s="703">
        <v>450.34300000000002</v>
      </c>
      <c r="BD27" s="703">
        <v>554.94100000000003</v>
      </c>
      <c r="BE27" s="701">
        <f t="shared" si="60"/>
        <v>554.94100000000003</v>
      </c>
      <c r="BF27" s="702">
        <v>476.14</v>
      </c>
      <c r="BG27" s="703">
        <v>555.024</v>
      </c>
      <c r="BH27" s="703">
        <v>547.81200000000001</v>
      </c>
      <c r="BI27" s="703">
        <v>590.14</v>
      </c>
      <c r="BJ27" s="1379">
        <f t="shared" si="61"/>
        <v>590.14</v>
      </c>
      <c r="BK27" s="702">
        <v>505.46499999999997</v>
      </c>
      <c r="BL27" s="703">
        <v>538.40200000000004</v>
      </c>
      <c r="BM27" s="703">
        <v>547.99699999999996</v>
      </c>
      <c r="BN27" s="703">
        <v>656.93899999999996</v>
      </c>
      <c r="BO27" s="1379">
        <f t="shared" si="62"/>
        <v>656.93899999999996</v>
      </c>
      <c r="BP27" s="702">
        <v>584.27300000000002</v>
      </c>
      <c r="BQ27" s="703">
        <v>656.94</v>
      </c>
      <c r="BR27" s="703">
        <v>630.67899999999997</v>
      </c>
      <c r="BS27" s="703">
        <v>683.86599999999999</v>
      </c>
      <c r="BT27" s="1379">
        <f t="shared" si="63"/>
        <v>683.86599999999999</v>
      </c>
      <c r="BU27" s="702">
        <v>564.21100000000001</v>
      </c>
      <c r="BV27" s="703">
        <v>647.78399999999999</v>
      </c>
      <c r="BW27" s="703">
        <v>658.34199999999998</v>
      </c>
      <c r="BX27" s="703">
        <v>678.36400000000003</v>
      </c>
      <c r="BY27" s="1379">
        <f t="shared" si="64"/>
        <v>678.36400000000003</v>
      </c>
      <c r="BZ27" s="702">
        <v>591.82100000000003</v>
      </c>
      <c r="CA27" s="703">
        <v>661.01300000000003</v>
      </c>
      <c r="CB27" s="1652">
        <v>666.27800000000002</v>
      </c>
      <c r="CC27" s="1652">
        <v>739.63</v>
      </c>
      <c r="CD27" s="1688">
        <f t="shared" si="65"/>
        <v>739.63</v>
      </c>
      <c r="CE27" s="702">
        <v>763.01199999999994</v>
      </c>
      <c r="CF27" s="1652">
        <v>865.38499999999999</v>
      </c>
      <c r="CG27" s="1652">
        <v>932.29200000000003</v>
      </c>
      <c r="CH27" s="1652">
        <v>993.77300000000002</v>
      </c>
      <c r="CI27" s="1688">
        <f t="shared" si="66"/>
        <v>993.77300000000002</v>
      </c>
      <c r="CJ27" s="1600">
        <v>911.04399999999998</v>
      </c>
      <c r="CK27" s="1600">
        <f>BS!CK113*Model!CK181</f>
        <v>990.37182435501472</v>
      </c>
      <c r="CL27" s="1600">
        <f>BS!CL113*Model!CL181</f>
        <v>948.85485372078551</v>
      </c>
      <c r="CM27" s="1600">
        <f>BS!CM113*Model!CM181</f>
        <v>1020.5242894402917</v>
      </c>
      <c r="CN27" s="1606">
        <f t="shared" si="67"/>
        <v>1020.5242894402917</v>
      </c>
      <c r="CO27" s="1600">
        <f>BS!CO113*Model!CO181</f>
        <v>1079.9148507110933</v>
      </c>
      <c r="CP27" s="1600">
        <f>BS!CP113*Model!CP181</f>
        <v>1178.4115966196925</v>
      </c>
      <c r="CQ27" s="1600">
        <f>BS!CQ113*Model!CQ181</f>
        <v>1129.6551187707712</v>
      </c>
      <c r="CR27" s="1600">
        <f>BS!CR113*Model!CR181</f>
        <v>1211.4179291432517</v>
      </c>
      <c r="CS27" s="1606">
        <f t="shared" si="68"/>
        <v>1211.4179291432517</v>
      </c>
      <c r="CT27" s="1600">
        <f>BS!CT113*Model!CT181</f>
        <v>1281.6154390910992</v>
      </c>
      <c r="CU27" s="1600">
        <f>BS!CU113*Model!CU181</f>
        <v>1393.4760340171028</v>
      </c>
      <c r="CV27" s="1600">
        <f>BS!CV113*Model!CV181</f>
        <v>1331.5929559671379</v>
      </c>
      <c r="CW27" s="1600">
        <f>BS!CW113*Model!CW181</f>
        <v>1417.8192470569998</v>
      </c>
      <c r="CX27" s="1883">
        <f t="shared" si="69"/>
        <v>1417.8192470569998</v>
      </c>
      <c r="DB27" s="685"/>
      <c r="DC27" s="697"/>
      <c r="DD27" s="1615"/>
      <c r="DE27" s="697"/>
    </row>
    <row r="28" spans="1:109" ht="10.5" customHeight="1">
      <c r="A28" s="1881" t="s">
        <v>198</v>
      </c>
      <c r="B28" s="1882"/>
      <c r="C28" s="1316"/>
      <c r="D28" s="1316"/>
      <c r="E28" s="1316"/>
      <c r="F28" s="1316">
        <v>21.701000000000001</v>
      </c>
      <c r="G28" s="701">
        <f>F28</f>
        <v>21.701000000000001</v>
      </c>
      <c r="H28" s="1316">
        <v>23.614999999999998</v>
      </c>
      <c r="I28" s="1316">
        <v>25.795999999999999</v>
      </c>
      <c r="J28" s="1316">
        <v>27.315000000000001</v>
      </c>
      <c r="K28" s="1316">
        <v>31.184999999999999</v>
      </c>
      <c r="L28" s="701">
        <f>K28</f>
        <v>31.184999999999999</v>
      </c>
      <c r="M28" s="1316">
        <v>32.484000000000002</v>
      </c>
      <c r="N28" s="1316">
        <v>42.021000000000001</v>
      </c>
      <c r="O28" s="1316">
        <v>41.609000000000002</v>
      </c>
      <c r="P28" s="1316">
        <v>45.6</v>
      </c>
      <c r="Q28" s="701">
        <f>P28</f>
        <v>45.6</v>
      </c>
      <c r="R28" s="1316">
        <v>43.326000000000001</v>
      </c>
      <c r="S28" s="1316">
        <v>44.78</v>
      </c>
      <c r="T28" s="1316">
        <v>47.148000000000003</v>
      </c>
      <c r="U28" s="1316">
        <v>59.540999999999997</v>
      </c>
      <c r="V28" s="701">
        <f>U28</f>
        <v>59.540999999999997</v>
      </c>
      <c r="W28" s="1316">
        <v>57.087000000000003</v>
      </c>
      <c r="X28" s="1316">
        <v>61.033000000000001</v>
      </c>
      <c r="Y28" s="1316">
        <v>60.01</v>
      </c>
      <c r="Z28" s="1316">
        <v>57.838999999999999</v>
      </c>
      <c r="AA28" s="701">
        <f t="shared" si="54"/>
        <v>57.838999999999999</v>
      </c>
      <c r="AB28" s="702">
        <v>82.408000000000001</v>
      </c>
      <c r="AC28" s="703">
        <v>89.016999999999996</v>
      </c>
      <c r="AD28" s="703">
        <v>103.509</v>
      </c>
      <c r="AE28" s="704">
        <v>130.31</v>
      </c>
      <c r="AF28" s="701">
        <f>AE28</f>
        <v>130.31</v>
      </c>
      <c r="AG28" s="702">
        <v>139.69200000000001</v>
      </c>
      <c r="AH28" s="703">
        <v>179.33099999999999</v>
      </c>
      <c r="AI28" s="703">
        <v>164.44200000000001</v>
      </c>
      <c r="AJ28" s="704">
        <v>183.31800000000001</v>
      </c>
      <c r="AK28" s="701">
        <f>AJ28</f>
        <v>183.31800000000001</v>
      </c>
      <c r="AL28" s="702">
        <v>191.66200000000001</v>
      </c>
      <c r="AM28" s="703">
        <v>191.59399999999999</v>
      </c>
      <c r="AN28" s="703">
        <v>204.59299999999999</v>
      </c>
      <c r="AO28" s="704">
        <v>243.964</v>
      </c>
      <c r="AP28" s="701">
        <f>AO28</f>
        <v>243.964</v>
      </c>
      <c r="AQ28" s="702">
        <v>198.31299999999999</v>
      </c>
      <c r="AR28" s="703">
        <v>185.191</v>
      </c>
      <c r="AS28" s="703">
        <v>188.328</v>
      </c>
      <c r="AT28" s="703">
        <v>281.57600000000002</v>
      </c>
      <c r="AU28" s="701">
        <f>AT28</f>
        <v>281.57600000000002</v>
      </c>
      <c r="AV28" s="702">
        <v>320.53500000000003</v>
      </c>
      <c r="AW28" s="703">
        <v>362.56599999999997</v>
      </c>
      <c r="AX28" s="703">
        <v>375.92700000000002</v>
      </c>
      <c r="AY28" s="703">
        <v>380.74799999999999</v>
      </c>
      <c r="AZ28" s="701">
        <f>AY28</f>
        <v>380.74799999999999</v>
      </c>
      <c r="BA28" s="702">
        <v>399.572</v>
      </c>
      <c r="BB28" s="703">
        <v>438.07799999999997</v>
      </c>
      <c r="BC28" s="703">
        <v>439.69</v>
      </c>
      <c r="BD28" s="703">
        <v>476.40199999999999</v>
      </c>
      <c r="BE28" s="701">
        <f>BD28</f>
        <v>476.40199999999999</v>
      </c>
      <c r="BF28" s="702">
        <v>492.54500000000002</v>
      </c>
      <c r="BG28" s="703">
        <v>535.11500000000001</v>
      </c>
      <c r="BH28" s="703">
        <v>505.64600000000002</v>
      </c>
      <c r="BI28" s="703">
        <v>561.46299999999997</v>
      </c>
      <c r="BJ28" s="1379">
        <f>BI28</f>
        <v>561.46299999999997</v>
      </c>
      <c r="BK28" s="702">
        <v>645.83399999999995</v>
      </c>
      <c r="BL28" s="703">
        <v>638.88499999999999</v>
      </c>
      <c r="BM28" s="703">
        <v>683.14300000000003</v>
      </c>
      <c r="BN28" s="703">
        <v>775.54399999999998</v>
      </c>
      <c r="BO28" s="1379">
        <f>BN28</f>
        <v>775.54399999999998</v>
      </c>
      <c r="BP28" s="702">
        <v>831.077</v>
      </c>
      <c r="BQ28" s="703">
        <v>879.10900000000004</v>
      </c>
      <c r="BR28" s="703">
        <v>947.56299999999999</v>
      </c>
      <c r="BS28" s="703">
        <v>1097.923</v>
      </c>
      <c r="BT28" s="1379">
        <f>BS28</f>
        <v>1097.923</v>
      </c>
      <c r="BU28" s="702">
        <v>1129.701</v>
      </c>
      <c r="BV28" s="703">
        <v>1175.5419999999999</v>
      </c>
      <c r="BW28" s="703">
        <v>1259.712</v>
      </c>
      <c r="BX28" s="703">
        <v>1434.2</v>
      </c>
      <c r="BY28" s="1379">
        <f>BX28</f>
        <v>1434.2</v>
      </c>
      <c r="BZ28" s="702">
        <v>1563.8209999999999</v>
      </c>
      <c r="CA28" s="703">
        <v>1633.221</v>
      </c>
      <c r="CB28" s="1652">
        <v>1745.2819999999999</v>
      </c>
      <c r="CC28" s="1652">
        <v>1945.6189999999999</v>
      </c>
      <c r="CD28" s="1688">
        <f>CC28</f>
        <v>1945.6189999999999</v>
      </c>
      <c r="CE28" s="702">
        <v>1988.008</v>
      </c>
      <c r="CF28" s="1652">
        <v>2005.953</v>
      </c>
      <c r="CG28" s="1652">
        <v>2136.7710000000002</v>
      </c>
      <c r="CH28" s="1652">
        <v>2405.9499999999998</v>
      </c>
      <c r="CI28" s="1688">
        <f>CH28</f>
        <v>2405.9499999999998</v>
      </c>
      <c r="CJ28" s="1600">
        <v>2483.7440000000001</v>
      </c>
      <c r="CK28" s="1600">
        <f>Model!CK24*BS!CK105</f>
        <v>2464.0731109639464</v>
      </c>
      <c r="CL28" s="1600">
        <f>Model!CL24*BS!CL105</f>
        <v>2626.9554703006447</v>
      </c>
      <c r="CM28" s="1600">
        <f>Model!CM24*BS!CM105</f>
        <v>2855.8158912116896</v>
      </c>
      <c r="CN28" s="1606">
        <f>CM28</f>
        <v>2855.8158912116896</v>
      </c>
      <c r="CO28" s="1600">
        <f>Model!CO24*BS!CO105</f>
        <v>2949.0918693476251</v>
      </c>
      <c r="CP28" s="1600">
        <f>Model!CP24*BS!CP105</f>
        <v>2912.654277466545</v>
      </c>
      <c r="CQ28" s="1600">
        <f>Model!CQ24*BS!CQ105</f>
        <v>3110.9475174104368</v>
      </c>
      <c r="CR28" s="1600">
        <f>Model!CR24*BS!CR105</f>
        <v>3380.1018997006445</v>
      </c>
      <c r="CS28" s="1606">
        <f t="shared" si="68"/>
        <v>3380.1018997006445</v>
      </c>
      <c r="CT28" s="1600">
        <f>Model!CT24*BS!CT105</f>
        <v>3469.9899277917466</v>
      </c>
      <c r="CU28" s="1600">
        <f>Model!CU24*BS!CU105</f>
        <v>3403.1330490546006</v>
      </c>
      <c r="CV28" s="1600">
        <f>Model!CV24*BS!CV105</f>
        <v>3606.8830856349414</v>
      </c>
      <c r="CW28" s="1600">
        <f>Model!CW24*BS!CW105</f>
        <v>3890.0830805857554</v>
      </c>
      <c r="CX28" s="1883">
        <f t="shared" si="69"/>
        <v>3890.0830805857554</v>
      </c>
      <c r="DB28" s="685"/>
      <c r="DC28" s="697"/>
      <c r="DD28" s="1615"/>
      <c r="DE28" s="697"/>
    </row>
    <row r="29" spans="1:109" ht="10.5" customHeight="1">
      <c r="A29" s="1881" t="s">
        <v>322</v>
      </c>
      <c r="B29" s="1882"/>
      <c r="C29" s="1316"/>
      <c r="D29" s="1316"/>
      <c r="E29" s="1316"/>
      <c r="F29" s="1316"/>
      <c r="G29" s="705">
        <f>F29</f>
        <v>0</v>
      </c>
      <c r="H29" s="1316"/>
      <c r="I29" s="1316"/>
      <c r="J29" s="1316"/>
      <c r="K29" s="1316"/>
      <c r="L29" s="705">
        <f>K29</f>
        <v>0</v>
      </c>
      <c r="M29" s="1316"/>
      <c r="N29" s="1316"/>
      <c r="O29" s="1316"/>
      <c r="P29" s="1316"/>
      <c r="Q29" s="705">
        <f>P29</f>
        <v>0</v>
      </c>
      <c r="R29" s="1316"/>
      <c r="S29" s="1316"/>
      <c r="T29" s="1316"/>
      <c r="U29" s="1316"/>
      <c r="V29" s="705">
        <f>U29</f>
        <v>0</v>
      </c>
      <c r="W29" s="1316"/>
      <c r="X29" s="1316"/>
      <c r="Y29" s="1316"/>
      <c r="Z29" s="1316"/>
      <c r="AA29" s="701">
        <f>Z29</f>
        <v>0</v>
      </c>
      <c r="AB29" s="702"/>
      <c r="AC29" s="703"/>
      <c r="AD29" s="703"/>
      <c r="AE29" s="704"/>
      <c r="AF29" s="705">
        <f>AE29</f>
        <v>0</v>
      </c>
      <c r="AG29" s="702"/>
      <c r="AH29" s="703"/>
      <c r="AI29" s="703"/>
      <c r="AJ29" s="704"/>
      <c r="AK29" s="705">
        <f>AJ29</f>
        <v>0</v>
      </c>
      <c r="AL29" s="702"/>
      <c r="AM29" s="703"/>
      <c r="AN29" s="703"/>
      <c r="AO29" s="704"/>
      <c r="AP29" s="705">
        <f>AO29</f>
        <v>0</v>
      </c>
      <c r="AQ29" s="702"/>
      <c r="AR29" s="703"/>
      <c r="AS29" s="703"/>
      <c r="AT29" s="703"/>
      <c r="AU29" s="705">
        <f>AT29</f>
        <v>0</v>
      </c>
      <c r="AV29" s="702"/>
      <c r="AW29" s="703"/>
      <c r="AX29" s="703">
        <v>8.6980000000000004</v>
      </c>
      <c r="AY29" s="703">
        <v>8.7989999999999995</v>
      </c>
      <c r="AZ29" s="705">
        <f>AY29</f>
        <v>8.7989999999999995</v>
      </c>
      <c r="BA29" s="702">
        <v>8.9</v>
      </c>
      <c r="BB29" s="703">
        <v>9.0030000000000001</v>
      </c>
      <c r="BC29" s="703">
        <v>9.1069999999999993</v>
      </c>
      <c r="BD29" s="703">
        <v>9.2119999999999997</v>
      </c>
      <c r="BE29" s="705">
        <f>BD29</f>
        <v>9.2119999999999997</v>
      </c>
      <c r="BF29" s="702">
        <v>9.3179999999999996</v>
      </c>
      <c r="BG29" s="703">
        <v>9.4260000000000002</v>
      </c>
      <c r="BH29" s="703">
        <v>11.093</v>
      </c>
      <c r="BI29" s="703">
        <v>11.217000000000001</v>
      </c>
      <c r="BJ29" s="1380">
        <f>BI29</f>
        <v>11.217000000000001</v>
      </c>
      <c r="BK29" s="702">
        <v>22.405999999999999</v>
      </c>
      <c r="BL29" s="703">
        <v>20.082999999999998</v>
      </c>
      <c r="BM29" s="703">
        <v>17.462</v>
      </c>
      <c r="BN29" s="703">
        <v>14.676</v>
      </c>
      <c r="BO29" s="1380">
        <f>BN29</f>
        <v>14.676</v>
      </c>
      <c r="BP29" s="702">
        <v>613.30999999999995</v>
      </c>
      <c r="BQ29" s="703">
        <v>609.74199999999996</v>
      </c>
      <c r="BR29" s="703">
        <v>606.42600000000004</v>
      </c>
      <c r="BS29" s="703">
        <v>603.22900000000004</v>
      </c>
      <c r="BT29" s="1380">
        <f>BS29</f>
        <v>603.22900000000004</v>
      </c>
      <c r="BU29" s="702">
        <v>6.4000000000000001E-2</v>
      </c>
      <c r="BV29" s="703">
        <v>0</v>
      </c>
      <c r="BW29" s="703">
        <v>0</v>
      </c>
      <c r="BX29" s="703">
        <v>0</v>
      </c>
      <c r="BY29" s="1380">
        <f>BX29</f>
        <v>0</v>
      </c>
      <c r="BZ29" s="702">
        <v>0</v>
      </c>
      <c r="CA29" s="703">
        <v>0</v>
      </c>
      <c r="CB29" s="1652">
        <v>0</v>
      </c>
      <c r="CC29" s="1652">
        <v>0</v>
      </c>
      <c r="CD29" s="1613">
        <f>CC29</f>
        <v>0</v>
      </c>
      <c r="CE29" s="702">
        <f>CC29</f>
        <v>0</v>
      </c>
      <c r="CF29" s="1652">
        <v>0</v>
      </c>
      <c r="CG29" s="1652">
        <v>0</v>
      </c>
      <c r="CH29" s="1652">
        <v>0</v>
      </c>
      <c r="CI29" s="1613">
        <f>CH29</f>
        <v>0</v>
      </c>
      <c r="CJ29" s="1600">
        <v>0</v>
      </c>
      <c r="CK29" s="1600">
        <f>CJ29</f>
        <v>0</v>
      </c>
      <c r="CL29" s="1600">
        <f>CK29</f>
        <v>0</v>
      </c>
      <c r="CM29" s="1600">
        <f>CL29</f>
        <v>0</v>
      </c>
      <c r="CN29" s="1599">
        <f>CM29</f>
        <v>0</v>
      </c>
      <c r="CO29" s="1600">
        <f>CM29</f>
        <v>0</v>
      </c>
      <c r="CP29" s="1600">
        <f>CO29</f>
        <v>0</v>
      </c>
      <c r="CQ29" s="1600">
        <f>CP29</f>
        <v>0</v>
      </c>
      <c r="CR29" s="1600">
        <f>CQ29</f>
        <v>0</v>
      </c>
      <c r="CS29" s="1599">
        <f t="shared" si="68"/>
        <v>0</v>
      </c>
      <c r="CT29" s="1600">
        <f>CR29</f>
        <v>0</v>
      </c>
      <c r="CU29" s="1600">
        <f>CT29</f>
        <v>0</v>
      </c>
      <c r="CV29" s="1600">
        <f>CU29</f>
        <v>0</v>
      </c>
      <c r="CW29" s="1600">
        <f>CV29</f>
        <v>0</v>
      </c>
      <c r="CX29" s="1884">
        <f t="shared" si="69"/>
        <v>0</v>
      </c>
      <c r="DB29" s="685"/>
      <c r="DC29" s="697"/>
      <c r="DD29" s="1615"/>
      <c r="DE29" s="697"/>
    </row>
    <row r="30" spans="1:109" ht="10.5" customHeight="1">
      <c r="A30" s="1881" t="s">
        <v>390</v>
      </c>
      <c r="B30" s="1882"/>
      <c r="C30" s="1803">
        <f>SUM(C31:C33)</f>
        <v>0</v>
      </c>
      <c r="D30" s="1803">
        <f>SUM(D31:D33)</f>
        <v>0</v>
      </c>
      <c r="E30" s="1803">
        <f>SUM(E31:E33)</f>
        <v>0</v>
      </c>
      <c r="F30" s="1803">
        <f>SUM(F31:F33)</f>
        <v>132.22800000000001</v>
      </c>
      <c r="G30" s="701">
        <f>F30</f>
        <v>132.22800000000001</v>
      </c>
      <c r="H30" s="1803">
        <f>SUM(H31:H33)</f>
        <v>123.85300000000001</v>
      </c>
      <c r="I30" s="1803">
        <f>SUM(I31:I33)</f>
        <v>133.42500000000001</v>
      </c>
      <c r="J30" s="1803">
        <f>SUM(J31:J33)</f>
        <v>156.54599999999999</v>
      </c>
      <c r="K30" s="1803">
        <f>SUM(K31:K33)</f>
        <v>173.31100000000001</v>
      </c>
      <c r="L30" s="701">
        <f>K30</f>
        <v>173.31100000000001</v>
      </c>
      <c r="M30" s="1803">
        <f>SUM(M31:M33)</f>
        <v>178.202</v>
      </c>
      <c r="N30" s="1803">
        <f>SUM(N31:N33)</f>
        <v>191.53</v>
      </c>
      <c r="O30" s="1803">
        <f>SUM(O31:O33)</f>
        <v>201.02500000000001</v>
      </c>
      <c r="P30" s="1803">
        <f>SUM(P31:P33)</f>
        <v>193.48400000000001</v>
      </c>
      <c r="Q30" s="701">
        <f>P30</f>
        <v>193.48400000000001</v>
      </c>
      <c r="R30" s="1803">
        <f>SUM(R31:R33)</f>
        <v>185.363</v>
      </c>
      <c r="S30" s="1803">
        <f>SUM(S31:S33)</f>
        <v>154.24799999999999</v>
      </c>
      <c r="T30" s="1803">
        <f>SUM(T31:T33)</f>
        <v>176.691</v>
      </c>
      <c r="U30" s="1803">
        <f>SUM(U31:U33)</f>
        <v>145.91300000000001</v>
      </c>
      <c r="V30" s="701">
        <f>U30</f>
        <v>145.91300000000001</v>
      </c>
      <c r="W30" s="1803">
        <f t="shared" ref="W30:AE30" si="70">SUM(W31:W33)</f>
        <v>191.959</v>
      </c>
      <c r="X30" s="1803">
        <f t="shared" si="70"/>
        <v>202.41900000000001</v>
      </c>
      <c r="Y30" s="1803">
        <f t="shared" si="70"/>
        <v>174.292</v>
      </c>
      <c r="Z30" s="1803">
        <f t="shared" si="70"/>
        <v>154.529</v>
      </c>
      <c r="AA30" s="701">
        <f t="shared" si="70"/>
        <v>154.529</v>
      </c>
      <c r="AB30" s="702">
        <f t="shared" si="70"/>
        <v>153.18700000000001</v>
      </c>
      <c r="AC30" s="703">
        <f t="shared" si="70"/>
        <v>155.19800000000001</v>
      </c>
      <c r="AD30" s="703">
        <f t="shared" si="70"/>
        <v>162.17499999999998</v>
      </c>
      <c r="AE30" s="704">
        <f t="shared" si="70"/>
        <v>187.965</v>
      </c>
      <c r="AF30" s="701">
        <f>AE30</f>
        <v>187.965</v>
      </c>
      <c r="AG30" s="702">
        <f>SUM(AG31:AG33)</f>
        <v>198.45</v>
      </c>
      <c r="AH30" s="703">
        <f>SUM(AH31:AH33)</f>
        <v>175.44799999999998</v>
      </c>
      <c r="AI30" s="703">
        <f>SUM(AI31:AI33)</f>
        <v>229.66499999999999</v>
      </c>
      <c r="AJ30" s="704">
        <f>SUM(AJ31:AJ33)</f>
        <v>218.78899999999999</v>
      </c>
      <c r="AK30" s="701">
        <f>AJ30</f>
        <v>218.78899999999999</v>
      </c>
      <c r="AL30" s="702">
        <f>SUM(AL31:AL33)</f>
        <v>46.887</v>
      </c>
      <c r="AM30" s="703">
        <f>SUM(AM31:AM33)</f>
        <v>42.637999999999998</v>
      </c>
      <c r="AN30" s="703">
        <f>SUM(AN31:AN33)</f>
        <v>44.408000000000001</v>
      </c>
      <c r="AO30" s="704">
        <f>SUM(AO31:AO33)</f>
        <v>62.825999999999993</v>
      </c>
      <c r="AP30" s="701">
        <f>AO30</f>
        <v>62.825999999999993</v>
      </c>
      <c r="AQ30" s="703">
        <f>SUM(AQ31:AQ33)</f>
        <v>51.459000000000003</v>
      </c>
      <c r="AR30" s="703">
        <f>SUM(AR31:AR33)</f>
        <v>22.751999999999999</v>
      </c>
      <c r="AS30" s="703">
        <f>SUM(AS31:AS33)</f>
        <v>28.562000000000001</v>
      </c>
      <c r="AT30" s="703">
        <f>SUM(AT31:AT33)</f>
        <v>84.426999999999992</v>
      </c>
      <c r="AU30" s="701">
        <f>AT30</f>
        <v>84.426999999999992</v>
      </c>
      <c r="AV30" s="703">
        <f>SUM(AV31:AV33)</f>
        <v>171.614</v>
      </c>
      <c r="AW30" s="703">
        <f>SUM(AW31:AW33)</f>
        <v>88.481999999999999</v>
      </c>
      <c r="AX30" s="703">
        <f>SUM(AX31:AX33)</f>
        <v>57.634999999999998</v>
      </c>
      <c r="AY30" s="703">
        <f>SUM(AY31:AY33)</f>
        <v>61.834000000000003</v>
      </c>
      <c r="AZ30" s="701">
        <f>AY30</f>
        <v>61.834000000000003</v>
      </c>
      <c r="BA30" s="703">
        <f>SUM(BA31:BA33)</f>
        <v>63.854999999999997</v>
      </c>
      <c r="BB30" s="703">
        <f>SUM(BB31:BB33)</f>
        <v>46.23</v>
      </c>
      <c r="BC30" s="703">
        <f>SUM(BC31:BC33)</f>
        <v>67.882999999999996</v>
      </c>
      <c r="BD30" s="703">
        <f>SUM(BD31:BD33)</f>
        <v>123.56400000000001</v>
      </c>
      <c r="BE30" s="701">
        <f>BD30</f>
        <v>123.56400000000001</v>
      </c>
      <c r="BF30" s="703">
        <f>SUM(BF31:BF33)</f>
        <v>66.918999999999997</v>
      </c>
      <c r="BG30" s="703">
        <f>SUM(BG31:BG33)</f>
        <v>76.662999999999997</v>
      </c>
      <c r="BH30" s="703">
        <f>SUM(BH31:BH33)</f>
        <v>46.713000000000001</v>
      </c>
      <c r="BI30" s="703">
        <f>SUM(BI31:BI33)</f>
        <v>59.173000000000002</v>
      </c>
      <c r="BJ30" s="1379">
        <f>BI30</f>
        <v>59.173000000000002</v>
      </c>
      <c r="BK30" s="703">
        <f>SUM(BK31:BK33)</f>
        <v>17.893000000000001</v>
      </c>
      <c r="BL30" s="703">
        <f>SUM(BL31:BL33)</f>
        <v>13.8</v>
      </c>
      <c r="BM30" s="703">
        <f>SUM(BM31:BM33)</f>
        <v>9.4450000000000003</v>
      </c>
      <c r="BN30" s="703">
        <f>SUM(BN31:BN33)</f>
        <v>16.393000000000001</v>
      </c>
      <c r="BO30" s="1379">
        <f>BN30</f>
        <v>16.393000000000001</v>
      </c>
      <c r="BP30" s="703">
        <f>SUM(BP31:BP33)</f>
        <v>19.179000000000002</v>
      </c>
      <c r="BQ30" s="703">
        <f>SUM(BQ31:BQ33)</f>
        <v>17.323</v>
      </c>
      <c r="BR30" s="703">
        <f>SUM(BR31:BR33)</f>
        <v>6.7889999999999997</v>
      </c>
      <c r="BS30" s="703">
        <f>SUM(BS31:BS33)</f>
        <v>41.040000000000006</v>
      </c>
      <c r="BT30" s="1379">
        <f>BS30</f>
        <v>41.040000000000006</v>
      </c>
      <c r="BU30" s="703">
        <f>SUM(BU31:BU33)</f>
        <v>22.514000000000003</v>
      </c>
      <c r="BV30" s="703">
        <f>SUM(BV31:BV33)</f>
        <v>57.167999999999999</v>
      </c>
      <c r="BW30" s="703">
        <f>SUM(BW31:BW33)</f>
        <v>72.936999999999998</v>
      </c>
      <c r="BX30" s="703">
        <f>SUM(BX31:BX33)</f>
        <v>7.6850000000000005</v>
      </c>
      <c r="BY30" s="1379">
        <f>BX30</f>
        <v>7.6850000000000005</v>
      </c>
      <c r="BZ30" s="703">
        <f>SUM(BZ31:BZ33)</f>
        <v>4.4580000000000002</v>
      </c>
      <c r="CA30" s="703">
        <f>SUM(CA31:CA33)</f>
        <v>15.773999999999999</v>
      </c>
      <c r="CB30" s="1652">
        <f>SUM(CB31:CB33)</f>
        <v>10.662000000000001</v>
      </c>
      <c r="CC30" s="1652">
        <f>SUM(CC31:CC33)</f>
        <v>38.362000000000002</v>
      </c>
      <c r="CD30" s="1688">
        <f>CC30</f>
        <v>38.362000000000002</v>
      </c>
      <c r="CE30" s="703">
        <f>SUM(CE31:CE33)</f>
        <v>11.565</v>
      </c>
      <c r="CF30" s="1652">
        <f>SUM(CF31:CF33)</f>
        <v>98.653000000000006</v>
      </c>
      <c r="CG30" s="1652">
        <f>SUM(CG31:CG33)</f>
        <v>56.753999999999998</v>
      </c>
      <c r="CH30" s="1652">
        <f>SUM(CH31:CH33)</f>
        <v>14.196</v>
      </c>
      <c r="CI30" s="1688">
        <f>CH30</f>
        <v>14.196</v>
      </c>
      <c r="CJ30" s="1600">
        <v>10.590999999999999</v>
      </c>
      <c r="CK30" s="1600">
        <f>SUM(CK31:CK33)</f>
        <v>10.590999999999999</v>
      </c>
      <c r="CL30" s="1600">
        <f>SUM(CL31:CL33)</f>
        <v>10.590999999999999</v>
      </c>
      <c r="CM30" s="1600">
        <f>SUM(CM31:CM33)</f>
        <v>10.590999999999999</v>
      </c>
      <c r="CN30" s="1606">
        <f>CM30</f>
        <v>10.590999999999999</v>
      </c>
      <c r="CO30" s="1600">
        <f>SUM(CO31:CO33)</f>
        <v>10.590999999999999</v>
      </c>
      <c r="CP30" s="1600">
        <f>SUM(CP31:CP33)</f>
        <v>10.590999999999999</v>
      </c>
      <c r="CQ30" s="1600">
        <f>SUM(CQ31:CQ33)</f>
        <v>10.590999999999999</v>
      </c>
      <c r="CR30" s="1600">
        <f>SUM(CR31:CR33)</f>
        <v>10.590999999999999</v>
      </c>
      <c r="CS30" s="1606">
        <f t="shared" si="68"/>
        <v>10.590999999999999</v>
      </c>
      <c r="CT30" s="1600">
        <f>SUM(CT31:CT33)</f>
        <v>10.590999999999999</v>
      </c>
      <c r="CU30" s="1600">
        <f>SUM(CU31:CU33)</f>
        <v>10.590999999999999</v>
      </c>
      <c r="CV30" s="1600">
        <f>SUM(CV31:CV33)</f>
        <v>10.590999999999999</v>
      </c>
      <c r="CW30" s="1600">
        <f>SUM(CW31:CW33)</f>
        <v>10.590999999999999</v>
      </c>
      <c r="CX30" s="1883">
        <f t="shared" si="69"/>
        <v>10.590999999999999</v>
      </c>
      <c r="DB30" s="685"/>
      <c r="DC30" s="697"/>
      <c r="DD30" s="1615"/>
      <c r="DE30" s="697"/>
    </row>
    <row r="31" spans="1:109" ht="10.5" hidden="1" customHeight="1" outlineLevel="1">
      <c r="A31" s="1894" t="s">
        <v>384</v>
      </c>
      <c r="B31" s="1895"/>
      <c r="C31" s="1896"/>
      <c r="D31" s="1896"/>
      <c r="E31" s="1896"/>
      <c r="F31" s="1896"/>
      <c r="G31" s="716">
        <f t="shared" si="50"/>
        <v>0</v>
      </c>
      <c r="H31" s="1896"/>
      <c r="I31" s="1896"/>
      <c r="J31" s="1896"/>
      <c r="K31" s="1896"/>
      <c r="L31" s="716">
        <f t="shared" si="51"/>
        <v>0</v>
      </c>
      <c r="M31" s="1896"/>
      <c r="N31" s="1896"/>
      <c r="O31" s="1896"/>
      <c r="P31" s="1896"/>
      <c r="Q31" s="716">
        <f t="shared" si="52"/>
        <v>0</v>
      </c>
      <c r="R31" s="1896"/>
      <c r="S31" s="1896"/>
      <c r="T31" s="1896"/>
      <c r="U31" s="1896"/>
      <c r="V31" s="716">
        <f t="shared" si="53"/>
        <v>0</v>
      </c>
      <c r="W31" s="1896"/>
      <c r="X31" s="1896"/>
      <c r="Y31" s="1896"/>
      <c r="Z31" s="1896"/>
      <c r="AA31" s="716">
        <f t="shared" si="54"/>
        <v>0</v>
      </c>
      <c r="AB31" s="1897"/>
      <c r="AC31" s="1897"/>
      <c r="AD31" s="1897"/>
      <c r="AE31" s="1897"/>
      <c r="AF31" s="716">
        <f t="shared" si="55"/>
        <v>0</v>
      </c>
      <c r="AG31" s="702"/>
      <c r="AH31" s="703"/>
      <c r="AI31" s="703"/>
      <c r="AJ31" s="704"/>
      <c r="AK31" s="716">
        <f t="shared" si="56"/>
        <v>0</v>
      </c>
      <c r="AL31" s="1897"/>
      <c r="AM31" s="742"/>
      <c r="AN31" s="742"/>
      <c r="AO31" s="1073"/>
      <c r="AP31" s="716">
        <f t="shared" si="57"/>
        <v>0</v>
      </c>
      <c r="AQ31" s="1897"/>
      <c r="AR31" s="1897"/>
      <c r="AS31" s="1897"/>
      <c r="AT31" s="1897"/>
      <c r="AU31" s="716">
        <f t="shared" si="58"/>
        <v>0</v>
      </c>
      <c r="AV31" s="1897"/>
      <c r="AW31" s="1897"/>
      <c r="AX31" s="1897"/>
      <c r="AY31" s="1897"/>
      <c r="AZ31" s="716">
        <f t="shared" si="59"/>
        <v>0</v>
      </c>
      <c r="BA31" s="1897">
        <v>0</v>
      </c>
      <c r="BB31" s="1897">
        <v>0</v>
      </c>
      <c r="BC31" s="1897">
        <v>0</v>
      </c>
      <c r="BD31" s="1897">
        <v>0</v>
      </c>
      <c r="BE31" s="716">
        <f t="shared" si="60"/>
        <v>0</v>
      </c>
      <c r="BF31" s="1897"/>
      <c r="BG31" s="1897"/>
      <c r="BH31" s="1897"/>
      <c r="BI31" s="1897"/>
      <c r="BJ31" s="1384">
        <f>BI31</f>
        <v>0</v>
      </c>
      <c r="BK31" s="1897"/>
      <c r="BL31" s="1897"/>
      <c r="BM31" s="1897"/>
      <c r="BN31" s="1897"/>
      <c r="BO31" s="1384">
        <f t="shared" si="62"/>
        <v>0</v>
      </c>
      <c r="BP31" s="1897"/>
      <c r="BQ31" s="1897"/>
      <c r="BR31" s="1897"/>
      <c r="BS31" s="1897"/>
      <c r="BT31" s="1384"/>
      <c r="BU31" s="1897"/>
      <c r="BV31" s="1897"/>
      <c r="BW31" s="1897"/>
      <c r="BX31" s="1897"/>
      <c r="BY31" s="1384">
        <f t="shared" si="64"/>
        <v>0</v>
      </c>
      <c r="BZ31" s="1897"/>
      <c r="CA31" s="1897"/>
      <c r="CB31" s="1897"/>
      <c r="CC31" s="1897"/>
      <c r="CD31" s="1384">
        <f t="shared" si="65"/>
        <v>0</v>
      </c>
      <c r="CE31" s="1897"/>
      <c r="CF31" s="1897"/>
      <c r="CG31" s="1897"/>
      <c r="CH31" s="1897"/>
      <c r="CI31" s="1384">
        <f t="shared" si="66"/>
        <v>0</v>
      </c>
      <c r="CJ31" s="1898"/>
      <c r="CK31" s="1898"/>
      <c r="CL31" s="1898"/>
      <c r="CM31" s="1898"/>
      <c r="CN31" s="968">
        <f t="shared" si="67"/>
        <v>0</v>
      </c>
      <c r="CO31" s="1898"/>
      <c r="CP31" s="1898"/>
      <c r="CQ31" s="1898"/>
      <c r="CR31" s="1898"/>
      <c r="CS31" s="968">
        <f t="shared" si="68"/>
        <v>0</v>
      </c>
      <c r="CT31" s="1898"/>
      <c r="CU31" s="1898"/>
      <c r="CV31" s="1898"/>
      <c r="CW31" s="1898"/>
      <c r="CX31" s="1899">
        <f t="shared" si="69"/>
        <v>0</v>
      </c>
      <c r="DB31" s="685"/>
      <c r="DC31" s="697"/>
      <c r="DD31" s="1615"/>
      <c r="DE31" s="697"/>
    </row>
    <row r="32" spans="1:109" ht="10.5" hidden="1" customHeight="1" outlineLevel="1">
      <c r="A32" s="1894" t="s">
        <v>325</v>
      </c>
      <c r="B32" s="1895"/>
      <c r="C32" s="1896"/>
      <c r="D32" s="1896"/>
      <c r="E32" s="1896"/>
      <c r="F32" s="1896"/>
      <c r="G32" s="716">
        <f t="shared" si="50"/>
        <v>0</v>
      </c>
      <c r="H32" s="1896">
        <v>1.673</v>
      </c>
      <c r="I32" s="1896"/>
      <c r="J32" s="1896"/>
      <c r="K32" s="1896"/>
      <c r="L32" s="716">
        <f t="shared" si="51"/>
        <v>0</v>
      </c>
      <c r="M32" s="1896"/>
      <c r="N32" s="1896"/>
      <c r="O32" s="1896"/>
      <c r="P32" s="1896"/>
      <c r="Q32" s="716">
        <f t="shared" si="52"/>
        <v>0</v>
      </c>
      <c r="R32" s="1896"/>
      <c r="S32" s="1896"/>
      <c r="T32" s="1896"/>
      <c r="U32" s="1896"/>
      <c r="V32" s="716">
        <f t="shared" si="53"/>
        <v>0</v>
      </c>
      <c r="W32" s="1896"/>
      <c r="X32" s="1896"/>
      <c r="Y32" s="1896"/>
      <c r="Z32" s="1896"/>
      <c r="AA32" s="717">
        <f t="shared" si="54"/>
        <v>0</v>
      </c>
      <c r="AB32" s="1897">
        <v>25.768000000000001</v>
      </c>
      <c r="AC32" s="1897">
        <v>17.332000000000001</v>
      </c>
      <c r="AD32" s="1897">
        <v>12.618</v>
      </c>
      <c r="AE32" s="1897">
        <v>10.087999999999999</v>
      </c>
      <c r="AF32" s="716">
        <f t="shared" si="55"/>
        <v>10.087999999999999</v>
      </c>
      <c r="AG32" s="702">
        <v>8.0660000000000007</v>
      </c>
      <c r="AH32" s="703">
        <v>6.5579999999999998</v>
      </c>
      <c r="AI32" s="703">
        <v>5.8490000000000002</v>
      </c>
      <c r="AJ32" s="704">
        <v>3.7309999999999999</v>
      </c>
      <c r="AK32" s="716">
        <f t="shared" si="56"/>
        <v>3.7309999999999999</v>
      </c>
      <c r="AL32" s="1897">
        <v>5.9560000000000004</v>
      </c>
      <c r="AM32" s="742">
        <v>5.5730000000000004</v>
      </c>
      <c r="AN32" s="742">
        <v>6.8620000000000001</v>
      </c>
      <c r="AO32" s="1073">
        <v>35.69</v>
      </c>
      <c r="AP32" s="716">
        <f t="shared" si="57"/>
        <v>35.69</v>
      </c>
      <c r="AQ32" s="1897">
        <v>18.352</v>
      </c>
      <c r="AR32" s="1897">
        <v>11.728</v>
      </c>
      <c r="AS32" s="1897">
        <v>8.23</v>
      </c>
      <c r="AT32" s="1897">
        <v>37.792999999999999</v>
      </c>
      <c r="AU32" s="716">
        <f t="shared" si="58"/>
        <v>37.792999999999999</v>
      </c>
      <c r="AV32" s="1897">
        <v>19.773</v>
      </c>
      <c r="AW32" s="1897">
        <v>16.504000000000001</v>
      </c>
      <c r="AX32" s="1897">
        <v>9.2219999999999995</v>
      </c>
      <c r="AY32" s="1897">
        <v>8.1189999999999998</v>
      </c>
      <c r="AZ32" s="716">
        <f t="shared" si="59"/>
        <v>8.1189999999999998</v>
      </c>
      <c r="BA32" s="1897">
        <v>6.7590000000000003</v>
      </c>
      <c r="BB32" s="1897">
        <v>5.26</v>
      </c>
      <c r="BC32" s="1897">
        <v>6.6630000000000003</v>
      </c>
      <c r="BD32" s="1897">
        <v>80.930000000000007</v>
      </c>
      <c r="BE32" s="716">
        <f t="shared" si="60"/>
        <v>80.930000000000007</v>
      </c>
      <c r="BF32" s="1897">
        <v>36.369999999999997</v>
      </c>
      <c r="BG32" s="1897">
        <v>18.337</v>
      </c>
      <c r="BH32" s="1897">
        <v>14.803000000000001</v>
      </c>
      <c r="BI32" s="1897">
        <v>9.2870000000000008</v>
      </c>
      <c r="BJ32" s="1384">
        <f t="shared" si="61"/>
        <v>9.2870000000000008</v>
      </c>
      <c r="BK32" s="1897">
        <v>6.7670000000000003</v>
      </c>
      <c r="BL32" s="1897">
        <v>6.6710000000000003</v>
      </c>
      <c r="BM32" s="1897">
        <v>4.8410000000000002</v>
      </c>
      <c r="BN32" s="1897">
        <v>6.1710000000000003</v>
      </c>
      <c r="BO32" s="1384">
        <f t="shared" si="62"/>
        <v>6.1710000000000003</v>
      </c>
      <c r="BP32" s="1897">
        <v>6.1929999999999996</v>
      </c>
      <c r="BQ32" s="1897">
        <v>3.6269999999999998</v>
      </c>
      <c r="BR32" s="1897">
        <v>2.351</v>
      </c>
      <c r="BS32" s="1897">
        <v>17.12</v>
      </c>
      <c r="BT32" s="1384">
        <f t="shared" si="63"/>
        <v>17.12</v>
      </c>
      <c r="BU32" s="1897">
        <v>2.58</v>
      </c>
      <c r="BV32" s="1897">
        <v>1.6950000000000001</v>
      </c>
      <c r="BW32" s="1897">
        <v>1.45</v>
      </c>
      <c r="BX32" s="1897">
        <v>1.52</v>
      </c>
      <c r="BY32" s="1384">
        <f t="shared" si="64"/>
        <v>1.52</v>
      </c>
      <c r="BZ32" s="1897">
        <v>0</v>
      </c>
      <c r="CA32" s="1897">
        <v>0</v>
      </c>
      <c r="CB32" s="1897">
        <v>0</v>
      </c>
      <c r="CC32" s="1897">
        <f>CB32*0.95</f>
        <v>0</v>
      </c>
      <c r="CD32" s="1384">
        <f t="shared" si="65"/>
        <v>0</v>
      </c>
      <c r="CE32" s="1897">
        <v>0</v>
      </c>
      <c r="CF32" s="1897">
        <v>0</v>
      </c>
      <c r="CG32" s="1897">
        <v>0</v>
      </c>
      <c r="CH32" s="1897">
        <v>0</v>
      </c>
      <c r="CI32" s="1384">
        <f t="shared" si="66"/>
        <v>0</v>
      </c>
      <c r="CJ32" s="1898">
        <v>0</v>
      </c>
      <c r="CK32" s="1898">
        <f>CJ32*0.95</f>
        <v>0</v>
      </c>
      <c r="CL32" s="1898">
        <f>CK32*0.95</f>
        <v>0</v>
      </c>
      <c r="CM32" s="1898">
        <f>CL32*0.95</f>
        <v>0</v>
      </c>
      <c r="CN32" s="968">
        <f t="shared" si="67"/>
        <v>0</v>
      </c>
      <c r="CO32" s="1898">
        <f>CM32*0.95</f>
        <v>0</v>
      </c>
      <c r="CP32" s="1898">
        <f>CO32*0.95</f>
        <v>0</v>
      </c>
      <c r="CQ32" s="1898">
        <f>CP32*0.95</f>
        <v>0</v>
      </c>
      <c r="CR32" s="1898">
        <f>CQ32*0.95</f>
        <v>0</v>
      </c>
      <c r="CS32" s="968">
        <f t="shared" si="68"/>
        <v>0</v>
      </c>
      <c r="CT32" s="1898">
        <f>CR32*0.95</f>
        <v>0</v>
      </c>
      <c r="CU32" s="1898">
        <f>CT32*0.95</f>
        <v>0</v>
      </c>
      <c r="CV32" s="1898">
        <f>CU32*0.95</f>
        <v>0</v>
      </c>
      <c r="CW32" s="1898">
        <f>CV32*0.95</f>
        <v>0</v>
      </c>
      <c r="CX32" s="1899">
        <f t="shared" si="69"/>
        <v>0</v>
      </c>
      <c r="DB32" s="685"/>
      <c r="DC32" s="697"/>
      <c r="DD32" s="1615"/>
      <c r="DE32" s="697"/>
    </row>
    <row r="33" spans="1:109" ht="10.5" hidden="1" customHeight="1" outlineLevel="1">
      <c r="A33" s="1894" t="s">
        <v>326</v>
      </c>
      <c r="B33" s="1895"/>
      <c r="C33" s="1896"/>
      <c r="D33" s="1896"/>
      <c r="E33" s="1896"/>
      <c r="F33" s="1896">
        <v>132.22800000000001</v>
      </c>
      <c r="G33" s="716">
        <f t="shared" si="50"/>
        <v>132.22800000000001</v>
      </c>
      <c r="H33" s="1896">
        <v>122.18</v>
      </c>
      <c r="I33" s="1896">
        <v>133.42500000000001</v>
      </c>
      <c r="J33" s="1896">
        <v>156.54599999999999</v>
      </c>
      <c r="K33" s="1896">
        <v>173.31100000000001</v>
      </c>
      <c r="L33" s="716">
        <f t="shared" si="51"/>
        <v>173.31100000000001</v>
      </c>
      <c r="M33" s="1896">
        <v>178.202</v>
      </c>
      <c r="N33" s="1896">
        <v>191.53</v>
      </c>
      <c r="O33" s="1896">
        <v>201.02500000000001</v>
      </c>
      <c r="P33" s="1896">
        <v>193.48400000000001</v>
      </c>
      <c r="Q33" s="716">
        <f t="shared" si="52"/>
        <v>193.48400000000001</v>
      </c>
      <c r="R33" s="1896">
        <v>185.363</v>
      </c>
      <c r="S33" s="1896">
        <v>154.24799999999999</v>
      </c>
      <c r="T33" s="1896">
        <v>176.691</v>
      </c>
      <c r="U33" s="1896">
        <v>145.91300000000001</v>
      </c>
      <c r="V33" s="716">
        <f t="shared" si="53"/>
        <v>145.91300000000001</v>
      </c>
      <c r="W33" s="1896">
        <v>191.959</v>
      </c>
      <c r="X33" s="1896">
        <v>202.41900000000001</v>
      </c>
      <c r="Y33" s="1896">
        <v>174.292</v>
      </c>
      <c r="Z33" s="1896">
        <v>154.529</v>
      </c>
      <c r="AA33" s="716">
        <f t="shared" si="54"/>
        <v>154.529</v>
      </c>
      <c r="AB33" s="1897">
        <v>127.419</v>
      </c>
      <c r="AC33" s="1897">
        <v>137.86600000000001</v>
      </c>
      <c r="AD33" s="1897">
        <v>149.55699999999999</v>
      </c>
      <c r="AE33" s="1897">
        <v>177.87700000000001</v>
      </c>
      <c r="AF33" s="716">
        <f t="shared" si="55"/>
        <v>177.87700000000001</v>
      </c>
      <c r="AG33" s="702">
        <v>190.38399999999999</v>
      </c>
      <c r="AH33" s="703">
        <v>168.89</v>
      </c>
      <c r="AI33" s="703">
        <v>223.816</v>
      </c>
      <c r="AJ33" s="704">
        <v>215.05799999999999</v>
      </c>
      <c r="AK33" s="716">
        <f t="shared" si="56"/>
        <v>215.05799999999999</v>
      </c>
      <c r="AL33" s="1897">
        <v>40.930999999999997</v>
      </c>
      <c r="AM33" s="742">
        <v>37.064999999999998</v>
      </c>
      <c r="AN33" s="742">
        <v>37.545999999999999</v>
      </c>
      <c r="AO33" s="1073">
        <v>27.135999999999999</v>
      </c>
      <c r="AP33" s="716">
        <f t="shared" si="57"/>
        <v>27.135999999999999</v>
      </c>
      <c r="AQ33" s="1897">
        <v>33.106999999999999</v>
      </c>
      <c r="AR33" s="1897">
        <v>11.023999999999999</v>
      </c>
      <c r="AS33" s="1897">
        <v>20.332000000000001</v>
      </c>
      <c r="AT33" s="1897">
        <v>46.634</v>
      </c>
      <c r="AU33" s="716">
        <f t="shared" si="58"/>
        <v>46.634</v>
      </c>
      <c r="AV33" s="1897">
        <v>151.84100000000001</v>
      </c>
      <c r="AW33" s="1897">
        <v>71.977999999999994</v>
      </c>
      <c r="AX33" s="1897">
        <v>48.412999999999997</v>
      </c>
      <c r="AY33" s="1897">
        <v>53.715000000000003</v>
      </c>
      <c r="AZ33" s="716">
        <f t="shared" si="59"/>
        <v>53.715000000000003</v>
      </c>
      <c r="BA33" s="1897">
        <v>57.095999999999997</v>
      </c>
      <c r="BB33" s="1897">
        <v>40.97</v>
      </c>
      <c r="BC33" s="1897">
        <v>61.22</v>
      </c>
      <c r="BD33" s="1897">
        <v>42.634</v>
      </c>
      <c r="BE33" s="716">
        <f t="shared" si="60"/>
        <v>42.634</v>
      </c>
      <c r="BF33" s="1897">
        <v>30.548999999999999</v>
      </c>
      <c r="BG33" s="1897">
        <v>58.326000000000001</v>
      </c>
      <c r="BH33" s="1897">
        <v>31.91</v>
      </c>
      <c r="BI33" s="1897">
        <v>49.886000000000003</v>
      </c>
      <c r="BJ33" s="1384">
        <f t="shared" si="61"/>
        <v>49.886000000000003</v>
      </c>
      <c r="BK33" s="1897">
        <v>11.125999999999999</v>
      </c>
      <c r="BL33" s="1897">
        <v>7.1289999999999996</v>
      </c>
      <c r="BM33" s="1897">
        <v>4.6040000000000001</v>
      </c>
      <c r="BN33" s="1897">
        <v>10.222</v>
      </c>
      <c r="BO33" s="1384">
        <f t="shared" si="62"/>
        <v>10.222</v>
      </c>
      <c r="BP33" s="1897">
        <v>12.986000000000001</v>
      </c>
      <c r="BQ33" s="1897">
        <v>13.696</v>
      </c>
      <c r="BR33" s="1897">
        <v>4.4379999999999997</v>
      </c>
      <c r="BS33" s="1897">
        <v>23.92</v>
      </c>
      <c r="BT33" s="1384">
        <f t="shared" si="63"/>
        <v>23.92</v>
      </c>
      <c r="BU33" s="1897">
        <v>19.934000000000001</v>
      </c>
      <c r="BV33" s="1897">
        <v>55.472999999999999</v>
      </c>
      <c r="BW33" s="1897">
        <v>71.486999999999995</v>
      </c>
      <c r="BX33" s="1897">
        <v>6.165</v>
      </c>
      <c r="BY33" s="1384">
        <f t="shared" si="64"/>
        <v>6.165</v>
      </c>
      <c r="BZ33" s="1897">
        <v>4.4580000000000002</v>
      </c>
      <c r="CA33" s="1897">
        <v>15.773999999999999</v>
      </c>
      <c r="CB33" s="1897">
        <v>10.662000000000001</v>
      </c>
      <c r="CC33" s="1897">
        <v>38.362000000000002</v>
      </c>
      <c r="CD33" s="1384">
        <f t="shared" si="65"/>
        <v>38.362000000000002</v>
      </c>
      <c r="CE33" s="1897">
        <v>11.565</v>
      </c>
      <c r="CF33" s="1897">
        <v>98.653000000000006</v>
      </c>
      <c r="CG33" s="1897">
        <v>56.753999999999998</v>
      </c>
      <c r="CH33" s="1897">
        <v>14.196</v>
      </c>
      <c r="CI33" s="1384">
        <f t="shared" si="66"/>
        <v>14.196</v>
      </c>
      <c r="CJ33" s="1898">
        <v>10.590999999999999</v>
      </c>
      <c r="CK33" s="1898">
        <f>CJ33</f>
        <v>10.590999999999999</v>
      </c>
      <c r="CL33" s="1898">
        <f>CK33</f>
        <v>10.590999999999999</v>
      </c>
      <c r="CM33" s="1898">
        <f>CL33</f>
        <v>10.590999999999999</v>
      </c>
      <c r="CN33" s="968">
        <f t="shared" si="67"/>
        <v>10.590999999999999</v>
      </c>
      <c r="CO33" s="1898">
        <f>CM33</f>
        <v>10.590999999999999</v>
      </c>
      <c r="CP33" s="1898">
        <f>CO33</f>
        <v>10.590999999999999</v>
      </c>
      <c r="CQ33" s="1898">
        <f>CP33</f>
        <v>10.590999999999999</v>
      </c>
      <c r="CR33" s="1898">
        <f>CQ33</f>
        <v>10.590999999999999</v>
      </c>
      <c r="CS33" s="968">
        <f t="shared" si="68"/>
        <v>10.590999999999999</v>
      </c>
      <c r="CT33" s="1898">
        <f>CR33</f>
        <v>10.590999999999999</v>
      </c>
      <c r="CU33" s="1898">
        <f>CT33</f>
        <v>10.590999999999999</v>
      </c>
      <c r="CV33" s="1898">
        <f>CU33</f>
        <v>10.590999999999999</v>
      </c>
      <c r="CW33" s="1898">
        <f>CV33</f>
        <v>10.590999999999999</v>
      </c>
      <c r="CX33" s="1899">
        <f t="shared" si="69"/>
        <v>10.590999999999999</v>
      </c>
      <c r="DB33" s="685"/>
      <c r="DC33" s="697"/>
      <c r="DD33" s="1615"/>
      <c r="DE33" s="697"/>
    </row>
    <row r="34" spans="1:109" ht="10.5" customHeight="1" collapsed="1">
      <c r="A34" s="1885" t="s">
        <v>41</v>
      </c>
      <c r="B34" s="1317"/>
      <c r="C34" s="1299">
        <f>SUM(C26:C28,C29:C30)</f>
        <v>0</v>
      </c>
      <c r="D34" s="1299">
        <f>SUM(D26:D28,D29:D30)</f>
        <v>0</v>
      </c>
      <c r="E34" s="1299">
        <f>SUM(E26:E28,E29:E30)</f>
        <v>0</v>
      </c>
      <c r="F34" s="1299">
        <f>SUM(F26:F28,F29:F30)</f>
        <v>315.20100000000002</v>
      </c>
      <c r="G34" s="708">
        <f t="shared" si="50"/>
        <v>315.20100000000002</v>
      </c>
      <c r="H34" s="1299">
        <f>SUM(H26:H28,H29:H30)</f>
        <v>300.43100000000004</v>
      </c>
      <c r="I34" s="1299">
        <f>SUM(I26:I28,I29:I30)</f>
        <v>346.654</v>
      </c>
      <c r="J34" s="1299">
        <f>SUM(J26:J28,J29:J30)</f>
        <v>344.70799999999997</v>
      </c>
      <c r="K34" s="1299">
        <f>SUM(K26:K28,K29:K30)</f>
        <v>377.28899999999999</v>
      </c>
      <c r="L34" s="708">
        <f t="shared" si="51"/>
        <v>377.28899999999999</v>
      </c>
      <c r="M34" s="1299">
        <f>SUM(M26:M28,M29:M30)</f>
        <v>390.39800000000002</v>
      </c>
      <c r="N34" s="1299">
        <f>SUM(N26:N28,N29:N30)</f>
        <v>432.79899999999998</v>
      </c>
      <c r="O34" s="1299">
        <f>SUM(O26:O28,O29:O30)</f>
        <v>423.005</v>
      </c>
      <c r="P34" s="1299">
        <f>SUM(P26:P28,P29:P30)</f>
        <v>436.53</v>
      </c>
      <c r="Q34" s="708">
        <f t="shared" si="52"/>
        <v>436.53</v>
      </c>
      <c r="R34" s="1299">
        <f>SUM(R26:R28,R29:R30)</f>
        <v>439.79499999999996</v>
      </c>
      <c r="S34" s="1299">
        <f>SUM(S26:S28,S29:S30)</f>
        <v>421.01299999999998</v>
      </c>
      <c r="T34" s="1299">
        <f>SUM(T26:T28,T29:T30)</f>
        <v>430.22399999999999</v>
      </c>
      <c r="U34" s="1299">
        <f>SUM(U26:U28,U29:U30)</f>
        <v>451.40800000000002</v>
      </c>
      <c r="V34" s="708">
        <f t="shared" si="53"/>
        <v>451.40800000000002</v>
      </c>
      <c r="W34" s="1299">
        <f>SUM(W26:W28,W29:W30)</f>
        <v>484.18799999999999</v>
      </c>
      <c r="X34" s="1299">
        <f>SUM(X26:X28,X29:X30)</f>
        <v>517.92399999999998</v>
      </c>
      <c r="Y34" s="1299">
        <f>SUM(Y26:Y28,Y29:Y30)</f>
        <v>479.08500000000004</v>
      </c>
      <c r="Z34" s="1299">
        <f>SUM(Z26:Z28,Z29:Z30)</f>
        <v>480.39500000000004</v>
      </c>
      <c r="AA34" s="708">
        <f t="shared" si="54"/>
        <v>480.39500000000004</v>
      </c>
      <c r="AB34" s="1299">
        <f>SUM(AB26:AB28,AB29:AB30)</f>
        <v>571.29700000000003</v>
      </c>
      <c r="AC34" s="1299">
        <f>SUM(AC26:AC28,AC29:AC30)</f>
        <v>574.28099999999995</v>
      </c>
      <c r="AD34" s="1299">
        <f>SUM(AD26:AD28,AD29:AD30)</f>
        <v>557.697</v>
      </c>
      <c r="AE34" s="1299">
        <f>SUM(AE26:AE28,AE29:AE30)</f>
        <v>670.85599999999999</v>
      </c>
      <c r="AF34" s="708">
        <f t="shared" si="55"/>
        <v>670.85599999999999</v>
      </c>
      <c r="AG34" s="718">
        <f>SUM(AG26:AG28,AG29:AG30)</f>
        <v>655.524</v>
      </c>
      <c r="AH34" s="719">
        <f>SUM(AH26:AH28,AH29:AH30)</f>
        <v>779.08100000000002</v>
      </c>
      <c r="AI34" s="719">
        <f>SUM(AI26:AI28,AI29:AI30)</f>
        <v>807.74399999999991</v>
      </c>
      <c r="AJ34" s="720">
        <f>SUM(AJ26:AJ28,AJ29:AJ30)</f>
        <v>852.41</v>
      </c>
      <c r="AK34" s="708">
        <f t="shared" si="56"/>
        <v>852.41</v>
      </c>
      <c r="AL34" s="1299">
        <f>SUM(AL26:AL28,AL29:AL30)</f>
        <v>669.54600000000005</v>
      </c>
      <c r="AM34" s="719">
        <f>SUM(AM26:AM28,AM29:AM30)</f>
        <v>672.76499999999999</v>
      </c>
      <c r="AN34" s="719">
        <f>SUM(AN26:AN28,AN29:AN30)</f>
        <v>661.66300000000001</v>
      </c>
      <c r="AO34" s="720">
        <f>SUM(AO26:AO28,AO29:AO30)</f>
        <v>762.59899999999993</v>
      </c>
      <c r="AP34" s="708">
        <f t="shared" si="57"/>
        <v>762.59899999999993</v>
      </c>
      <c r="AQ34" s="1299">
        <f>SUM(AQ26:AQ28,AQ29:AQ30)</f>
        <v>636.86500000000001</v>
      </c>
      <c r="AR34" s="1299">
        <f>SUM(AR26:AR28,AR29:AR30)</f>
        <v>613.63199999999995</v>
      </c>
      <c r="AS34" s="1299">
        <f>SUM(AS26:AS28,AS29:AS30)</f>
        <v>614.38300000000004</v>
      </c>
      <c r="AT34" s="1299">
        <f>SUM(AT26:AT28,AT29:AT30)</f>
        <v>844.553</v>
      </c>
      <c r="AU34" s="708">
        <f t="shared" si="58"/>
        <v>844.553</v>
      </c>
      <c r="AV34" s="1299">
        <f>SUM(AV26:AV28,AV29:AV30)</f>
        <v>900.77400000000011</v>
      </c>
      <c r="AW34" s="1299">
        <f>SUM(AW26:AW28,AW29:AW30)</f>
        <v>969.9079999999999</v>
      </c>
      <c r="AX34" s="1299">
        <f>SUM(AX26:AX28,AX29:AX30)</f>
        <v>967.202</v>
      </c>
      <c r="AY34" s="1299">
        <f>SUM(AY26:AY28,AY29:AY30)</f>
        <v>1068.088</v>
      </c>
      <c r="AZ34" s="708">
        <f t="shared" si="59"/>
        <v>1068.088</v>
      </c>
      <c r="BA34" s="1299">
        <f>SUM(BA26:BA28,BA29:BA30)</f>
        <v>985.53200000000004</v>
      </c>
      <c r="BB34" s="1299">
        <f>SUM(BB26:BB28,BB29:BB30)</f>
        <v>1050.3789999999999</v>
      </c>
      <c r="BC34" s="1299">
        <f>SUM(BC26:BC28,BC29:BC30)</f>
        <v>1032.259</v>
      </c>
      <c r="BD34" s="1299">
        <f>SUM(BD26:BD28,BD29:BD30)</f>
        <v>1250.779</v>
      </c>
      <c r="BE34" s="708">
        <f t="shared" si="60"/>
        <v>1250.779</v>
      </c>
      <c r="BF34" s="1299">
        <f>SUM(BF26:BF28,BF29:BF30)</f>
        <v>1115.0220000000002</v>
      </c>
      <c r="BG34" s="1299">
        <f>SUM(BG26:BG28,BG29:BG30)</f>
        <v>1245.644</v>
      </c>
      <c r="BH34" s="1299">
        <f>SUM(BH26:BH28,BH29:BH30)</f>
        <v>1169.71</v>
      </c>
      <c r="BI34" s="1299">
        <f>SUM(BI26:BI28,BI29:BI30)</f>
        <v>1271.7520000000002</v>
      </c>
      <c r="BJ34" s="1381">
        <f t="shared" si="61"/>
        <v>1271.7520000000002</v>
      </c>
      <c r="BK34" s="1299">
        <f>SUM(BK26:BK28,BK29:BK30)</f>
        <v>1264.3229999999999</v>
      </c>
      <c r="BL34" s="1299">
        <f>SUM(BL26:BL28,BL29:BL30)</f>
        <v>1264.855</v>
      </c>
      <c r="BM34" s="1299">
        <f>SUM(BM26:BM28,BM29:BM30)</f>
        <v>1329.117</v>
      </c>
      <c r="BN34" s="1299">
        <f>SUM(BN26:BN28,BN29:BN30)</f>
        <v>1525.6479999999999</v>
      </c>
      <c r="BO34" s="1381">
        <f t="shared" si="62"/>
        <v>1525.6479999999999</v>
      </c>
      <c r="BP34" s="1299">
        <f>SUM(BP26:BP28,BP29:BP30)</f>
        <v>2112.3470000000002</v>
      </c>
      <c r="BQ34" s="1299">
        <f>SUM(BQ26:BQ28,BQ29:BQ30)</f>
        <v>2217.9720000000002</v>
      </c>
      <c r="BR34" s="1299">
        <f>SUM(BR26:BR28,BR29:BR30)</f>
        <v>2245.248</v>
      </c>
      <c r="BS34" s="1299">
        <f>SUM(BS26:BS28,BS29:BS30)</f>
        <v>2494.4349999999999</v>
      </c>
      <c r="BT34" s="1381">
        <f t="shared" si="63"/>
        <v>2494.4349999999999</v>
      </c>
      <c r="BU34" s="1299">
        <f>SUM(BU26:BU28,BU29:BU30)</f>
        <v>1788.1599999999999</v>
      </c>
      <c r="BV34" s="1299">
        <f>SUM(BV26:BV28,BV29:BV30)</f>
        <v>1937.0329999999997</v>
      </c>
      <c r="BW34" s="1299">
        <f>SUM(BW26:BW28,BW29:BW30)</f>
        <v>2060.8139999999999</v>
      </c>
      <c r="BX34" s="1299">
        <f>SUM(BX26:BX28,BX29:BX30)</f>
        <v>2213.556</v>
      </c>
      <c r="BY34" s="1381">
        <f t="shared" si="64"/>
        <v>2213.556</v>
      </c>
      <c r="BZ34" s="1299">
        <f>SUM(BZ26:BZ28,BZ29:BZ30)</f>
        <v>2231.806</v>
      </c>
      <c r="CA34" s="1299">
        <f>SUM(CA26:CA28,CA29:CA30)</f>
        <v>2385.5899999999997</v>
      </c>
      <c r="CB34" s="1374">
        <f>SUM(CB26:CB28,CB29:CB30)</f>
        <v>2505.6659999999997</v>
      </c>
      <c r="CC34" s="1374">
        <f>SUM(CC26:CC28,CC29:CC30)</f>
        <v>2811.6350000000002</v>
      </c>
      <c r="CD34" s="1689">
        <f t="shared" si="65"/>
        <v>2811.6350000000002</v>
      </c>
      <c r="CE34" s="1299">
        <f>SUM(CE26:CE28,CE29:CE30)</f>
        <v>2954.069</v>
      </c>
      <c r="CF34" s="1374">
        <f>SUM(CF26:CF28,CF29:CF30)</f>
        <v>3047.8959999999997</v>
      </c>
      <c r="CG34" s="1374">
        <f>SUM(CG26:CG28,CG29:CG30)</f>
        <v>3216.1440000000002</v>
      </c>
      <c r="CH34" s="1374">
        <f>SUM(CH26:CH28,CH29:CH30)</f>
        <v>3527.4569999999994</v>
      </c>
      <c r="CI34" s="1689">
        <f t="shared" si="66"/>
        <v>3527.4569999999994</v>
      </c>
      <c r="CJ34" s="1603">
        <f>SUM(CJ26:CJ28,CJ29:CJ30)</f>
        <v>3536.4690000000001</v>
      </c>
      <c r="CK34" s="1603">
        <f>SUM(CK26:CK28,CK29:CK30)</f>
        <v>3568.3251061804181</v>
      </c>
      <c r="CL34" s="1603">
        <f>SUM(CL26:CL28,CL29:CL30)</f>
        <v>3706.6721506107838</v>
      </c>
      <c r="CM34" s="1603">
        <f>SUM(CM26:CM28,CM29:CM30)</f>
        <v>4065.3395461148098</v>
      </c>
      <c r="CN34" s="1598">
        <f t="shared" si="67"/>
        <v>4065.3395461148098</v>
      </c>
      <c r="CO34" s="1603">
        <f>SUM(CO26:CO28,CO29:CO30)</f>
        <v>4192.1916623292464</v>
      </c>
      <c r="CP34" s="1603">
        <f>SUM(CP26:CP28,CP29:CP30)</f>
        <v>4220.9441693903555</v>
      </c>
      <c r="CQ34" s="1603">
        <f>SUM(CQ26:CQ28,CQ29:CQ30)</f>
        <v>4390.2090594372821</v>
      </c>
      <c r="CR34" s="1603">
        <f>SUM(CR26:CR28,CR29:CR30)</f>
        <v>4808.2021090318767</v>
      </c>
      <c r="CS34" s="1598">
        <f t="shared" si="68"/>
        <v>4808.2021090318767</v>
      </c>
      <c r="CT34" s="1603">
        <f>SUM(CT26:CT28,CT29:CT30)</f>
        <v>4939.3224405752844</v>
      </c>
      <c r="CU34" s="1603">
        <f>SUM(CU26:CU28,CU29:CU30)</f>
        <v>4943.5101597610192</v>
      </c>
      <c r="CV34" s="1603">
        <f>SUM(CV26:CV28,CV29:CV30)</f>
        <v>5106.663384646381</v>
      </c>
      <c r="CW34" s="1603">
        <f>SUM(CW26:CW28,CW29:CW30)</f>
        <v>5550.3971677748032</v>
      </c>
      <c r="CX34" s="1886">
        <f t="shared" si="69"/>
        <v>5550.3971677748032</v>
      </c>
      <c r="DB34" s="685"/>
      <c r="DC34" s="686"/>
      <c r="DD34" s="1615"/>
      <c r="DE34" s="686"/>
    </row>
    <row r="35" spans="1:109" ht="10.5" hidden="1" customHeight="1" outlineLevel="1">
      <c r="A35" s="1881" t="s">
        <v>320</v>
      </c>
      <c r="B35" s="1882"/>
      <c r="C35" s="1316"/>
      <c r="D35" s="1316"/>
      <c r="E35" s="1316"/>
      <c r="F35" s="1316"/>
      <c r="G35" s="705">
        <f t="shared" ref="G35:G43" si="71">F35</f>
        <v>0</v>
      </c>
      <c r="H35" s="1316"/>
      <c r="I35" s="1316"/>
      <c r="J35" s="1316"/>
      <c r="K35" s="1316"/>
      <c r="L35" s="705">
        <f t="shared" ref="L35:L43" si="72">K35</f>
        <v>0</v>
      </c>
      <c r="M35" s="1316"/>
      <c r="N35" s="1316"/>
      <c r="O35" s="1316"/>
      <c r="P35" s="1316"/>
      <c r="Q35" s="705">
        <f t="shared" ref="Q35:Q43" si="73">P35</f>
        <v>0</v>
      </c>
      <c r="R35" s="1316"/>
      <c r="S35" s="1316"/>
      <c r="T35" s="1316"/>
      <c r="U35" s="1316"/>
      <c r="V35" s="705">
        <f t="shared" ref="V35:V43" si="74">U35</f>
        <v>0</v>
      </c>
      <c r="W35" s="1316"/>
      <c r="X35" s="1316"/>
      <c r="Y35" s="1316"/>
      <c r="Z35" s="1316"/>
      <c r="AA35" s="705">
        <f t="shared" ref="AA35:AA43" si="75">Z35</f>
        <v>0</v>
      </c>
      <c r="AB35" s="1803"/>
      <c r="AC35" s="1803"/>
      <c r="AD35" s="1803"/>
      <c r="AE35" s="1803"/>
      <c r="AF35" s="705">
        <f t="shared" ref="AF35:AF43" si="76">AE35</f>
        <v>0</v>
      </c>
      <c r="AG35" s="1803"/>
      <c r="AH35" s="1803"/>
      <c r="AI35" s="1803"/>
      <c r="AJ35" s="1803"/>
      <c r="AK35" s="705">
        <f t="shared" ref="AK35:AK43" si="77">AJ35</f>
        <v>0</v>
      </c>
      <c r="AL35" s="1803"/>
      <c r="AM35" s="1803"/>
      <c r="AN35" s="1803"/>
      <c r="AO35" s="1803"/>
      <c r="AP35" s="705">
        <f t="shared" ref="AP35:AP43" si="78">AO35</f>
        <v>0</v>
      </c>
      <c r="AQ35" s="1803"/>
      <c r="AR35" s="1900"/>
      <c r="AS35" s="1803"/>
      <c r="AT35" s="1803"/>
      <c r="AU35" s="705">
        <f t="shared" ref="AU35:AU43" si="79">AT35</f>
        <v>0</v>
      </c>
      <c r="AV35" s="1803"/>
      <c r="AW35" s="1900"/>
      <c r="AX35" s="1900"/>
      <c r="AY35" s="1803"/>
      <c r="AZ35" s="705">
        <f t="shared" ref="AZ35:AZ43" si="80">AY35</f>
        <v>0</v>
      </c>
      <c r="BA35" s="1803"/>
      <c r="BB35" s="1901"/>
      <c r="BC35" s="1901"/>
      <c r="BD35" s="1803"/>
      <c r="BE35" s="705">
        <f t="shared" si="60"/>
        <v>0</v>
      </c>
      <c r="BF35" s="1803"/>
      <c r="BG35" s="1901"/>
      <c r="BH35" s="1901"/>
      <c r="BI35" s="1803"/>
      <c r="BJ35" s="1380">
        <f t="shared" si="61"/>
        <v>0</v>
      </c>
      <c r="BK35" s="1803"/>
      <c r="BL35" s="1901"/>
      <c r="BM35" s="1901"/>
      <c r="BN35" s="1901"/>
      <c r="BO35" s="1380">
        <f t="shared" si="62"/>
        <v>0</v>
      </c>
      <c r="BP35" s="1803"/>
      <c r="BQ35" s="1901"/>
      <c r="BR35" s="1901"/>
      <c r="BS35" s="1901"/>
      <c r="BT35" s="1380">
        <f t="shared" si="63"/>
        <v>0</v>
      </c>
      <c r="BU35" s="1803"/>
      <c r="BV35" s="1901"/>
      <c r="BW35" s="1901"/>
      <c r="BX35" s="1901"/>
      <c r="BY35" s="1380">
        <f t="shared" si="64"/>
        <v>0</v>
      </c>
      <c r="BZ35" s="1803"/>
      <c r="CA35" s="1901"/>
      <c r="CB35" s="1902"/>
      <c r="CC35" s="1903"/>
      <c r="CD35" s="1613">
        <f t="shared" si="65"/>
        <v>0</v>
      </c>
      <c r="CE35" s="1902"/>
      <c r="CF35" s="1903"/>
      <c r="CG35" s="1903"/>
      <c r="CH35" s="1903"/>
      <c r="CI35" s="1613">
        <f t="shared" si="66"/>
        <v>0</v>
      </c>
      <c r="CJ35" s="1902"/>
      <c r="CK35" s="1902"/>
      <c r="CL35" s="1902"/>
      <c r="CM35" s="1902"/>
      <c r="CN35" s="1599">
        <f t="shared" si="67"/>
        <v>0</v>
      </c>
      <c r="CO35" s="1902"/>
      <c r="CP35" s="1902"/>
      <c r="CQ35" s="1902"/>
      <c r="CR35" s="1902"/>
      <c r="CS35" s="1599">
        <f t="shared" si="68"/>
        <v>0</v>
      </c>
      <c r="CT35" s="1902"/>
      <c r="CU35" s="1902"/>
      <c r="CV35" s="1902"/>
      <c r="CW35" s="1902"/>
      <c r="CX35" s="1884">
        <f t="shared" si="69"/>
        <v>0</v>
      </c>
      <c r="DB35" s="685"/>
      <c r="DC35" s="697"/>
      <c r="DD35" s="1615"/>
      <c r="DE35" s="697"/>
    </row>
    <row r="36" spans="1:109" ht="10.5" hidden="1" customHeight="1" outlineLevel="1">
      <c r="A36" s="1881" t="s">
        <v>379</v>
      </c>
      <c r="B36" s="1882"/>
      <c r="C36" s="1316"/>
      <c r="D36" s="1316"/>
      <c r="E36" s="1316"/>
      <c r="F36" s="1316"/>
      <c r="G36" s="705">
        <f t="shared" si="71"/>
        <v>0</v>
      </c>
      <c r="H36" s="1316"/>
      <c r="I36" s="1316"/>
      <c r="J36" s="1316"/>
      <c r="K36" s="1316"/>
      <c r="L36" s="705">
        <f t="shared" si="72"/>
        <v>0</v>
      </c>
      <c r="M36" s="1316"/>
      <c r="N36" s="1316"/>
      <c r="O36" s="1316"/>
      <c r="P36" s="1316"/>
      <c r="Q36" s="705">
        <f t="shared" si="73"/>
        <v>0</v>
      </c>
      <c r="R36" s="1316"/>
      <c r="S36" s="1316"/>
      <c r="T36" s="1316"/>
      <c r="U36" s="1316"/>
      <c r="V36" s="705">
        <f t="shared" si="74"/>
        <v>0</v>
      </c>
      <c r="W36" s="1316"/>
      <c r="X36" s="1316"/>
      <c r="Y36" s="1316"/>
      <c r="Z36" s="1316"/>
      <c r="AA36" s="705">
        <f t="shared" si="75"/>
        <v>0</v>
      </c>
      <c r="AB36" s="1803"/>
      <c r="AC36" s="1803"/>
      <c r="AD36" s="1803"/>
      <c r="AE36" s="1803"/>
      <c r="AF36" s="705">
        <f t="shared" si="76"/>
        <v>0</v>
      </c>
      <c r="AG36" s="1803"/>
      <c r="AH36" s="1803"/>
      <c r="AI36" s="1803"/>
      <c r="AJ36" s="1803"/>
      <c r="AK36" s="705">
        <f t="shared" si="77"/>
        <v>0</v>
      </c>
      <c r="AL36" s="1803"/>
      <c r="AM36" s="1803"/>
      <c r="AN36" s="1803"/>
      <c r="AO36" s="1803"/>
      <c r="AP36" s="705">
        <f t="shared" si="78"/>
        <v>0</v>
      </c>
      <c r="AQ36" s="1803"/>
      <c r="AR36" s="1900"/>
      <c r="AS36" s="1803"/>
      <c r="AT36" s="1803"/>
      <c r="AU36" s="705">
        <f t="shared" si="79"/>
        <v>0</v>
      </c>
      <c r="AV36" s="1803"/>
      <c r="AW36" s="1900"/>
      <c r="AX36" s="1900"/>
      <c r="AY36" s="1803"/>
      <c r="AZ36" s="705">
        <f t="shared" si="80"/>
        <v>0</v>
      </c>
      <c r="BA36" s="1803"/>
      <c r="BB36" s="1900"/>
      <c r="BC36" s="1803"/>
      <c r="BD36" s="1803"/>
      <c r="BE36" s="705">
        <f t="shared" si="60"/>
        <v>0</v>
      </c>
      <c r="BF36" s="1803"/>
      <c r="BG36" s="1900"/>
      <c r="BH36" s="1900"/>
      <c r="BI36" s="1803"/>
      <c r="BJ36" s="1380">
        <f t="shared" si="61"/>
        <v>0</v>
      </c>
      <c r="BK36" s="1803"/>
      <c r="BL36" s="1900"/>
      <c r="BM36" s="1900"/>
      <c r="BN36" s="1900"/>
      <c r="BO36" s="1380">
        <f t="shared" si="62"/>
        <v>0</v>
      </c>
      <c r="BP36" s="1803"/>
      <c r="BQ36" s="1900"/>
      <c r="BR36" s="1900"/>
      <c r="BS36" s="1900"/>
      <c r="BT36" s="1380">
        <f t="shared" si="63"/>
        <v>0</v>
      </c>
      <c r="BU36" s="1803"/>
      <c r="BV36" s="1900"/>
      <c r="BW36" s="1900"/>
      <c r="BX36" s="1900"/>
      <c r="BY36" s="1380">
        <f t="shared" si="64"/>
        <v>0</v>
      </c>
      <c r="BZ36" s="1803"/>
      <c r="CA36" s="1900"/>
      <c r="CB36" s="1902"/>
      <c r="CC36" s="1903"/>
      <c r="CD36" s="1613">
        <f t="shared" si="65"/>
        <v>0</v>
      </c>
      <c r="CE36" s="1902"/>
      <c r="CF36" s="1903"/>
      <c r="CG36" s="1903"/>
      <c r="CH36" s="1903"/>
      <c r="CI36" s="1613">
        <f t="shared" si="66"/>
        <v>0</v>
      </c>
      <c r="CJ36" s="1902"/>
      <c r="CK36" s="1902"/>
      <c r="CL36" s="1902"/>
      <c r="CM36" s="1902"/>
      <c r="CN36" s="1599">
        <f t="shared" si="67"/>
        <v>0</v>
      </c>
      <c r="CO36" s="1902"/>
      <c r="CP36" s="1902"/>
      <c r="CQ36" s="1902"/>
      <c r="CR36" s="1902"/>
      <c r="CS36" s="1599">
        <f t="shared" si="68"/>
        <v>0</v>
      </c>
      <c r="CT36" s="1902"/>
      <c r="CU36" s="1902"/>
      <c r="CV36" s="1902"/>
      <c r="CW36" s="1902"/>
      <c r="CX36" s="1884">
        <f t="shared" si="69"/>
        <v>0</v>
      </c>
      <c r="DB36" s="685"/>
      <c r="DC36" s="697"/>
      <c r="DD36" s="1615"/>
      <c r="DE36" s="697"/>
    </row>
    <row r="37" spans="1:109" ht="10.5" customHeight="1" collapsed="1">
      <c r="A37" s="1881" t="s">
        <v>523</v>
      </c>
      <c r="B37" s="1882"/>
      <c r="C37" s="1316"/>
      <c r="D37" s="1316"/>
      <c r="E37" s="1316"/>
      <c r="F37" s="1316"/>
      <c r="G37" s="705"/>
      <c r="H37" s="1316"/>
      <c r="I37" s="1316"/>
      <c r="J37" s="1316"/>
      <c r="K37" s="1316"/>
      <c r="L37" s="705"/>
      <c r="M37" s="1316"/>
      <c r="N37" s="1316"/>
      <c r="O37" s="1316"/>
      <c r="P37" s="1316"/>
      <c r="Q37" s="705"/>
      <c r="R37" s="1316"/>
      <c r="S37" s="1316"/>
      <c r="T37" s="1316"/>
      <c r="U37" s="1316"/>
      <c r="V37" s="705"/>
      <c r="W37" s="1316"/>
      <c r="X37" s="1316"/>
      <c r="Y37" s="1316"/>
      <c r="Z37" s="1316"/>
      <c r="AA37" s="705"/>
      <c r="AB37" s="1803"/>
      <c r="AC37" s="1803"/>
      <c r="AD37" s="1803"/>
      <c r="AE37" s="1803"/>
      <c r="AF37" s="705"/>
      <c r="AG37" s="1803"/>
      <c r="AH37" s="1803"/>
      <c r="AI37" s="1803"/>
      <c r="AJ37" s="1803"/>
      <c r="AK37" s="705"/>
      <c r="AL37" s="1803">
        <v>450</v>
      </c>
      <c r="AM37" s="1803">
        <v>350</v>
      </c>
      <c r="AN37" s="1803">
        <f t="shared" ref="AN37:AP38" si="81">AM37</f>
        <v>350</v>
      </c>
      <c r="AO37" s="1803">
        <v>350</v>
      </c>
      <c r="AP37" s="705">
        <f t="shared" si="81"/>
        <v>350</v>
      </c>
      <c r="AQ37" s="1803">
        <v>350</v>
      </c>
      <c r="AR37" s="1803">
        <v>350</v>
      </c>
      <c r="AS37" s="1803">
        <v>350</v>
      </c>
      <c r="AT37" s="1803">
        <v>1000</v>
      </c>
      <c r="AU37" s="705">
        <f t="shared" si="79"/>
        <v>1000</v>
      </c>
      <c r="AV37" s="1803">
        <v>1493.546</v>
      </c>
      <c r="AW37" s="1803">
        <v>1493.6510000000001</v>
      </c>
      <c r="AX37" s="1803">
        <v>1515.752</v>
      </c>
      <c r="AY37" s="1803">
        <v>1513.662</v>
      </c>
      <c r="AZ37" s="705">
        <f t="shared" si="80"/>
        <v>1513.662</v>
      </c>
      <c r="BA37" s="1803">
        <v>1511.5530000000001</v>
      </c>
      <c r="BB37" s="1803">
        <v>1509.4280000000001</v>
      </c>
      <c r="BC37" s="1803">
        <v>1507.278</v>
      </c>
      <c r="BD37" s="1803">
        <v>1505.096</v>
      </c>
      <c r="BE37" s="705">
        <f t="shared" si="60"/>
        <v>1505.096</v>
      </c>
      <c r="BF37" s="1803">
        <v>1502.893</v>
      </c>
      <c r="BG37" s="1803">
        <v>1500.6679999999999</v>
      </c>
      <c r="BH37" s="1803">
        <v>1499.8810000000001</v>
      </c>
      <c r="BI37" s="1803">
        <v>1496.9380000000001</v>
      </c>
      <c r="BJ37" s="1380">
        <f t="shared" si="61"/>
        <v>1496.9380000000001</v>
      </c>
      <c r="BK37" s="1803">
        <v>1509.0029999999999</v>
      </c>
      <c r="BL37" s="1803">
        <v>1505.56</v>
      </c>
      <c r="BM37" s="1803">
        <v>1502.3689999999999</v>
      </c>
      <c r="BN37" s="1803">
        <v>1499.297</v>
      </c>
      <c r="BO37" s="1380">
        <f t="shared" si="62"/>
        <v>1499.297</v>
      </c>
      <c r="BP37" s="1803">
        <v>896.41800000000001</v>
      </c>
      <c r="BQ37" s="1803">
        <v>896.55100000000004</v>
      </c>
      <c r="BR37" s="1803">
        <v>901.83</v>
      </c>
      <c r="BS37" s="1803">
        <v>911.08600000000001</v>
      </c>
      <c r="BT37" s="1380">
        <f t="shared" si="63"/>
        <v>911.08600000000001</v>
      </c>
      <c r="BU37" s="1803">
        <v>1901.5540000000001</v>
      </c>
      <c r="BV37" s="1803">
        <v>1904.376</v>
      </c>
      <c r="BW37" s="1803">
        <v>1906.0940000000001</v>
      </c>
      <c r="BX37" s="1803">
        <v>1907.231</v>
      </c>
      <c r="BY37" s="1380">
        <f t="shared" si="64"/>
        <v>1907.231</v>
      </c>
      <c r="BZ37" s="1803">
        <v>1916.8309999999999</v>
      </c>
      <c r="CA37" s="1803">
        <v>1918.3889999999999</v>
      </c>
      <c r="CB37" s="1903">
        <v>1916.5909999999999</v>
      </c>
      <c r="CC37" s="1903">
        <v>1902.068</v>
      </c>
      <c r="CD37" s="1613">
        <f t="shared" si="65"/>
        <v>1902.068</v>
      </c>
      <c r="CE37" s="1803">
        <v>1884.0740000000001</v>
      </c>
      <c r="CF37" s="1903">
        <v>1888.3979999999999</v>
      </c>
      <c r="CG37" s="1903">
        <v>1889.2180000000001</v>
      </c>
      <c r="CH37" s="1903">
        <v>1881.421</v>
      </c>
      <c r="CI37" s="1613">
        <f t="shared" si="66"/>
        <v>1881.421</v>
      </c>
      <c r="CJ37" s="1902">
        <v>1874.7940000000001</v>
      </c>
      <c r="CK37" s="1902">
        <f>CK117+CK118</f>
        <v>1901.6</v>
      </c>
      <c r="CL37" s="1902">
        <f>CL117+CL118</f>
        <v>1901.6</v>
      </c>
      <c r="CM37" s="1902">
        <f>CM117+CM118</f>
        <v>1901.6</v>
      </c>
      <c r="CN37" s="1599">
        <f t="shared" si="67"/>
        <v>1901.6</v>
      </c>
      <c r="CO37" s="1902">
        <f>CO117+CO118</f>
        <v>1901.6</v>
      </c>
      <c r="CP37" s="1902">
        <f>CP117+CP118</f>
        <v>1901.6</v>
      </c>
      <c r="CQ37" s="1902">
        <f>CQ117+CQ118</f>
        <v>1901.6</v>
      </c>
      <c r="CR37" s="1902">
        <f>CR117+CR118</f>
        <v>1901.6</v>
      </c>
      <c r="CS37" s="1599">
        <f t="shared" si="68"/>
        <v>1901.6</v>
      </c>
      <c r="CT37" s="1902">
        <f>CT117+CT118</f>
        <v>1901.6</v>
      </c>
      <c r="CU37" s="1902">
        <f>CU117+CU118</f>
        <v>1901.6</v>
      </c>
      <c r="CV37" s="1902">
        <f>CV117+CV118</f>
        <v>1901.6</v>
      </c>
      <c r="CW37" s="1902">
        <f>CW117+CW118</f>
        <v>1901.6</v>
      </c>
      <c r="CX37" s="1884">
        <f t="shared" si="69"/>
        <v>1901.6</v>
      </c>
      <c r="DB37" s="685"/>
      <c r="DC37" s="697"/>
      <c r="DD37" s="1615"/>
      <c r="DE37" s="697"/>
    </row>
    <row r="38" spans="1:109" ht="10.5" customHeight="1">
      <c r="A38" s="1881" t="s">
        <v>359</v>
      </c>
      <c r="B38" s="1882"/>
      <c r="C38" s="1316"/>
      <c r="D38" s="1316"/>
      <c r="E38" s="1316"/>
      <c r="F38" s="1316"/>
      <c r="G38" s="705"/>
      <c r="H38" s="1316"/>
      <c r="I38" s="1316"/>
      <c r="J38" s="1316"/>
      <c r="K38" s="1316"/>
      <c r="L38" s="705"/>
      <c r="M38" s="1316"/>
      <c r="N38" s="1316"/>
      <c r="O38" s="1316"/>
      <c r="P38" s="1316"/>
      <c r="Q38" s="705"/>
      <c r="R38" s="1316"/>
      <c r="S38" s="1316"/>
      <c r="T38" s="1316"/>
      <c r="U38" s="1316"/>
      <c r="V38" s="705"/>
      <c r="W38" s="1316"/>
      <c r="X38" s="1316"/>
      <c r="Y38" s="1316"/>
      <c r="Z38" s="1316"/>
      <c r="AA38" s="705"/>
      <c r="AB38" s="1803"/>
      <c r="AC38" s="1803"/>
      <c r="AD38" s="1803"/>
      <c r="AE38" s="1803"/>
      <c r="AF38" s="705"/>
      <c r="AG38" s="1803"/>
      <c r="AH38" s="1803"/>
      <c r="AI38" s="1803"/>
      <c r="AJ38" s="1803"/>
      <c r="AK38" s="705"/>
      <c r="AL38" s="1803">
        <v>197.74100000000001</v>
      </c>
      <c r="AM38" s="1803">
        <v>200.11099999999999</v>
      </c>
      <c r="AN38" s="1803">
        <v>99.635999999999996</v>
      </c>
      <c r="AO38" s="1803">
        <v>123.182</v>
      </c>
      <c r="AP38" s="705">
        <f t="shared" si="81"/>
        <v>123.182</v>
      </c>
      <c r="AQ38" s="1803">
        <v>120.289</v>
      </c>
      <c r="AR38" s="1803">
        <v>137.24</v>
      </c>
      <c r="AS38" s="1803">
        <v>137.29599999999999</v>
      </c>
      <c r="AT38" s="1803">
        <v>223.52799999999999</v>
      </c>
      <c r="AU38" s="705">
        <f>AT38</f>
        <v>223.52799999999999</v>
      </c>
      <c r="AV38" s="1803">
        <v>224.273</v>
      </c>
      <c r="AW38" s="1803">
        <v>218.15299999999999</v>
      </c>
      <c r="AX38" s="1803">
        <v>221.73599999999999</v>
      </c>
      <c r="AY38" s="1803">
        <v>164.71299999999999</v>
      </c>
      <c r="AZ38" s="705">
        <f>AY38</f>
        <v>164.71299999999999</v>
      </c>
      <c r="BA38" s="1803">
        <v>170.721</v>
      </c>
      <c r="BB38" s="1803">
        <v>173.023</v>
      </c>
      <c r="BC38" s="1803">
        <v>143.02799999999999</v>
      </c>
      <c r="BD38" s="1803">
        <v>156.958</v>
      </c>
      <c r="BE38" s="705">
        <f>BD38</f>
        <v>156.958</v>
      </c>
      <c r="BF38" s="1803">
        <v>150.137</v>
      </c>
      <c r="BG38" s="1803">
        <v>151.67099999999999</v>
      </c>
      <c r="BH38" s="1803">
        <v>151.946</v>
      </c>
      <c r="BI38" s="1803">
        <v>155.096</v>
      </c>
      <c r="BJ38" s="1380">
        <f>BI38</f>
        <v>155.096</v>
      </c>
      <c r="BK38" s="1803">
        <v>159.85900000000001</v>
      </c>
      <c r="BL38" s="1803">
        <v>161.93700000000001</v>
      </c>
      <c r="BM38" s="1803">
        <v>120.52500000000001</v>
      </c>
      <c r="BN38" s="1803">
        <v>132.54499999999999</v>
      </c>
      <c r="BO38" s="1380">
        <f>BN38</f>
        <v>132.54499999999999</v>
      </c>
      <c r="BP38" s="1803">
        <v>135.202</v>
      </c>
      <c r="BQ38" s="1803">
        <v>139.87</v>
      </c>
      <c r="BR38" s="1803">
        <v>141.47300000000001</v>
      </c>
      <c r="BS38" s="1803">
        <v>125.746</v>
      </c>
      <c r="BT38" s="1380">
        <f>BS38</f>
        <v>125.746</v>
      </c>
      <c r="BU38" s="1803">
        <v>245.06299999999999</v>
      </c>
      <c r="BV38" s="1803">
        <v>244.79900000000001</v>
      </c>
      <c r="BW38" s="1803">
        <v>250.56899999999999</v>
      </c>
      <c r="BX38" s="1803">
        <v>256.12900000000002</v>
      </c>
      <c r="BY38" s="1380">
        <f>BX38</f>
        <v>256.12900000000002</v>
      </c>
      <c r="BZ38" s="1803">
        <v>261.30500000000001</v>
      </c>
      <c r="CA38" s="1803">
        <v>273.221</v>
      </c>
      <c r="CB38" s="1903">
        <v>276.13099999999997</v>
      </c>
      <c r="CC38" s="1903">
        <v>184.381</v>
      </c>
      <c r="CD38" s="1613">
        <f>CC38</f>
        <v>184.381</v>
      </c>
      <c r="CE38" s="1803">
        <v>148.79599999999999</v>
      </c>
      <c r="CF38" s="1903">
        <v>163.624</v>
      </c>
      <c r="CG38" s="1903">
        <v>173.023</v>
      </c>
      <c r="CH38" s="1903">
        <v>173.08799999999999</v>
      </c>
      <c r="CI38" s="1613">
        <f>CH38</f>
        <v>173.08799999999999</v>
      </c>
      <c r="CJ38" s="1902">
        <v>690.46799999999996</v>
      </c>
      <c r="CK38" s="1902">
        <f>CJ38</f>
        <v>690.46799999999996</v>
      </c>
      <c r="CL38" s="1902">
        <f>CK38</f>
        <v>690.46799999999996</v>
      </c>
      <c r="CM38" s="1902">
        <f>CL38</f>
        <v>690.46799999999996</v>
      </c>
      <c r="CN38" s="1599">
        <f>CM38</f>
        <v>690.46799999999996</v>
      </c>
      <c r="CO38" s="1902">
        <f>CM38</f>
        <v>690.46799999999996</v>
      </c>
      <c r="CP38" s="1902">
        <f>CO38</f>
        <v>690.46799999999996</v>
      </c>
      <c r="CQ38" s="1902">
        <f>CP38</f>
        <v>690.46799999999996</v>
      </c>
      <c r="CR38" s="1902">
        <f>CQ38</f>
        <v>690.46799999999996</v>
      </c>
      <c r="CS38" s="1599">
        <f t="shared" si="68"/>
        <v>690.46799999999996</v>
      </c>
      <c r="CT38" s="1902">
        <f>CR38</f>
        <v>690.46799999999996</v>
      </c>
      <c r="CU38" s="1902">
        <f>CT38</f>
        <v>690.46799999999996</v>
      </c>
      <c r="CV38" s="1902">
        <f>CU38</f>
        <v>690.46799999999996</v>
      </c>
      <c r="CW38" s="1902">
        <f>CV38</f>
        <v>690.46799999999996</v>
      </c>
      <c r="CX38" s="1884">
        <f t="shared" si="69"/>
        <v>690.46799999999996</v>
      </c>
      <c r="DB38" s="685"/>
      <c r="DC38" s="697"/>
      <c r="DD38" s="1615"/>
      <c r="DE38" s="697"/>
    </row>
    <row r="39" spans="1:109" ht="10.5" customHeight="1">
      <c r="A39" s="1881" t="s">
        <v>353</v>
      </c>
      <c r="B39" s="1882"/>
      <c r="C39" s="1316"/>
      <c r="D39" s="1316"/>
      <c r="E39" s="1316"/>
      <c r="F39" s="1316"/>
      <c r="G39" s="705">
        <f t="shared" si="71"/>
        <v>0</v>
      </c>
      <c r="H39" s="1316"/>
      <c r="I39" s="1316"/>
      <c r="J39" s="1316"/>
      <c r="K39" s="1316"/>
      <c r="L39" s="705">
        <f t="shared" si="72"/>
        <v>0</v>
      </c>
      <c r="M39" s="1316"/>
      <c r="N39" s="1316"/>
      <c r="O39" s="1316"/>
      <c r="P39" s="1316"/>
      <c r="Q39" s="705">
        <f t="shared" si="73"/>
        <v>0</v>
      </c>
      <c r="R39" s="1316"/>
      <c r="S39" s="1316"/>
      <c r="T39" s="1316"/>
      <c r="U39" s="1316"/>
      <c r="V39" s="705">
        <f t="shared" si="74"/>
        <v>0</v>
      </c>
      <c r="W39" s="1316"/>
      <c r="X39" s="1316"/>
      <c r="Y39" s="1316"/>
      <c r="Z39" s="1316">
        <v>9.7309999999999999</v>
      </c>
      <c r="AA39" s="701">
        <f t="shared" si="75"/>
        <v>9.7309999999999999</v>
      </c>
      <c r="AB39" s="702">
        <v>12.355</v>
      </c>
      <c r="AC39" s="703">
        <v>12.603</v>
      </c>
      <c r="AD39" s="703">
        <v>21.282</v>
      </c>
      <c r="AE39" s="704">
        <v>32.643999999999998</v>
      </c>
      <c r="AF39" s="705">
        <f t="shared" si="76"/>
        <v>32.643999999999998</v>
      </c>
      <c r="AG39" s="702">
        <v>30.847000000000001</v>
      </c>
      <c r="AH39" s="703">
        <v>29.465</v>
      </c>
      <c r="AI39" s="703">
        <v>27.66</v>
      </c>
      <c r="AJ39" s="704">
        <v>25.95</v>
      </c>
      <c r="AK39" s="705">
        <f t="shared" si="77"/>
        <v>25.95</v>
      </c>
      <c r="AL39" s="702">
        <v>22.956</v>
      </c>
      <c r="AM39" s="703">
        <v>24.818999999999999</v>
      </c>
      <c r="AN39" s="703">
        <v>27.838000000000001</v>
      </c>
      <c r="AO39" s="704">
        <v>31.356000000000002</v>
      </c>
      <c r="AP39" s="705">
        <f t="shared" si="78"/>
        <v>31.356000000000002</v>
      </c>
      <c r="AQ39" s="702">
        <v>26.972999999999999</v>
      </c>
      <c r="AR39" s="703">
        <v>28.123999999999999</v>
      </c>
      <c r="AS39" s="703">
        <v>29.866</v>
      </c>
      <c r="AT39" s="703">
        <v>36.716999999999999</v>
      </c>
      <c r="AU39" s="705">
        <f t="shared" si="79"/>
        <v>36.716999999999999</v>
      </c>
      <c r="AV39" s="702">
        <v>39.207999999999998</v>
      </c>
      <c r="AW39" s="703">
        <v>41.777000000000001</v>
      </c>
      <c r="AX39" s="703">
        <v>44.988</v>
      </c>
      <c r="AY39" s="703">
        <v>48.929000000000002</v>
      </c>
      <c r="AZ39" s="705">
        <f t="shared" si="80"/>
        <v>48.929000000000002</v>
      </c>
      <c r="BA39" s="702">
        <v>43.826000000000001</v>
      </c>
      <c r="BB39" s="703">
        <v>43.948999999999998</v>
      </c>
      <c r="BC39" s="703">
        <v>44.369</v>
      </c>
      <c r="BD39" s="703">
        <v>55.302999999999997</v>
      </c>
      <c r="BE39" s="705">
        <f t="shared" si="60"/>
        <v>55.302999999999997</v>
      </c>
      <c r="BF39" s="702">
        <v>56.418999999999997</v>
      </c>
      <c r="BG39" s="703">
        <v>57.662999999999997</v>
      </c>
      <c r="BH39" s="703">
        <v>54.686999999999998</v>
      </c>
      <c r="BI39" s="703">
        <v>58.101999999999997</v>
      </c>
      <c r="BJ39" s="1380">
        <f t="shared" si="61"/>
        <v>58.101999999999997</v>
      </c>
      <c r="BK39" s="702">
        <v>54.197000000000003</v>
      </c>
      <c r="BL39" s="703">
        <v>52.375999999999998</v>
      </c>
      <c r="BM39" s="703">
        <v>50.932000000000002</v>
      </c>
      <c r="BN39" s="703">
        <v>53.268000000000001</v>
      </c>
      <c r="BO39" s="1380">
        <f t="shared" si="62"/>
        <v>53.268000000000001</v>
      </c>
      <c r="BP39" s="702">
        <v>50.01</v>
      </c>
      <c r="BQ39" s="703">
        <v>49.494999999999997</v>
      </c>
      <c r="BR39" s="703">
        <v>48.975000000000001</v>
      </c>
      <c r="BS39" s="703">
        <v>57.401000000000003</v>
      </c>
      <c r="BT39" s="1380">
        <f t="shared" si="63"/>
        <v>57.401000000000003</v>
      </c>
      <c r="BU39" s="702">
        <v>53.567999999999998</v>
      </c>
      <c r="BV39" s="703">
        <v>52.613</v>
      </c>
      <c r="BW39" s="703">
        <v>46.317</v>
      </c>
      <c r="BX39" s="703">
        <v>51.094000000000001</v>
      </c>
      <c r="BY39" s="1380">
        <f t="shared" si="64"/>
        <v>51.094000000000001</v>
      </c>
      <c r="BZ39" s="702">
        <v>44.838999999999999</v>
      </c>
      <c r="CA39" s="703">
        <v>48.411000000000001</v>
      </c>
      <c r="CB39" s="1652">
        <v>52.703000000000003</v>
      </c>
      <c r="CC39" s="1652">
        <v>69.131</v>
      </c>
      <c r="CD39" s="1613">
        <f t="shared" si="65"/>
        <v>69.131</v>
      </c>
      <c r="CE39" s="702">
        <v>72.238</v>
      </c>
      <c r="CF39" s="1652">
        <v>69.039000000000001</v>
      </c>
      <c r="CG39" s="1652">
        <v>68.093000000000004</v>
      </c>
      <c r="CH39" s="1652">
        <v>88.591999999999999</v>
      </c>
      <c r="CI39" s="1613">
        <f t="shared" si="66"/>
        <v>88.591999999999999</v>
      </c>
      <c r="CJ39" s="1600">
        <v>88.46</v>
      </c>
      <c r="CK39" s="1600">
        <f>CK106*Model!CK24</f>
        <v>86.906290812817417</v>
      </c>
      <c r="CL39" s="1600">
        <f>CL106*Model!CL24</f>
        <v>85.903236256913658</v>
      </c>
      <c r="CM39" s="1600">
        <f>CM106*Model!CM24</f>
        <v>107.4491574556193</v>
      </c>
      <c r="CN39" s="1599">
        <f t="shared" si="67"/>
        <v>107.4491574556193</v>
      </c>
      <c r="CO39" s="1600">
        <f>CO106*Model!CO24</f>
        <v>107.50209057656325</v>
      </c>
      <c r="CP39" s="1600">
        <f>CP106*Model!CP24</f>
        <v>105.29842096067924</v>
      </c>
      <c r="CQ39" s="1600">
        <f>CQ106*Model!CQ24</f>
        <v>104.40823803296581</v>
      </c>
      <c r="CR39" s="1600">
        <f>CR106*Model!CR24</f>
        <v>129.99195221836592</v>
      </c>
      <c r="CS39" s="1599">
        <f t="shared" si="68"/>
        <v>129.99195221836592</v>
      </c>
      <c r="CT39" s="1600">
        <f>CT106*Model!CT24</f>
        <v>129.39463942873485</v>
      </c>
      <c r="CU39" s="1600">
        <f>CU106*Model!CU24</f>
        <v>126.03413002368757</v>
      </c>
      <c r="CV39" s="1600">
        <f>CV106*Model!CV24</f>
        <v>124.15767646140527</v>
      </c>
      <c r="CW39" s="1600">
        <f>CW106*Model!CW24</f>
        <v>152.84648602750966</v>
      </c>
      <c r="CX39" s="1884">
        <f t="shared" si="69"/>
        <v>152.84648602750966</v>
      </c>
      <c r="DB39" s="685"/>
      <c r="DC39" s="697"/>
      <c r="DD39" s="1615"/>
      <c r="DE39" s="697"/>
    </row>
    <row r="40" spans="1:109" ht="10.5" customHeight="1">
      <c r="A40" s="1881" t="s">
        <v>36</v>
      </c>
      <c r="B40" s="1882"/>
      <c r="C40" s="1316"/>
      <c r="D40" s="1316"/>
      <c r="E40" s="1316"/>
      <c r="F40" s="1316"/>
      <c r="G40" s="705">
        <f t="shared" si="71"/>
        <v>0</v>
      </c>
      <c r="H40" s="1316">
        <v>0</v>
      </c>
      <c r="I40" s="1316">
        <v>0</v>
      </c>
      <c r="J40" s="1316">
        <v>0</v>
      </c>
      <c r="K40" s="1316">
        <v>0</v>
      </c>
      <c r="L40" s="705">
        <f t="shared" si="72"/>
        <v>0</v>
      </c>
      <c r="M40" s="1316">
        <v>0</v>
      </c>
      <c r="N40" s="1316">
        <v>0</v>
      </c>
      <c r="O40" s="1316">
        <v>0</v>
      </c>
      <c r="P40" s="1316">
        <v>17.715</v>
      </c>
      <c r="Q40" s="705">
        <f t="shared" si="73"/>
        <v>17.715</v>
      </c>
      <c r="R40" s="1316">
        <v>34.226999999999997</v>
      </c>
      <c r="S40" s="1316">
        <v>49.862000000000002</v>
      </c>
      <c r="T40" s="1316">
        <v>59.731000000000002</v>
      </c>
      <c r="U40" s="1316">
        <v>78.909000000000006</v>
      </c>
      <c r="V40" s="705">
        <f t="shared" si="74"/>
        <v>78.909000000000006</v>
      </c>
      <c r="W40" s="1316">
        <v>8.9990000000000006</v>
      </c>
      <c r="X40" s="1316">
        <v>28.622</v>
      </c>
      <c r="Y40" s="1316">
        <v>41.883000000000003</v>
      </c>
      <c r="Z40" s="1316">
        <v>78.8</v>
      </c>
      <c r="AA40" s="701">
        <f t="shared" si="75"/>
        <v>78.8</v>
      </c>
      <c r="AB40" s="702">
        <v>110.991</v>
      </c>
      <c r="AC40" s="703">
        <v>112.06699999999999</v>
      </c>
      <c r="AD40" s="703">
        <v>95.564999999999998</v>
      </c>
      <c r="AE40" s="704">
        <v>70.715000000000003</v>
      </c>
      <c r="AF40" s="705">
        <f t="shared" si="76"/>
        <v>70.715000000000003</v>
      </c>
      <c r="AG40" s="702">
        <v>78.367999999999995</v>
      </c>
      <c r="AH40" s="703">
        <v>97.97</v>
      </c>
      <c r="AI40" s="703">
        <v>60.777000000000001</v>
      </c>
      <c r="AJ40" s="704">
        <v>148.94300000000001</v>
      </c>
      <c r="AK40" s="705">
        <f t="shared" si="77"/>
        <v>148.94300000000001</v>
      </c>
      <c r="AL40" s="702">
        <v>146.34399999999999</v>
      </c>
      <c r="AM40" s="703">
        <v>137.852</v>
      </c>
      <c r="AN40" s="703">
        <v>96.826999999999998</v>
      </c>
      <c r="AO40" s="704">
        <v>117.328</v>
      </c>
      <c r="AP40" s="705">
        <f t="shared" si="78"/>
        <v>117.328</v>
      </c>
      <c r="AQ40" s="702">
        <v>114.60299999999999</v>
      </c>
      <c r="AR40" s="703">
        <v>104.49</v>
      </c>
      <c r="AS40" s="703">
        <v>105.59699999999999</v>
      </c>
      <c r="AT40" s="703">
        <v>252.48599999999999</v>
      </c>
      <c r="AU40" s="705">
        <f t="shared" si="79"/>
        <v>252.48599999999999</v>
      </c>
      <c r="AV40" s="702">
        <v>79.67</v>
      </c>
      <c r="AW40" s="703">
        <v>66.141999999999996</v>
      </c>
      <c r="AX40" s="703">
        <v>73.108000000000004</v>
      </c>
      <c r="AY40" s="703">
        <v>103.098</v>
      </c>
      <c r="AZ40" s="705">
        <f t="shared" si="80"/>
        <v>103.098</v>
      </c>
      <c r="BA40" s="702">
        <v>120.756</v>
      </c>
      <c r="BB40" s="703">
        <v>121.996</v>
      </c>
      <c r="BC40" s="703">
        <v>151.065</v>
      </c>
      <c r="BD40" s="703">
        <v>181.602</v>
      </c>
      <c r="BE40" s="705">
        <f t="shared" si="60"/>
        <v>181.602</v>
      </c>
      <c r="BF40" s="702">
        <v>254.19300000000001</v>
      </c>
      <c r="BG40" s="703">
        <v>250.756</v>
      </c>
      <c r="BH40" s="703">
        <v>253.626</v>
      </c>
      <c r="BI40" s="703">
        <v>265.10599999999999</v>
      </c>
      <c r="BJ40" s="1380">
        <f t="shared" si="61"/>
        <v>265.10599999999999</v>
      </c>
      <c r="BK40" s="702">
        <v>292.77</v>
      </c>
      <c r="BL40" s="703">
        <v>286.10399999999998</v>
      </c>
      <c r="BM40" s="703">
        <v>328.31</v>
      </c>
      <c r="BN40" s="703">
        <v>375.63400000000001</v>
      </c>
      <c r="BO40" s="1380">
        <f t="shared" si="62"/>
        <v>375.63400000000001</v>
      </c>
      <c r="BP40" s="702">
        <v>362.85899999999998</v>
      </c>
      <c r="BQ40" s="703">
        <v>351.61200000000002</v>
      </c>
      <c r="BR40" s="703">
        <v>344.71499999999997</v>
      </c>
      <c r="BS40" s="703">
        <v>342.315</v>
      </c>
      <c r="BT40" s="1380">
        <f t="shared" si="63"/>
        <v>342.315</v>
      </c>
      <c r="BU40" s="702">
        <v>348.64400000000001</v>
      </c>
      <c r="BV40" s="703">
        <v>326.92200000000003</v>
      </c>
      <c r="BW40" s="703">
        <v>316.142</v>
      </c>
      <c r="BX40" s="703">
        <v>208.209</v>
      </c>
      <c r="BY40" s="1380">
        <f t="shared" si="64"/>
        <v>208.209</v>
      </c>
      <c r="BZ40" s="702">
        <v>265.74799999999999</v>
      </c>
      <c r="CA40" s="703">
        <v>245.61099999999999</v>
      </c>
      <c r="CB40" s="1652">
        <v>238.459</v>
      </c>
      <c r="CC40" s="1652">
        <v>217.66</v>
      </c>
      <c r="CD40" s="1613">
        <f t="shared" si="65"/>
        <v>217.66</v>
      </c>
      <c r="CE40" s="702">
        <v>286.40699999999998</v>
      </c>
      <c r="CF40" s="1652">
        <v>279.649</v>
      </c>
      <c r="CG40" s="1652">
        <v>276.27100000000002</v>
      </c>
      <c r="CH40" s="1652">
        <v>279.94099999999997</v>
      </c>
      <c r="CI40" s="1613">
        <f t="shared" si="66"/>
        <v>279.94099999999997</v>
      </c>
      <c r="CJ40" s="1600">
        <v>0</v>
      </c>
      <c r="CK40" s="1600">
        <f t="shared" ref="CK40:CM41" si="82">CJ40</f>
        <v>0</v>
      </c>
      <c r="CL40" s="1600">
        <f t="shared" si="82"/>
        <v>0</v>
      </c>
      <c r="CM40" s="1600">
        <f t="shared" si="82"/>
        <v>0</v>
      </c>
      <c r="CN40" s="1599">
        <f t="shared" si="67"/>
        <v>0</v>
      </c>
      <c r="CO40" s="1600">
        <f>CM40</f>
        <v>0</v>
      </c>
      <c r="CP40" s="1600">
        <f t="shared" ref="CP40:CR41" si="83">CO40</f>
        <v>0</v>
      </c>
      <c r="CQ40" s="1600">
        <f t="shared" si="83"/>
        <v>0</v>
      </c>
      <c r="CR40" s="1600">
        <f t="shared" si="83"/>
        <v>0</v>
      </c>
      <c r="CS40" s="1599">
        <f t="shared" si="68"/>
        <v>0</v>
      </c>
      <c r="CT40" s="1600">
        <f>CR40</f>
        <v>0</v>
      </c>
      <c r="CU40" s="1600">
        <f t="shared" ref="CU40:CU41" si="84">CT40</f>
        <v>0</v>
      </c>
      <c r="CV40" s="1600">
        <f t="shared" ref="CV40:CV41" si="85">CU40</f>
        <v>0</v>
      </c>
      <c r="CW40" s="1600">
        <f t="shared" ref="CW40:CW41" si="86">CV40</f>
        <v>0</v>
      </c>
      <c r="CX40" s="1884">
        <f t="shared" si="69"/>
        <v>0</v>
      </c>
      <c r="DB40" s="685"/>
      <c r="DC40" s="697"/>
      <c r="DD40" s="1615"/>
      <c r="DE40" s="697"/>
    </row>
    <row r="41" spans="1:109" ht="10.5" customHeight="1">
      <c r="A41" s="1881" t="s">
        <v>391</v>
      </c>
      <c r="B41" s="1882"/>
      <c r="C41" s="1316"/>
      <c r="D41" s="1316"/>
      <c r="E41" s="1316"/>
      <c r="F41" s="1316"/>
      <c r="G41" s="705">
        <f t="shared" si="71"/>
        <v>0</v>
      </c>
      <c r="H41" s="1316"/>
      <c r="I41" s="1316"/>
      <c r="J41" s="1316"/>
      <c r="K41" s="1316"/>
      <c r="L41" s="705">
        <f t="shared" si="72"/>
        <v>0</v>
      </c>
      <c r="M41" s="1316"/>
      <c r="N41" s="1316"/>
      <c r="O41" s="1316"/>
      <c r="P41" s="1316"/>
      <c r="Q41" s="705">
        <f t="shared" si="73"/>
        <v>0</v>
      </c>
      <c r="R41" s="1316"/>
      <c r="S41" s="1316"/>
      <c r="T41" s="1316">
        <v>5.0970000000000004</v>
      </c>
      <c r="U41" s="1316">
        <v>4.8380000000000001</v>
      </c>
      <c r="V41" s="705">
        <f t="shared" si="74"/>
        <v>4.8380000000000001</v>
      </c>
      <c r="W41" s="1316">
        <v>5.0579999999999998</v>
      </c>
      <c r="X41" s="1316">
        <v>4.7670000000000003</v>
      </c>
      <c r="Y41" s="1316">
        <v>4.476</v>
      </c>
      <c r="Z41" s="1316">
        <v>7.0629999999999997</v>
      </c>
      <c r="AA41" s="701">
        <f t="shared" si="75"/>
        <v>7.0629999999999997</v>
      </c>
      <c r="AB41" s="702">
        <f>22.564+7.914</f>
        <v>30.478000000000002</v>
      </c>
      <c r="AC41" s="703">
        <f>25.506+8.422</f>
        <v>33.927999999999997</v>
      </c>
      <c r="AD41" s="703">
        <f>24.218+8.204</f>
        <v>32.421999999999997</v>
      </c>
      <c r="AE41" s="704">
        <f>21.984+7.982</f>
        <v>29.966000000000001</v>
      </c>
      <c r="AF41" s="705">
        <f t="shared" si="76"/>
        <v>29.966000000000001</v>
      </c>
      <c r="AG41" s="702">
        <f>19.12+12.25</f>
        <v>31.37</v>
      </c>
      <c r="AH41" s="703">
        <f>17.021+16.7</f>
        <v>33.721000000000004</v>
      </c>
      <c r="AI41" s="703">
        <f>15.887+21.393</f>
        <v>37.28</v>
      </c>
      <c r="AJ41" s="704">
        <f>13.987+22.407</f>
        <v>36.393999999999998</v>
      </c>
      <c r="AK41" s="705">
        <f t="shared" si="77"/>
        <v>36.393999999999998</v>
      </c>
      <c r="AL41" s="702">
        <f>28.095+12.069</f>
        <v>40.164000000000001</v>
      </c>
      <c r="AM41" s="703">
        <f>24.061+10.152</f>
        <v>34.213000000000001</v>
      </c>
      <c r="AN41" s="703">
        <f>23.248+8.096</f>
        <v>31.344000000000001</v>
      </c>
      <c r="AO41" s="704">
        <f>20.565+6.214</f>
        <v>26.779000000000003</v>
      </c>
      <c r="AP41" s="705">
        <f t="shared" si="78"/>
        <v>26.779000000000003</v>
      </c>
      <c r="AQ41" s="702">
        <f>6.995+20.711</f>
        <v>27.706</v>
      </c>
      <c r="AR41" s="703">
        <f>6.559+22.659</f>
        <v>29.218</v>
      </c>
      <c r="AS41" s="703">
        <f>25.293+4.967</f>
        <v>30.259999999999998</v>
      </c>
      <c r="AT41" s="703">
        <f>27.464+6.921</f>
        <v>34.384999999999998</v>
      </c>
      <c r="AU41" s="705">
        <f t="shared" si="79"/>
        <v>34.384999999999998</v>
      </c>
      <c r="AV41" s="702">
        <f>30.074+6.104</f>
        <v>36.178000000000004</v>
      </c>
      <c r="AW41" s="703">
        <f>7.729+30.816</f>
        <v>38.545000000000002</v>
      </c>
      <c r="AX41" s="703">
        <f>31.554+7.831</f>
        <v>39.384999999999998</v>
      </c>
      <c r="AY41" s="703">
        <f>42.017+8.254</f>
        <v>50.271000000000001</v>
      </c>
      <c r="AZ41" s="705">
        <f t="shared" si="80"/>
        <v>50.271000000000001</v>
      </c>
      <c r="BA41" s="702">
        <f>44.922+7.307</f>
        <v>52.228999999999999</v>
      </c>
      <c r="BB41" s="703">
        <f>44.323+7.203</f>
        <v>51.526000000000003</v>
      </c>
      <c r="BC41" s="703">
        <f>42.782+8.019</f>
        <v>50.800999999999995</v>
      </c>
      <c r="BD41" s="703">
        <f>50.883+7.449</f>
        <v>58.332000000000001</v>
      </c>
      <c r="BE41" s="705">
        <f t="shared" si="60"/>
        <v>58.332000000000001</v>
      </c>
      <c r="BF41" s="702">
        <f>54.939+12.803</f>
        <v>67.742000000000004</v>
      </c>
      <c r="BG41" s="703">
        <f>47.636+12.148</f>
        <v>59.784000000000006</v>
      </c>
      <c r="BH41" s="703">
        <f>48.764+12.706</f>
        <v>61.47</v>
      </c>
      <c r="BI41" s="703">
        <f>50.084+12.263</f>
        <v>62.347000000000001</v>
      </c>
      <c r="BJ41" s="1380">
        <f t="shared" si="61"/>
        <v>62.347000000000001</v>
      </c>
      <c r="BK41" s="702">
        <f>70.168+10.053</f>
        <v>80.221000000000004</v>
      </c>
      <c r="BL41" s="703">
        <f>73.445+8.79</f>
        <v>82.234999999999985</v>
      </c>
      <c r="BM41" s="703">
        <f>60.902+7.242</f>
        <v>68.144000000000005</v>
      </c>
      <c r="BN41" s="703">
        <f>61.555+7.717</f>
        <v>69.272000000000006</v>
      </c>
      <c r="BO41" s="1380">
        <f t="shared" si="62"/>
        <v>69.272000000000006</v>
      </c>
      <c r="BP41" s="702">
        <f>71.171+6.992</f>
        <v>78.163000000000011</v>
      </c>
      <c r="BQ41" s="703">
        <f>73.712+6.099</f>
        <v>79.811000000000007</v>
      </c>
      <c r="BR41" s="703">
        <f>74.403+5.776</f>
        <v>80.179000000000002</v>
      </c>
      <c r="BS41" s="703">
        <f>73.747+5.194</f>
        <v>78.941000000000003</v>
      </c>
      <c r="BT41" s="1380">
        <f t="shared" si="63"/>
        <v>78.941000000000003</v>
      </c>
      <c r="BU41" s="702">
        <f>4.495+77.918</f>
        <v>82.413000000000011</v>
      </c>
      <c r="BV41" s="703">
        <f>85.19+4.347</f>
        <v>89.536999999999992</v>
      </c>
      <c r="BW41" s="703">
        <f>83.985+3.142</f>
        <v>87.126999999999995</v>
      </c>
      <c r="BX41" s="703">
        <f>85.459+3.214</f>
        <v>88.673000000000002</v>
      </c>
      <c r="BY41" s="1380">
        <f t="shared" si="64"/>
        <v>88.673000000000002</v>
      </c>
      <c r="BZ41" s="702">
        <v>94.950999999999993</v>
      </c>
      <c r="CA41" s="703">
        <v>96.95</v>
      </c>
      <c r="CB41" s="1652">
        <v>99.944999999999993</v>
      </c>
      <c r="CC41" s="1652">
        <v>97.403999999999996</v>
      </c>
      <c r="CD41" s="1613">
        <f t="shared" si="65"/>
        <v>97.403999999999996</v>
      </c>
      <c r="CE41" s="702">
        <v>110.509</v>
      </c>
      <c r="CF41" s="1652">
        <v>112.29600000000001</v>
      </c>
      <c r="CG41" s="1652">
        <v>113.63200000000001</v>
      </c>
      <c r="CH41" s="1652">
        <v>125.188</v>
      </c>
      <c r="CI41" s="1613">
        <f t="shared" si="66"/>
        <v>125.188</v>
      </c>
      <c r="CJ41" s="1600">
        <v>149.26599999999999</v>
      </c>
      <c r="CK41" s="1600">
        <f t="shared" si="82"/>
        <v>149.26599999999999</v>
      </c>
      <c r="CL41" s="1600">
        <f t="shared" si="82"/>
        <v>149.26599999999999</v>
      </c>
      <c r="CM41" s="1600">
        <f t="shared" si="82"/>
        <v>149.26599999999999</v>
      </c>
      <c r="CN41" s="1599">
        <f t="shared" si="67"/>
        <v>149.26599999999999</v>
      </c>
      <c r="CO41" s="1600">
        <f>CM41</f>
        <v>149.26599999999999</v>
      </c>
      <c r="CP41" s="1600">
        <f t="shared" si="83"/>
        <v>149.26599999999999</v>
      </c>
      <c r="CQ41" s="1600">
        <f t="shared" si="83"/>
        <v>149.26599999999999</v>
      </c>
      <c r="CR41" s="1600">
        <f t="shared" si="83"/>
        <v>149.26599999999999</v>
      </c>
      <c r="CS41" s="1599">
        <f t="shared" si="68"/>
        <v>149.26599999999999</v>
      </c>
      <c r="CT41" s="1600">
        <f>CR41</f>
        <v>149.26599999999999</v>
      </c>
      <c r="CU41" s="1600">
        <f t="shared" si="84"/>
        <v>149.26599999999999</v>
      </c>
      <c r="CV41" s="1600">
        <f t="shared" si="85"/>
        <v>149.26599999999999</v>
      </c>
      <c r="CW41" s="1600">
        <f t="shared" si="86"/>
        <v>149.26599999999999</v>
      </c>
      <c r="CX41" s="1884">
        <f t="shared" si="69"/>
        <v>149.26599999999999</v>
      </c>
      <c r="DB41" s="685"/>
      <c r="DC41" s="697"/>
      <c r="DD41" s="1615"/>
      <c r="DE41" s="697"/>
    </row>
    <row r="42" spans="1:109" ht="10.5" customHeight="1">
      <c r="A42" s="1881"/>
      <c r="B42" s="1882"/>
      <c r="C42" s="1316"/>
      <c r="D42" s="1316"/>
      <c r="E42" s="1316"/>
      <c r="F42" s="1316"/>
      <c r="G42" s="705"/>
      <c r="H42" s="1316"/>
      <c r="I42" s="1316"/>
      <c r="J42" s="1316"/>
      <c r="K42" s="1316"/>
      <c r="L42" s="705"/>
      <c r="M42" s="1316"/>
      <c r="N42" s="1316"/>
      <c r="O42" s="1316"/>
      <c r="P42" s="1316"/>
      <c r="Q42" s="705"/>
      <c r="R42" s="1316"/>
      <c r="S42" s="1316"/>
      <c r="T42" s="1316"/>
      <c r="U42" s="1316"/>
      <c r="V42" s="705"/>
      <c r="W42" s="1316"/>
      <c r="X42" s="1316"/>
      <c r="Y42" s="1316"/>
      <c r="Z42" s="1316"/>
      <c r="AA42" s="701"/>
      <c r="AB42" s="703"/>
      <c r="AC42" s="703"/>
      <c r="AD42" s="703"/>
      <c r="AE42" s="703"/>
      <c r="AF42" s="705"/>
      <c r="AG42" s="703"/>
      <c r="AH42" s="703"/>
      <c r="AI42" s="703"/>
      <c r="AJ42" s="703"/>
      <c r="AK42" s="705"/>
      <c r="AL42" s="703"/>
      <c r="AM42" s="703"/>
      <c r="AN42" s="703"/>
      <c r="AO42" s="703"/>
      <c r="AP42" s="705"/>
      <c r="AQ42" s="703"/>
      <c r="AR42" s="703"/>
      <c r="AS42" s="703"/>
      <c r="AT42" s="703"/>
      <c r="AU42" s="705"/>
      <c r="AV42" s="703"/>
      <c r="AW42" s="703"/>
      <c r="AX42" s="703"/>
      <c r="AY42" s="703"/>
      <c r="AZ42" s="705"/>
      <c r="BA42" s="703"/>
      <c r="BB42" s="703"/>
      <c r="BC42" s="703"/>
      <c r="BD42" s="703"/>
      <c r="BE42" s="705"/>
      <c r="BF42" s="703"/>
      <c r="BG42" s="703"/>
      <c r="BH42" s="703"/>
      <c r="BI42" s="703"/>
      <c r="BJ42" s="1380"/>
      <c r="BK42" s="703"/>
      <c r="BL42" s="703"/>
      <c r="BM42" s="703"/>
      <c r="BN42" s="703"/>
      <c r="BO42" s="1380"/>
      <c r="BP42" s="703"/>
      <c r="BQ42" s="703"/>
      <c r="BR42" s="703"/>
      <c r="BS42" s="703"/>
      <c r="BT42" s="1380"/>
      <c r="BU42" s="703"/>
      <c r="BV42" s="703"/>
      <c r="BW42" s="703"/>
      <c r="BX42" s="703"/>
      <c r="BY42" s="1380"/>
      <c r="BZ42" s="703"/>
      <c r="CA42" s="703"/>
      <c r="CB42" s="1652"/>
      <c r="CC42" s="1652"/>
      <c r="CD42" s="1613"/>
      <c r="CE42" s="1600"/>
      <c r="CF42" s="1652"/>
      <c r="CG42" s="1652"/>
      <c r="CH42" s="1652"/>
      <c r="CI42" s="1613"/>
      <c r="CJ42" s="1600"/>
      <c r="CK42" s="1600"/>
      <c r="CL42" s="1600"/>
      <c r="CM42" s="1600"/>
      <c r="CN42" s="1599"/>
      <c r="CO42" s="1600"/>
      <c r="CP42" s="1600"/>
      <c r="CQ42" s="1600"/>
      <c r="CR42" s="1600"/>
      <c r="CS42" s="1599"/>
      <c r="CT42" s="1600"/>
      <c r="CU42" s="1600"/>
      <c r="CV42" s="1600"/>
      <c r="CW42" s="1600"/>
      <c r="CX42" s="1884"/>
      <c r="DB42" s="685"/>
      <c r="DC42" s="697"/>
      <c r="DD42" s="1615"/>
      <c r="DE42" s="697"/>
    </row>
    <row r="43" spans="1:109" ht="13.5" customHeight="1">
      <c r="A43" s="1904" t="s">
        <v>42</v>
      </c>
      <c r="B43" s="722"/>
      <c r="C43" s="723">
        <f>SUM(C34:C41)</f>
        <v>0</v>
      </c>
      <c r="D43" s="723">
        <f>SUM(D34:D41)</f>
        <v>0</v>
      </c>
      <c r="E43" s="723">
        <f>SUM(E34:E41)</f>
        <v>0</v>
      </c>
      <c r="F43" s="723">
        <f>SUM(F34:F41)</f>
        <v>315.20100000000002</v>
      </c>
      <c r="G43" s="724">
        <f t="shared" si="71"/>
        <v>315.20100000000002</v>
      </c>
      <c r="H43" s="723">
        <f>SUM(H34:H41)</f>
        <v>300.43100000000004</v>
      </c>
      <c r="I43" s="723">
        <f>SUM(I34:I41)</f>
        <v>346.654</v>
      </c>
      <c r="J43" s="723">
        <f>SUM(J34:J41)</f>
        <v>344.70799999999997</v>
      </c>
      <c r="K43" s="723">
        <f>SUM(K34:K41)</f>
        <v>377.28899999999999</v>
      </c>
      <c r="L43" s="724">
        <f t="shared" si="72"/>
        <v>377.28899999999999</v>
      </c>
      <c r="M43" s="723">
        <f>SUM(M34:M41)</f>
        <v>390.39800000000002</v>
      </c>
      <c r="N43" s="723">
        <f>SUM(N34:N41)</f>
        <v>432.79899999999998</v>
      </c>
      <c r="O43" s="723">
        <f>SUM(O34:O41)</f>
        <v>423.005</v>
      </c>
      <c r="P43" s="723">
        <f>SUM(P34:P41)</f>
        <v>454.24499999999995</v>
      </c>
      <c r="Q43" s="724">
        <f t="shared" si="73"/>
        <v>454.24499999999995</v>
      </c>
      <c r="R43" s="723">
        <f>SUM(R34:R41)</f>
        <v>474.02199999999993</v>
      </c>
      <c r="S43" s="723">
        <f>SUM(S34:S41)</f>
        <v>470.875</v>
      </c>
      <c r="T43" s="723">
        <f>SUM(T34:T41)</f>
        <v>495.05199999999996</v>
      </c>
      <c r="U43" s="723">
        <f>SUM(U34:U41)</f>
        <v>535.15499999999997</v>
      </c>
      <c r="V43" s="724">
        <f t="shared" si="74"/>
        <v>535.15499999999997</v>
      </c>
      <c r="W43" s="723">
        <f>SUM(W34:W41)</f>
        <v>498.245</v>
      </c>
      <c r="X43" s="723">
        <f>SUM(X34:X41)</f>
        <v>551.31299999999999</v>
      </c>
      <c r="Y43" s="723">
        <f>SUM(Y34:Y41)</f>
        <v>525.44400000000007</v>
      </c>
      <c r="Z43" s="723">
        <f>SUM(Z34:Z41)</f>
        <v>575.98900000000003</v>
      </c>
      <c r="AA43" s="724">
        <f t="shared" si="75"/>
        <v>575.98900000000003</v>
      </c>
      <c r="AB43" s="723">
        <f>SUM(AB34:AB41)</f>
        <v>725.12099999999998</v>
      </c>
      <c r="AC43" s="723">
        <f>SUM(AC34:AC41)</f>
        <v>732.87899999999991</v>
      </c>
      <c r="AD43" s="723">
        <f>SUM(AD34:AD41)</f>
        <v>706.96600000000012</v>
      </c>
      <c r="AE43" s="723">
        <f>SUM(AE34:AE41)</f>
        <v>804.18100000000004</v>
      </c>
      <c r="AF43" s="724">
        <f t="shared" si="76"/>
        <v>804.18100000000004</v>
      </c>
      <c r="AG43" s="723">
        <f>SUM(AG34:AG41)</f>
        <v>796.10900000000004</v>
      </c>
      <c r="AH43" s="723">
        <f>SUM(AH34:AH41)</f>
        <v>940.23700000000008</v>
      </c>
      <c r="AI43" s="723">
        <f>SUM(AI34:AI41)</f>
        <v>933.4609999999999</v>
      </c>
      <c r="AJ43" s="723">
        <f>SUM(AJ34:AJ41)</f>
        <v>1063.6970000000001</v>
      </c>
      <c r="AK43" s="724">
        <f t="shared" si="77"/>
        <v>1063.6970000000001</v>
      </c>
      <c r="AL43" s="723">
        <f>SUM(AL34:AL41)</f>
        <v>1526.751</v>
      </c>
      <c r="AM43" s="723">
        <f>SUM(AM34:AM41)</f>
        <v>1419.76</v>
      </c>
      <c r="AN43" s="723">
        <f>SUM(AN34:AN41)</f>
        <v>1267.308</v>
      </c>
      <c r="AO43" s="723">
        <f>SUM(AO34:AO41)</f>
        <v>1411.2439999999999</v>
      </c>
      <c r="AP43" s="724">
        <f t="shared" si="78"/>
        <v>1411.2439999999999</v>
      </c>
      <c r="AQ43" s="723">
        <f>SUM(AQ34:AQ41)</f>
        <v>1276.4359999999999</v>
      </c>
      <c r="AR43" s="723">
        <f>SUM(AR34:AR41)</f>
        <v>1262.704</v>
      </c>
      <c r="AS43" s="723">
        <f>SUM(AS34:AS41)</f>
        <v>1267.402</v>
      </c>
      <c r="AT43" s="723">
        <f>SUM(AT34:AT41)</f>
        <v>2391.6689999999999</v>
      </c>
      <c r="AU43" s="724">
        <f t="shared" si="79"/>
        <v>2391.6689999999999</v>
      </c>
      <c r="AV43" s="723">
        <f>SUM(AV34:AV41)</f>
        <v>2773.6490000000003</v>
      </c>
      <c r="AW43" s="723">
        <f>SUM(AW34:AW41)</f>
        <v>2828.1759999999999</v>
      </c>
      <c r="AX43" s="723">
        <f>SUM(AX34:AX41)</f>
        <v>2862.1709999999998</v>
      </c>
      <c r="AY43" s="723">
        <f>SUM(AY34:AY41)</f>
        <v>2948.7610000000004</v>
      </c>
      <c r="AZ43" s="724">
        <f t="shared" si="80"/>
        <v>2948.7610000000004</v>
      </c>
      <c r="BA43" s="723">
        <f>SUM(BA34:BA41)</f>
        <v>2884.6169999999997</v>
      </c>
      <c r="BB43" s="723">
        <f>SUM(BB34:BB41)</f>
        <v>2950.3009999999999</v>
      </c>
      <c r="BC43" s="723">
        <f>SUM(BC34:BC41)</f>
        <v>2928.8</v>
      </c>
      <c r="BD43" s="723">
        <f>SUM(BD34:BD41)</f>
        <v>3208.0699999999997</v>
      </c>
      <c r="BE43" s="724">
        <f t="shared" si="60"/>
        <v>3208.0699999999997</v>
      </c>
      <c r="BF43" s="723">
        <f>SUM(BF34:BF41)</f>
        <v>3146.4060000000004</v>
      </c>
      <c r="BG43" s="723">
        <f>SUM(BG34:BG41)</f>
        <v>3266.1859999999997</v>
      </c>
      <c r="BH43" s="723">
        <f>SUM(BH34:BH41)</f>
        <v>3191.32</v>
      </c>
      <c r="BI43" s="723">
        <f>SUM(BI34:BI41)</f>
        <v>3309.3410000000008</v>
      </c>
      <c r="BJ43" s="1385">
        <f t="shared" si="61"/>
        <v>3309.3410000000008</v>
      </c>
      <c r="BK43" s="723">
        <f>SUM(BK34:BK41)</f>
        <v>3360.373</v>
      </c>
      <c r="BL43" s="723">
        <f>SUM(BL34:BL41)</f>
        <v>3353.067</v>
      </c>
      <c r="BM43" s="723">
        <f>SUM(BM34:BM41)</f>
        <v>3399.3969999999999</v>
      </c>
      <c r="BN43" s="723">
        <f>SUM(BN34:BN41)</f>
        <v>3655.6639999999998</v>
      </c>
      <c r="BO43" s="1385">
        <f t="shared" si="62"/>
        <v>3655.6639999999998</v>
      </c>
      <c r="BP43" s="723">
        <f>SUM(BP34:BP41)</f>
        <v>3634.9990000000007</v>
      </c>
      <c r="BQ43" s="723">
        <f>SUM(BQ34:BQ41)</f>
        <v>3735.3110000000001</v>
      </c>
      <c r="BR43" s="723">
        <f>SUM(BR34:BR41)</f>
        <v>3762.42</v>
      </c>
      <c r="BS43" s="723">
        <f>SUM(BS34:BS41)</f>
        <v>4009.9239999999995</v>
      </c>
      <c r="BT43" s="1385">
        <f t="shared" si="63"/>
        <v>4009.9239999999995</v>
      </c>
      <c r="BU43" s="723">
        <f>SUM(BU34:BU41)</f>
        <v>4419.402</v>
      </c>
      <c r="BV43" s="723">
        <f>SUM(BV34:BV41)</f>
        <v>4555.2800000000007</v>
      </c>
      <c r="BW43" s="723">
        <f>SUM(BW34:BW41)</f>
        <v>4667.0630000000001</v>
      </c>
      <c r="BX43" s="723">
        <f>SUM(BX34:BX41)</f>
        <v>4724.8919999999998</v>
      </c>
      <c r="BY43" s="1385">
        <f t="shared" si="64"/>
        <v>4724.8919999999998</v>
      </c>
      <c r="BZ43" s="723">
        <f>SUM(BZ34:BZ41)</f>
        <v>4815.4799999999996</v>
      </c>
      <c r="CA43" s="723">
        <f>SUM(CA34:CA41)</f>
        <v>4968.1719999999987</v>
      </c>
      <c r="CB43" s="723">
        <f>SUM(CB34:CB41)</f>
        <v>5089.4949999999999</v>
      </c>
      <c r="CC43" s="723">
        <f>SUM(CC34:CC41)</f>
        <v>5282.2790000000005</v>
      </c>
      <c r="CD43" s="1693">
        <f t="shared" si="65"/>
        <v>5282.2790000000005</v>
      </c>
      <c r="CE43" s="723">
        <f>SUM(CE34:CE41)</f>
        <v>5456.0930000000008</v>
      </c>
      <c r="CF43" s="1746">
        <f>SUM(CF34:CF41)</f>
        <v>5560.902</v>
      </c>
      <c r="CG43" s="1746">
        <f>SUM(CG34:CG41)</f>
        <v>5736.3809999999994</v>
      </c>
      <c r="CH43" s="723">
        <f>SUM(CH34:CH41)</f>
        <v>6075.686999999999</v>
      </c>
      <c r="CI43" s="1693">
        <f t="shared" si="66"/>
        <v>6075.686999999999</v>
      </c>
      <c r="CJ43" s="1601">
        <f>SUM(CJ34:CJ41)</f>
        <v>6339.4569999999994</v>
      </c>
      <c r="CK43" s="1601">
        <f>SUM(CK34:CK41)</f>
        <v>6396.5653969932346</v>
      </c>
      <c r="CL43" s="1601">
        <f>SUM(CL34:CL41)</f>
        <v>6533.9093868676964</v>
      </c>
      <c r="CM43" s="1601">
        <f>SUM(CM34:CM41)</f>
        <v>6914.1227035704287</v>
      </c>
      <c r="CN43" s="1602">
        <f t="shared" si="67"/>
        <v>6914.1227035704287</v>
      </c>
      <c r="CO43" s="1601">
        <f>SUM(CO34:CO41)</f>
        <v>7041.0277529058085</v>
      </c>
      <c r="CP43" s="1601">
        <f>SUM(CP34:CP41)</f>
        <v>7067.5765903510346</v>
      </c>
      <c r="CQ43" s="1601">
        <f>SUM(CQ34:CQ41)</f>
        <v>7235.9512974702475</v>
      </c>
      <c r="CR43" s="1601">
        <f>SUM(CR34:CR41)</f>
        <v>7679.528061250242</v>
      </c>
      <c r="CS43" s="1602">
        <f>CR43</f>
        <v>7679.528061250242</v>
      </c>
      <c r="CT43" s="1601">
        <f>SUM(CT34:CT41)</f>
        <v>7810.0510800040192</v>
      </c>
      <c r="CU43" s="1601">
        <f>SUM(CU34:CU41)</f>
        <v>7810.8782897847068</v>
      </c>
      <c r="CV43" s="1601">
        <f>SUM(CV34:CV41)</f>
        <v>7972.1550611077864</v>
      </c>
      <c r="CW43" s="1601">
        <f>SUM(CW34:CW41)</f>
        <v>8444.5776538023129</v>
      </c>
      <c r="CX43" s="1905">
        <f>CW43</f>
        <v>8444.5776538023129</v>
      </c>
      <c r="DB43" s="685"/>
      <c r="DC43" s="686"/>
      <c r="DD43" s="1616"/>
      <c r="DE43" s="686"/>
    </row>
    <row r="44" spans="1:109" ht="10.5" customHeight="1">
      <c r="A44" s="710" t="s">
        <v>303</v>
      </c>
      <c r="B44" s="710"/>
      <c r="C44" s="700"/>
      <c r="D44" s="700"/>
      <c r="E44" s="700"/>
      <c r="F44" s="700">
        <v>29.576000000000001</v>
      </c>
      <c r="G44" s="705">
        <f>+F44</f>
        <v>29.576000000000001</v>
      </c>
      <c r="H44" s="700">
        <v>29.576000000000001</v>
      </c>
      <c r="I44" s="700">
        <v>29.576000000000001</v>
      </c>
      <c r="J44" s="700">
        <v>29.576000000000001</v>
      </c>
      <c r="K44" s="700">
        <v>29.576000000000001</v>
      </c>
      <c r="L44" s="705">
        <f>+K44</f>
        <v>29.576000000000001</v>
      </c>
      <c r="M44" s="700">
        <v>29.576000000000001</v>
      </c>
      <c r="N44" s="700">
        <v>29.576000000000001</v>
      </c>
      <c r="O44" s="700">
        <v>29.576000000000001</v>
      </c>
      <c r="P44" s="700">
        <v>29.576000000000001</v>
      </c>
      <c r="Q44" s="705">
        <f>+P44</f>
        <v>29.576000000000001</v>
      </c>
      <c r="R44" s="700">
        <v>29.576000000000001</v>
      </c>
      <c r="S44" s="700">
        <v>29.576000000000001</v>
      </c>
      <c r="T44" s="700">
        <v>29.576000000000001</v>
      </c>
      <c r="U44" s="700">
        <v>29.576000000000001</v>
      </c>
      <c r="V44" s="705">
        <f>+U44</f>
        <v>29.576000000000001</v>
      </c>
      <c r="W44" s="700">
        <v>29.576000000000001</v>
      </c>
      <c r="X44" s="700">
        <v>29.6</v>
      </c>
      <c r="Y44" s="700">
        <v>29.6</v>
      </c>
      <c r="Z44" s="700">
        <v>29.6</v>
      </c>
      <c r="AA44" s="701">
        <f t="shared" ref="AA44:AA51" si="87">Z44</f>
        <v>29.6</v>
      </c>
      <c r="AB44" s="702">
        <v>29.908000000000001</v>
      </c>
      <c r="AC44" s="703">
        <v>29.908000000000001</v>
      </c>
      <c r="AD44" s="703">
        <v>5.6000000000000001E-2</v>
      </c>
      <c r="AE44" s="704">
        <v>5.6000000000000001E-2</v>
      </c>
      <c r="AF44" s="705">
        <f>+AE44</f>
        <v>5.6000000000000001E-2</v>
      </c>
      <c r="AG44" s="702">
        <v>6.0999999999999999E-2</v>
      </c>
      <c r="AH44" s="703">
        <v>6.0999999999999999E-2</v>
      </c>
      <c r="AI44" s="703">
        <v>6.0999999999999999E-2</v>
      </c>
      <c r="AJ44" s="704">
        <f>0.061</f>
        <v>6.0999999999999999E-2</v>
      </c>
      <c r="AK44" s="705">
        <f>+AJ44</f>
        <v>6.0999999999999999E-2</v>
      </c>
      <c r="AL44" s="702">
        <v>6.0999999999999999E-2</v>
      </c>
      <c r="AM44" s="703">
        <v>6.0999999999999999E-2</v>
      </c>
      <c r="AN44" s="703">
        <v>6.0999999999999999E-2</v>
      </c>
      <c r="AO44" s="704">
        <v>6.0999999999999999E-2</v>
      </c>
      <c r="AP44" s="705">
        <f>+AO44</f>
        <v>6.0999999999999999E-2</v>
      </c>
      <c r="AQ44" s="702">
        <v>6.0999999999999999E-2</v>
      </c>
      <c r="AR44" s="703">
        <v>6.0999999999999999E-2</v>
      </c>
      <c r="AS44" s="703">
        <v>6.0999999999999999E-2</v>
      </c>
      <c r="AT44" s="703">
        <v>6.0999999999999999E-2</v>
      </c>
      <c r="AU44" s="705">
        <f>+AT44</f>
        <v>6.0999999999999999E-2</v>
      </c>
      <c r="AV44" s="702">
        <v>6.0999999999999999E-2</v>
      </c>
      <c r="AW44" s="703">
        <v>6.0999999999999999E-2</v>
      </c>
      <c r="AX44" s="703">
        <v>6.0999999999999999E-2</v>
      </c>
      <c r="AY44" s="703">
        <v>6.0999999999999999E-2</v>
      </c>
      <c r="AZ44" s="705">
        <f>+AY44</f>
        <v>6.0999999999999999E-2</v>
      </c>
      <c r="BA44" s="702">
        <v>6.0999999999999999E-2</v>
      </c>
      <c r="BB44" s="703">
        <v>6.0999999999999999E-2</v>
      </c>
      <c r="BC44" s="703">
        <v>6.0999999999999999E-2</v>
      </c>
      <c r="BD44" s="703">
        <v>6.0999999999999999E-2</v>
      </c>
      <c r="BE44" s="705">
        <f>+BD44</f>
        <v>6.0999999999999999E-2</v>
      </c>
      <c r="BF44" s="702">
        <v>6.0999999999999999E-2</v>
      </c>
      <c r="BG44" s="703">
        <v>6.0999999999999999E-2</v>
      </c>
      <c r="BH44" s="703">
        <v>6.0999999999999999E-2</v>
      </c>
      <c r="BI44" s="703">
        <v>6.0999999999999999E-2</v>
      </c>
      <c r="BJ44" s="1380">
        <f>+BI44</f>
        <v>6.0999999999999999E-2</v>
      </c>
      <c r="BK44" s="702">
        <v>6.0999999999999999E-2</v>
      </c>
      <c r="BL44" s="703">
        <v>6.0999999999999999E-2</v>
      </c>
      <c r="BM44" s="703">
        <v>6.0999999999999999E-2</v>
      </c>
      <c r="BN44" s="703">
        <v>6.0999999999999999E-2</v>
      </c>
      <c r="BO44" s="1380">
        <f>+BN44</f>
        <v>6.0999999999999999E-2</v>
      </c>
      <c r="BP44" s="702">
        <v>6.0999999999999999E-2</v>
      </c>
      <c r="BQ44" s="703">
        <v>6.0999999999999999E-2</v>
      </c>
      <c r="BR44" s="703">
        <v>6.0999999999999999E-2</v>
      </c>
      <c r="BS44" s="703">
        <v>6.0999999999999999E-2</v>
      </c>
      <c r="BT44" s="1380">
        <f>+BS44</f>
        <v>6.0999999999999999E-2</v>
      </c>
      <c r="BU44" s="702">
        <v>6.0999999999999999E-2</v>
      </c>
      <c r="BV44" s="703">
        <v>6.0999999999999999E-2</v>
      </c>
      <c r="BW44" s="703">
        <v>6.0999999999999999E-2</v>
      </c>
      <c r="BX44" s="703">
        <v>6.0999999999999999E-2</v>
      </c>
      <c r="BY44" s="1380">
        <f>+BX44</f>
        <v>6.0999999999999999E-2</v>
      </c>
      <c r="BZ44" s="1652">
        <v>6.0999999999999999E-2</v>
      </c>
      <c r="CA44" s="703">
        <v>6.0999999999999999E-2</v>
      </c>
      <c r="CB44" s="703">
        <v>6.0999999999999999E-2</v>
      </c>
      <c r="CC44" s="703">
        <v>6.0999999999999999E-2</v>
      </c>
      <c r="CD44" s="1613">
        <f>+CC44</f>
        <v>6.0999999999999999E-2</v>
      </c>
      <c r="CE44" s="1652">
        <v>6.0999999999999999E-2</v>
      </c>
      <c r="CF44" s="1652">
        <v>6.0999999999999999E-2</v>
      </c>
      <c r="CG44" s="1652">
        <v>6.0999999999999999E-2</v>
      </c>
      <c r="CH44" s="703">
        <v>6.0999999999999999E-2</v>
      </c>
      <c r="CI44" s="1613">
        <f>+CH44</f>
        <v>6.0999999999999999E-2</v>
      </c>
      <c r="CJ44" s="1600">
        <v>6.0999999999999999E-2</v>
      </c>
      <c r="CK44" s="1600">
        <f>CJ44</f>
        <v>6.0999999999999999E-2</v>
      </c>
      <c r="CL44" s="1600">
        <f>CK44</f>
        <v>6.0999999999999999E-2</v>
      </c>
      <c r="CM44" s="1600">
        <f>CL44</f>
        <v>6.0999999999999999E-2</v>
      </c>
      <c r="CN44" s="1599">
        <f>+CM44</f>
        <v>6.0999999999999999E-2</v>
      </c>
      <c r="CO44" s="1600">
        <f>CM44</f>
        <v>6.0999999999999999E-2</v>
      </c>
      <c r="CP44" s="1600">
        <f>CO44</f>
        <v>6.0999999999999999E-2</v>
      </c>
      <c r="CQ44" s="1600">
        <f>CP44</f>
        <v>6.0999999999999999E-2</v>
      </c>
      <c r="CR44" s="1600">
        <f>CQ44</f>
        <v>6.0999999999999999E-2</v>
      </c>
      <c r="CS44" s="1599">
        <f>+CR44</f>
        <v>6.0999999999999999E-2</v>
      </c>
      <c r="CT44" s="1600">
        <f>CR44</f>
        <v>6.0999999999999999E-2</v>
      </c>
      <c r="CU44" s="1600">
        <f>CT44</f>
        <v>6.0999999999999999E-2</v>
      </c>
      <c r="CV44" s="1600">
        <f>CU44</f>
        <v>6.0999999999999999E-2</v>
      </c>
      <c r="CW44" s="1600">
        <f>CV44</f>
        <v>6.0999999999999999E-2</v>
      </c>
      <c r="CX44" s="1599">
        <f>+CW44</f>
        <v>6.0999999999999999E-2</v>
      </c>
      <c r="DB44" s="685"/>
      <c r="DC44" s="715"/>
      <c r="DD44" s="1615"/>
      <c r="DE44" s="715"/>
    </row>
    <row r="45" spans="1:109" ht="10.5" customHeight="1">
      <c r="A45" s="710" t="s">
        <v>525</v>
      </c>
      <c r="B45" s="710"/>
      <c r="C45" s="700"/>
      <c r="D45" s="700"/>
      <c r="E45" s="700"/>
      <c r="F45" s="700">
        <v>595.80999999999995</v>
      </c>
      <c r="G45" s="705">
        <f>+F45</f>
        <v>595.80999999999995</v>
      </c>
      <c r="H45" s="700">
        <f>649.618-29.576</f>
        <v>620.04200000000003</v>
      </c>
      <c r="I45" s="700">
        <f>725.357-29.576</f>
        <v>695.78099999999995</v>
      </c>
      <c r="J45" s="700">
        <f>736.531-29.576</f>
        <v>706.95499999999993</v>
      </c>
      <c r="K45" s="700">
        <v>710.27300000000002</v>
      </c>
      <c r="L45" s="705">
        <f>+K45</f>
        <v>710.27300000000002</v>
      </c>
      <c r="M45" s="700">
        <v>718.28599999999994</v>
      </c>
      <c r="N45" s="700">
        <v>746.00800000000004</v>
      </c>
      <c r="O45" s="700">
        <v>764.32299999999998</v>
      </c>
      <c r="P45" s="700">
        <v>874.12599999999998</v>
      </c>
      <c r="Q45" s="705">
        <f>+P45</f>
        <v>874.12599999999998</v>
      </c>
      <c r="R45" s="700">
        <v>901.83100000000002</v>
      </c>
      <c r="S45" s="700">
        <v>953.19500000000005</v>
      </c>
      <c r="T45" s="700">
        <v>1006.431</v>
      </c>
      <c r="U45" s="700">
        <v>1164.643</v>
      </c>
      <c r="V45" s="705">
        <f>+U45</f>
        <v>1164.643</v>
      </c>
      <c r="W45" s="700">
        <v>1228.9269999999999</v>
      </c>
      <c r="X45" s="700">
        <v>1264.712</v>
      </c>
      <c r="Y45" s="700">
        <v>1290.905</v>
      </c>
      <c r="Z45" s="700">
        <v>1321.146</v>
      </c>
      <c r="AA45" s="701">
        <f t="shared" si="87"/>
        <v>1321.146</v>
      </c>
      <c r="AB45" s="702">
        <v>2407.6849999999999</v>
      </c>
      <c r="AC45" s="703">
        <v>2388.203</v>
      </c>
      <c r="AD45" s="703">
        <v>2437.694</v>
      </c>
      <c r="AE45" s="704">
        <v>2508.9609999999998</v>
      </c>
      <c r="AF45" s="705">
        <f>+AE45</f>
        <v>2508.9609999999998</v>
      </c>
      <c r="AG45" s="702">
        <v>2429.2510000000002</v>
      </c>
      <c r="AH45" s="703">
        <v>2452.6390000000001</v>
      </c>
      <c r="AI45" s="703">
        <v>2432.489</v>
      </c>
      <c r="AJ45" s="704">
        <v>2340.9690000000001</v>
      </c>
      <c r="AK45" s="705">
        <f>+AJ45</f>
        <v>2340.9690000000001</v>
      </c>
      <c r="AL45" s="702">
        <v>2317.5819999999999</v>
      </c>
      <c r="AM45" s="703">
        <v>2308.0540000000001</v>
      </c>
      <c r="AN45" s="703">
        <v>2369.6889999999999</v>
      </c>
      <c r="AO45" s="704">
        <v>2396.819</v>
      </c>
      <c r="AP45" s="705">
        <f>+AO45</f>
        <v>2396.819</v>
      </c>
      <c r="AQ45" s="702">
        <v>2352.3829999999998</v>
      </c>
      <c r="AR45" s="703">
        <v>2361.2240000000002</v>
      </c>
      <c r="AS45" s="703">
        <v>2303.3420000000001</v>
      </c>
      <c r="AT45" s="703">
        <v>2363.6439999999998</v>
      </c>
      <c r="AU45" s="705">
        <f>+AT45</f>
        <v>2363.6439999999998</v>
      </c>
      <c r="AV45" s="702">
        <v>2339.9650000000001</v>
      </c>
      <c r="AW45" s="703">
        <v>2376.2020000000002</v>
      </c>
      <c r="AX45" s="703">
        <v>2425.0830000000001</v>
      </c>
      <c r="AY45" s="703">
        <v>2458.2779999999998</v>
      </c>
      <c r="AZ45" s="705">
        <f>+AY45</f>
        <v>2458.2779999999998</v>
      </c>
      <c r="BA45" s="702">
        <v>2529.7890000000002</v>
      </c>
      <c r="BB45" s="703">
        <v>2611.9969999999998</v>
      </c>
      <c r="BC45" s="703">
        <v>2680.4070000000002</v>
      </c>
      <c r="BD45" s="703">
        <v>2753.8960000000002</v>
      </c>
      <c r="BE45" s="705">
        <f>+BD45</f>
        <v>2753.8960000000002</v>
      </c>
      <c r="BF45" s="702">
        <v>2821.712</v>
      </c>
      <c r="BG45" s="703">
        <v>2886.953</v>
      </c>
      <c r="BH45" s="703">
        <v>2961.799</v>
      </c>
      <c r="BI45" s="703">
        <v>3038.665</v>
      </c>
      <c r="BJ45" s="1380">
        <f>+BI45</f>
        <v>3038.665</v>
      </c>
      <c r="BK45" s="702">
        <v>3116.471</v>
      </c>
      <c r="BL45" s="703">
        <v>3189.8829999999998</v>
      </c>
      <c r="BM45" s="703">
        <v>3266.17</v>
      </c>
      <c r="BN45" s="703">
        <v>3392.6959999999999</v>
      </c>
      <c r="BO45" s="1380">
        <f>+BN45</f>
        <v>3392.6959999999999</v>
      </c>
      <c r="BP45" s="702">
        <v>3475.1860000000001</v>
      </c>
      <c r="BQ45" s="703">
        <v>3562.6819999999998</v>
      </c>
      <c r="BR45" s="703">
        <v>3675.6289999999999</v>
      </c>
      <c r="BS45" s="703">
        <v>3778.4949999999999</v>
      </c>
      <c r="BT45" s="1380">
        <f>+BS45</f>
        <v>3778.4949999999999</v>
      </c>
      <c r="BU45" s="702">
        <v>3897.8380000000002</v>
      </c>
      <c r="BV45" s="703">
        <v>3994.652</v>
      </c>
      <c r="BW45" s="703">
        <v>4094.1329999999998</v>
      </c>
      <c r="BX45" s="703">
        <v>4184.8829999999998</v>
      </c>
      <c r="BY45" s="1380">
        <f>+BX45</f>
        <v>4184.8829999999998</v>
      </c>
      <c r="BZ45" s="1652">
        <v>4292.4859999999999</v>
      </c>
      <c r="CA45" s="703">
        <v>4428.2700000000004</v>
      </c>
      <c r="CB45" s="703">
        <v>4541.7979999999998</v>
      </c>
      <c r="CC45" s="703">
        <v>4616.3310000000001</v>
      </c>
      <c r="CD45" s="1613">
        <f>+CC45</f>
        <v>4616.3310000000001</v>
      </c>
      <c r="CE45" s="1652">
        <v>4719.9660000000003</v>
      </c>
      <c r="CF45" s="1652">
        <v>4836.7860000000001</v>
      </c>
      <c r="CG45" s="1652">
        <v>4988.491</v>
      </c>
      <c r="CH45" s="703">
        <v>5082.1949999999997</v>
      </c>
      <c r="CI45" s="1613">
        <f>+CH45</f>
        <v>5082.1949999999997</v>
      </c>
      <c r="CJ45" s="1600">
        <v>5208.5879999999997</v>
      </c>
      <c r="CK45" s="1600">
        <f>CK79</f>
        <v>5609.6548499999999</v>
      </c>
      <c r="CL45" s="1600">
        <f>CL79</f>
        <v>5768.91165</v>
      </c>
      <c r="CM45" s="1600">
        <f>CM79</f>
        <v>5933.8546500000002</v>
      </c>
      <c r="CN45" s="1599">
        <f>+CM45</f>
        <v>5933.8546500000002</v>
      </c>
      <c r="CO45" s="1600">
        <f>CO79</f>
        <v>6096.6792660000001</v>
      </c>
      <c r="CP45" s="1600">
        <f>CP79</f>
        <v>6288.7966859999997</v>
      </c>
      <c r="CQ45" s="1600">
        <f>CQ79</f>
        <v>6479.9048459999995</v>
      </c>
      <c r="CR45" s="1600">
        <f>CR79</f>
        <v>6677.8364459999993</v>
      </c>
      <c r="CS45" s="1599">
        <f>+CR45</f>
        <v>6677.8364459999993</v>
      </c>
      <c r="CT45" s="1600">
        <f>CT79</f>
        <v>6873.2259851999997</v>
      </c>
      <c r="CU45" s="1600">
        <f>CU79</f>
        <v>7103.7668892000002</v>
      </c>
      <c r="CV45" s="1600">
        <f>CV79</f>
        <v>7333.0966812000006</v>
      </c>
      <c r="CW45" s="1600">
        <f>CW79</f>
        <v>7570.6146012000008</v>
      </c>
      <c r="CX45" s="1599">
        <f>+CW45</f>
        <v>7570.6146012000008</v>
      </c>
      <c r="DB45" s="685"/>
      <c r="DC45" s="715"/>
      <c r="DD45" s="1615"/>
      <c r="DE45" s="715"/>
    </row>
    <row r="46" spans="1:109" ht="10.5" customHeight="1">
      <c r="A46" s="710" t="s">
        <v>90</v>
      </c>
      <c r="B46" s="710"/>
      <c r="C46" s="700"/>
      <c r="D46" s="700"/>
      <c r="E46" s="700"/>
      <c r="F46" s="700">
        <v>3.9180000000000001</v>
      </c>
      <c r="G46" s="705">
        <f>+F46</f>
        <v>3.9180000000000001</v>
      </c>
      <c r="H46" s="700">
        <v>-1.1850000000000001</v>
      </c>
      <c r="I46" s="700">
        <v>-6.5759999999999996</v>
      </c>
      <c r="J46" s="700">
        <v>-7.8520000000000003</v>
      </c>
      <c r="K46" s="700">
        <v>-3.95</v>
      </c>
      <c r="L46" s="705">
        <f>+K46</f>
        <v>-3.95</v>
      </c>
      <c r="M46" s="700">
        <v>-3.657</v>
      </c>
      <c r="N46" s="700">
        <v>-0.50600000000000001</v>
      </c>
      <c r="O46" s="700">
        <v>-0.127</v>
      </c>
      <c r="P46" s="700">
        <v>-0.999</v>
      </c>
      <c r="Q46" s="705">
        <f>+P46</f>
        <v>-0.999</v>
      </c>
      <c r="R46" s="700">
        <v>5.5819999999999999</v>
      </c>
      <c r="S46" s="700">
        <v>-4.42</v>
      </c>
      <c r="T46" s="700">
        <v>-0.55800000000000005</v>
      </c>
      <c r="U46" s="700">
        <v>-2.2890000000000001</v>
      </c>
      <c r="V46" s="705">
        <f>+U46</f>
        <v>-2.2890000000000001</v>
      </c>
      <c r="W46" s="700">
        <v>-3.2229999999999999</v>
      </c>
      <c r="X46" s="700">
        <v>0.52300000000000002</v>
      </c>
      <c r="Y46" s="700">
        <v>-2.8109999999999999</v>
      </c>
      <c r="Z46" s="700">
        <v>-0.91400000000000003</v>
      </c>
      <c r="AA46" s="701">
        <f t="shared" si="87"/>
        <v>-0.91400000000000003</v>
      </c>
      <c r="AB46" s="702">
        <v>-5.0339999999999998</v>
      </c>
      <c r="AC46" s="703">
        <v>-2.891</v>
      </c>
      <c r="AD46" s="703">
        <v>1.762</v>
      </c>
      <c r="AE46" s="704">
        <f>6.344-57.352</f>
        <v>-51.007999999999996</v>
      </c>
      <c r="AF46" s="705">
        <f>+AE46</f>
        <v>-51.007999999999996</v>
      </c>
      <c r="AG46" s="702">
        <v>7.1029999999999998</v>
      </c>
      <c r="AH46" s="703">
        <v>16.754999999999999</v>
      </c>
      <c r="AI46" s="703">
        <v>13.7</v>
      </c>
      <c r="AJ46" s="704">
        <v>27.948</v>
      </c>
      <c r="AK46" s="705">
        <f>+AJ46</f>
        <v>27.948</v>
      </c>
      <c r="AL46" s="702">
        <v>26.215</v>
      </c>
      <c r="AM46" s="703">
        <v>21.300999999999998</v>
      </c>
      <c r="AN46" s="703">
        <v>23.439</v>
      </c>
      <c r="AO46" s="704">
        <v>57.222000000000001</v>
      </c>
      <c r="AP46" s="705">
        <f>+AO46</f>
        <v>57.222000000000001</v>
      </c>
      <c r="AQ46" s="702">
        <v>25.094999999999999</v>
      </c>
      <c r="AR46" s="703">
        <v>27.31</v>
      </c>
      <c r="AS46" s="703">
        <v>21.728000000000002</v>
      </c>
      <c r="AT46" s="703">
        <v>24.446000000000002</v>
      </c>
      <c r="AU46" s="705">
        <f>+AT46</f>
        <v>24.446000000000002</v>
      </c>
      <c r="AV46" s="702">
        <v>29.109000000000002</v>
      </c>
      <c r="AW46" s="703">
        <v>39.994999999999997</v>
      </c>
      <c r="AX46" s="703">
        <v>21.571000000000002</v>
      </c>
      <c r="AY46" s="703">
        <v>17.428000000000001</v>
      </c>
      <c r="AZ46" s="705">
        <f>+AY46</f>
        <v>17.428000000000001</v>
      </c>
      <c r="BA46" s="702">
        <v>28.695</v>
      </c>
      <c r="BB46" s="703">
        <v>54.341999999999999</v>
      </c>
      <c r="BC46" s="703">
        <v>59.194000000000003</v>
      </c>
      <c r="BD46" s="703">
        <v>29.95</v>
      </c>
      <c r="BE46" s="705">
        <f>+BD46</f>
        <v>29.95</v>
      </c>
      <c r="BF46" s="702">
        <v>46.747999999999998</v>
      </c>
      <c r="BG46" s="703">
        <v>20.614999999999998</v>
      </c>
      <c r="BH46" s="703">
        <v>22.510999999999999</v>
      </c>
      <c r="BI46" s="703">
        <v>30.712</v>
      </c>
      <c r="BJ46" s="1380">
        <f>+BI46</f>
        <v>30.712</v>
      </c>
      <c r="BK46" s="702">
        <v>40.11</v>
      </c>
      <c r="BL46" s="703">
        <v>27.460999999999999</v>
      </c>
      <c r="BM46" s="703">
        <v>12.965999999999999</v>
      </c>
      <c r="BN46" s="703">
        <v>46.103000000000002</v>
      </c>
      <c r="BO46" s="1380">
        <f>+BN46</f>
        <v>46.103000000000002</v>
      </c>
      <c r="BP46" s="702">
        <v>56.591999999999999</v>
      </c>
      <c r="BQ46" s="703">
        <v>46.642000000000003</v>
      </c>
      <c r="BR46" s="703">
        <v>20.067</v>
      </c>
      <c r="BS46" s="703">
        <v>-8.0939999999999994</v>
      </c>
      <c r="BT46" s="1380">
        <f>+BS46</f>
        <v>-8.0939999999999994</v>
      </c>
      <c r="BU46" s="702">
        <v>-103.81</v>
      </c>
      <c r="BV46" s="703">
        <v>-129.47300000000001</v>
      </c>
      <c r="BW46" s="703">
        <v>-140.83099999999999</v>
      </c>
      <c r="BX46" s="703">
        <v>-169.08</v>
      </c>
      <c r="BY46" s="1380">
        <f>+BX46</f>
        <v>-169.08</v>
      </c>
      <c r="BZ46" s="1652">
        <v>-151.679</v>
      </c>
      <c r="CA46" s="703">
        <f>+-133.047</f>
        <v>-133.047</v>
      </c>
      <c r="CB46" s="703">
        <f>+-134.111</f>
        <v>-134.11099999999999</v>
      </c>
      <c r="CC46" s="703">
        <f>+-173.602</f>
        <v>-173.602</v>
      </c>
      <c r="CD46" s="1613">
        <f>+CC46</f>
        <v>-173.602</v>
      </c>
      <c r="CE46" s="1652">
        <f>+-185.409</f>
        <v>-185.40899999999999</v>
      </c>
      <c r="CF46" s="1652">
        <f>+-146.752</f>
        <v>-146.75200000000001</v>
      </c>
      <c r="CG46" s="1652">
        <f>+-98.63</f>
        <v>-98.63</v>
      </c>
      <c r="CH46" s="703">
        <f>+-111.821</f>
        <v>-111.821</v>
      </c>
      <c r="CI46" s="1613">
        <f>+CH46</f>
        <v>-111.821</v>
      </c>
      <c r="CJ46" s="1600">
        <f>+-109.939</f>
        <v>-109.93899999999999</v>
      </c>
      <c r="CK46" s="1600">
        <f>CJ46</f>
        <v>-109.93899999999999</v>
      </c>
      <c r="CL46" s="1600">
        <f>CK46</f>
        <v>-109.93899999999999</v>
      </c>
      <c r="CM46" s="1600">
        <f>CL46</f>
        <v>-109.93899999999999</v>
      </c>
      <c r="CN46" s="1599">
        <f>+CM46</f>
        <v>-109.93899999999999</v>
      </c>
      <c r="CO46" s="1600">
        <f>CM46</f>
        <v>-109.93899999999999</v>
      </c>
      <c r="CP46" s="1600">
        <f>CO46</f>
        <v>-109.93899999999999</v>
      </c>
      <c r="CQ46" s="1600">
        <f>CP46</f>
        <v>-109.93899999999999</v>
      </c>
      <c r="CR46" s="1600">
        <f>CQ46</f>
        <v>-109.93899999999999</v>
      </c>
      <c r="CS46" s="1599">
        <f>+CR46</f>
        <v>-109.93899999999999</v>
      </c>
      <c r="CT46" s="1600">
        <f>CR46</f>
        <v>-109.93899999999999</v>
      </c>
      <c r="CU46" s="1600">
        <f>CT46</f>
        <v>-109.93899999999999</v>
      </c>
      <c r="CV46" s="1600">
        <f>CU46</f>
        <v>-109.93899999999999</v>
      </c>
      <c r="CW46" s="1600">
        <f>CV46</f>
        <v>-109.93899999999999</v>
      </c>
      <c r="CX46" s="1599">
        <f>+CW46</f>
        <v>-109.93899999999999</v>
      </c>
      <c r="DB46" s="685"/>
      <c r="DC46" s="715"/>
      <c r="DD46" s="1615"/>
      <c r="DE46" s="715"/>
    </row>
    <row r="47" spans="1:109" ht="10.5" customHeight="1">
      <c r="A47" s="710" t="s">
        <v>380</v>
      </c>
      <c r="B47" s="710"/>
      <c r="C47" s="700"/>
      <c r="D47" s="700"/>
      <c r="E47" s="700"/>
      <c r="F47" s="700">
        <v>-1378.537</v>
      </c>
      <c r="G47" s="705">
        <f>+F47</f>
        <v>-1378.537</v>
      </c>
      <c r="H47" s="700">
        <v>-1371.9580000000001</v>
      </c>
      <c r="I47" s="700">
        <v>-1374.64</v>
      </c>
      <c r="J47" s="700">
        <v>-1477.1130000000001</v>
      </c>
      <c r="K47" s="700">
        <v>-1607.354</v>
      </c>
      <c r="L47" s="705">
        <f>+K47</f>
        <v>-1607.354</v>
      </c>
      <c r="M47" s="700">
        <v>-1643.8789999999999</v>
      </c>
      <c r="N47" s="700">
        <v>-1626.575</v>
      </c>
      <c r="O47" s="700">
        <v>-1650.0329999999999</v>
      </c>
      <c r="P47" s="700">
        <v>-1602.3009999999999</v>
      </c>
      <c r="Q47" s="705">
        <f>+P47</f>
        <v>-1602.3009999999999</v>
      </c>
      <c r="R47" s="700">
        <v>-1639.9490000000001</v>
      </c>
      <c r="S47" s="700">
        <v>-1742.9659999999999</v>
      </c>
      <c r="T47" s="700">
        <v>-1938.046</v>
      </c>
      <c r="U47" s="700">
        <v>-2007.26</v>
      </c>
      <c r="V47" s="705">
        <f>+U47</f>
        <v>-2007.26</v>
      </c>
      <c r="W47" s="700">
        <v>-2018.3720000000001</v>
      </c>
      <c r="X47" s="700">
        <v>-1962.3309999999999</v>
      </c>
      <c r="Y47" s="700">
        <v>-1919.8579999999999</v>
      </c>
      <c r="Z47" s="700">
        <v>-2324.0720000000001</v>
      </c>
      <c r="AA47" s="701">
        <f t="shared" si="87"/>
        <v>-2324.0720000000001</v>
      </c>
      <c r="AB47" s="702">
        <v>-299.58499999999998</v>
      </c>
      <c r="AC47" s="703">
        <v>-713.34699999999998</v>
      </c>
      <c r="AD47" s="703">
        <v>-686.82399999999996</v>
      </c>
      <c r="AE47" s="704">
        <v>-623.92399999999998</v>
      </c>
      <c r="AF47" s="705">
        <f>+AE47</f>
        <v>-623.92399999999998</v>
      </c>
      <c r="AG47" s="702">
        <v>-789.97699999999998</v>
      </c>
      <c r="AH47" s="703">
        <v>-887.88499999999999</v>
      </c>
      <c r="AI47" s="703">
        <v>-1532.634</v>
      </c>
      <c r="AJ47" s="704">
        <v>-1760.588</v>
      </c>
      <c r="AK47" s="705">
        <f>+AJ47</f>
        <v>-1760.588</v>
      </c>
      <c r="AL47" s="702">
        <v>-2790.6779999999999</v>
      </c>
      <c r="AM47" s="703">
        <v>-2764.6390000000001</v>
      </c>
      <c r="AN47" s="703">
        <v>-2689.2359999999999</v>
      </c>
      <c r="AO47" s="704">
        <v>-2957.154</v>
      </c>
      <c r="AP47" s="705">
        <f>+AO47</f>
        <v>-2957.154</v>
      </c>
      <c r="AQ47" s="702">
        <v>-2836.2190000000001</v>
      </c>
      <c r="AR47" s="703">
        <v>-2783.4650000000001</v>
      </c>
      <c r="AS47" s="703">
        <v>-2962.53</v>
      </c>
      <c r="AT47" s="703">
        <v>-2823.9140000000002</v>
      </c>
      <c r="AU47" s="705">
        <f>+AT47</f>
        <v>-2823.9140000000002</v>
      </c>
      <c r="AV47" s="702">
        <v>-2624.7829999999999</v>
      </c>
      <c r="AW47" s="703">
        <v>-2807.6</v>
      </c>
      <c r="AX47" s="703">
        <v>-3100.721</v>
      </c>
      <c r="AY47" s="703">
        <v>-3264.2939999999999</v>
      </c>
      <c r="AZ47" s="705">
        <f>+AY47</f>
        <v>-3264.2939999999999</v>
      </c>
      <c r="BA47" s="702">
        <v>-3178.7689999999998</v>
      </c>
      <c r="BB47" s="703">
        <v>-3505.5590000000002</v>
      </c>
      <c r="BC47" s="703">
        <v>-3557.2339999999999</v>
      </c>
      <c r="BD47" s="703">
        <f>-3529.529</f>
        <v>-3529.529</v>
      </c>
      <c r="BE47" s="705">
        <f>+BD47</f>
        <v>-3529.529</v>
      </c>
      <c r="BF47" s="702">
        <v>-3379.2890000000002</v>
      </c>
      <c r="BG47" s="703">
        <v>-3479.2130000000002</v>
      </c>
      <c r="BH47" s="703">
        <v>-3361.0529999999999</v>
      </c>
      <c r="BI47" s="703">
        <v>-3407.259</v>
      </c>
      <c r="BJ47" s="1380">
        <f>+BI47</f>
        <v>-3407.259</v>
      </c>
      <c r="BK47" s="702">
        <v>-3159.7930000000001</v>
      </c>
      <c r="BL47" s="703">
        <v>-3145.5659999999998</v>
      </c>
      <c r="BM47" s="703">
        <f>-3322.654</f>
        <v>-3322.654</v>
      </c>
      <c r="BN47" s="703">
        <v>-3643.19</v>
      </c>
      <c r="BO47" s="1380">
        <f>+BN47</f>
        <v>-3643.19</v>
      </c>
      <c r="BP47" s="702">
        <v>-3655.6570000000002</v>
      </c>
      <c r="BQ47" s="703">
        <v>-3778.6010000000001</v>
      </c>
      <c r="BR47" s="703">
        <v>-3815.2869999999998</v>
      </c>
      <c r="BS47" s="703">
        <v>-3918.8510000000001</v>
      </c>
      <c r="BT47" s="1380">
        <f>+BS47</f>
        <v>-3918.8510000000001</v>
      </c>
      <c r="BU47" s="702">
        <v>-3961.8719999999998</v>
      </c>
      <c r="BV47" s="703">
        <v>-4134.5810000000001</v>
      </c>
      <c r="BW47" s="703">
        <v>-4161.66</v>
      </c>
      <c r="BX47" s="703">
        <v>-4267.7150000000001</v>
      </c>
      <c r="BY47" s="1380">
        <f>+BX47</f>
        <v>-4267.7150000000001</v>
      </c>
      <c r="BZ47" s="1652">
        <v>-4280.7489999999998</v>
      </c>
      <c r="CA47" s="703">
        <v>-4490.7879999999996</v>
      </c>
      <c r="CB47" s="703">
        <f>+-4844.706</f>
        <v>-4844.7060000000001</v>
      </c>
      <c r="CC47" s="703">
        <f>+-5132.472</f>
        <v>-5132.4719999999998</v>
      </c>
      <c r="CD47" s="1613">
        <f>+CC47</f>
        <v>-5132.4719999999998</v>
      </c>
      <c r="CE47" s="1652">
        <f>+-5245.29</f>
        <v>-5245.29</v>
      </c>
      <c r="CF47" s="1652">
        <f>+-5538.849</f>
        <v>-5538.8490000000002</v>
      </c>
      <c r="CG47" s="1652">
        <f>+-5791.809</f>
        <v>-5791.8090000000002</v>
      </c>
      <c r="CH47" s="703">
        <f>+-6084.436</f>
        <v>-6084.4359999999997</v>
      </c>
      <c r="CI47" s="1613">
        <f>+CH47</f>
        <v>-6084.4359999999997</v>
      </c>
      <c r="CJ47" s="1600">
        <f>+-6295.081</f>
        <v>-6295.0810000000001</v>
      </c>
      <c r="CK47" s="1600">
        <f>CK85</f>
        <v>-6593.4687871017632</v>
      </c>
      <c r="CL47" s="1600">
        <f>CL85</f>
        <v>-6903.9512445701957</v>
      </c>
      <c r="CM47" s="1600">
        <f>CM85</f>
        <v>-7226.9483266555226</v>
      </c>
      <c r="CN47" s="1599">
        <f>+CM47</f>
        <v>-7226.9483266555226</v>
      </c>
      <c r="CO47" s="1600">
        <f>CO85</f>
        <v>-7562.894571911077</v>
      </c>
      <c r="CP47" s="1600">
        <f>CP85</f>
        <v>-7912.2396097686351</v>
      </c>
      <c r="CQ47" s="1600">
        <f>CQ85</f>
        <v>-8275.4486847122789</v>
      </c>
      <c r="CR47" s="1600">
        <f>CR85</f>
        <v>-8653.0031986622853</v>
      </c>
      <c r="CS47" s="1599">
        <f>+CR47</f>
        <v>-8653.0031986622853</v>
      </c>
      <c r="CT47" s="1600">
        <f>CT85</f>
        <v>-9045.4012722016505</v>
      </c>
      <c r="CU47" s="1600">
        <f>CU85</f>
        <v>-9453.1583253001481</v>
      </c>
      <c r="CV47" s="1600">
        <f>CV85</f>
        <v>-9876.8076782131866</v>
      </c>
      <c r="CW47" s="1600">
        <f>CW85</f>
        <v>-10316.901173256685</v>
      </c>
      <c r="CX47" s="1599">
        <f>+CW47</f>
        <v>-10316.901173256685</v>
      </c>
      <c r="DB47" s="685"/>
      <c r="DC47" s="715"/>
      <c r="DD47" s="1615"/>
      <c r="DE47" s="715"/>
    </row>
    <row r="48" spans="1:109" ht="10.5" customHeight="1">
      <c r="A48" s="710" t="s">
        <v>91</v>
      </c>
      <c r="B48" s="710"/>
      <c r="C48" s="700"/>
      <c r="D48" s="700"/>
      <c r="E48" s="700"/>
      <c r="F48" s="700">
        <v>1366.2049999999999</v>
      </c>
      <c r="G48" s="705">
        <f>+F48</f>
        <v>1366.2049999999999</v>
      </c>
      <c r="H48" s="700">
        <v>1413.0360000000001</v>
      </c>
      <c r="I48" s="700">
        <v>1464.3420000000001</v>
      </c>
      <c r="J48" s="700">
        <v>1508.5889999999999</v>
      </c>
      <c r="K48" s="700">
        <v>1545.7760000000001</v>
      </c>
      <c r="L48" s="705">
        <f>+K48</f>
        <v>1545.7760000000001</v>
      </c>
      <c r="M48" s="700">
        <v>1597.107</v>
      </c>
      <c r="N48" s="700">
        <v>1658.434</v>
      </c>
      <c r="O48" s="700">
        <v>1720.037</v>
      </c>
      <c r="P48" s="700">
        <v>1800.3979999999999</v>
      </c>
      <c r="Q48" s="705">
        <f>+P48</f>
        <v>1800.3979999999999</v>
      </c>
      <c r="R48" s="700">
        <v>1920.444</v>
      </c>
      <c r="S48" s="700">
        <v>2026.867</v>
      </c>
      <c r="T48" s="700">
        <v>2128.3530000000001</v>
      </c>
      <c r="U48" s="700">
        <v>2238.8069999999998</v>
      </c>
      <c r="V48" s="705">
        <f>+U48</f>
        <v>2238.8069999999998</v>
      </c>
      <c r="W48" s="700">
        <v>2387.6570000000002</v>
      </c>
      <c r="X48" s="700">
        <v>2537.3989999999999</v>
      </c>
      <c r="Y48" s="700">
        <v>2682.3150000000001</v>
      </c>
      <c r="Z48" s="700">
        <v>2838.5659999999998</v>
      </c>
      <c r="AA48" s="701">
        <f t="shared" si="87"/>
        <v>2838.5659999999998</v>
      </c>
      <c r="AB48" s="702">
        <v>2943.6379999999999</v>
      </c>
      <c r="AC48" s="703">
        <v>3066.7339999999999</v>
      </c>
      <c r="AD48" s="703">
        <v>3161.1309999999999</v>
      </c>
      <c r="AE48" s="704">
        <v>3316.402</v>
      </c>
      <c r="AF48" s="705">
        <f>+AE48</f>
        <v>3316.402</v>
      </c>
      <c r="AG48" s="702">
        <v>3461.6370000000002</v>
      </c>
      <c r="AH48" s="703">
        <f>3614.142</f>
        <v>3614.1419999999998</v>
      </c>
      <c r="AI48" s="703">
        <v>3819.384</v>
      </c>
      <c r="AJ48" s="704">
        <v>4041.5920000000001</v>
      </c>
      <c r="AK48" s="705">
        <f>+AJ48</f>
        <v>4041.5920000000001</v>
      </c>
      <c r="AL48" s="702">
        <v>4260.97</v>
      </c>
      <c r="AM48" s="703">
        <v>4475.88</v>
      </c>
      <c r="AN48" s="703">
        <v>4667.4889999999996</v>
      </c>
      <c r="AO48" s="704">
        <v>4913.4059999999999</v>
      </c>
      <c r="AP48" s="705">
        <f>+AO48</f>
        <v>4913.4059999999999</v>
      </c>
      <c r="AQ48" s="702">
        <v>5069.84</v>
      </c>
      <c r="AR48" s="703">
        <v>5195.9110000000001</v>
      </c>
      <c r="AS48" s="703">
        <v>5331.9570000000003</v>
      </c>
      <c r="AT48" s="703">
        <v>5299.9129999999996</v>
      </c>
      <c r="AU48" s="705">
        <f>+AT48</f>
        <v>5299.9129999999996</v>
      </c>
      <c r="AV48" s="702">
        <v>5427.0680000000002</v>
      </c>
      <c r="AW48" s="703">
        <v>5570.0969999999998</v>
      </c>
      <c r="AX48" s="703">
        <v>5738.8639999999996</v>
      </c>
      <c r="AY48" s="703">
        <v>5980.9139999999998</v>
      </c>
      <c r="AZ48" s="705">
        <f>+AY48</f>
        <v>5980.9139999999998</v>
      </c>
      <c r="BA48" s="702">
        <v>6045.6310000000003</v>
      </c>
      <c r="BB48" s="703">
        <v>6228.5739999999996</v>
      </c>
      <c r="BC48" s="703">
        <v>6381.53</v>
      </c>
      <c r="BD48" s="703">
        <v>6528.7349999999997</v>
      </c>
      <c r="BE48" s="705">
        <f>+BD48</f>
        <v>6528.7349999999997</v>
      </c>
      <c r="BF48" s="702">
        <v>6497.07</v>
      </c>
      <c r="BG48" s="703">
        <v>6671.23</v>
      </c>
      <c r="BH48" s="703">
        <v>6815.375</v>
      </c>
      <c r="BI48" s="703">
        <v>7003.0029999999997</v>
      </c>
      <c r="BJ48" s="1380">
        <f>+BI48</f>
        <v>7003.0029999999997</v>
      </c>
      <c r="BK48" s="702">
        <v>6808.4889999999996</v>
      </c>
      <c r="BL48" s="703">
        <v>6855.4629999999997</v>
      </c>
      <c r="BM48" s="703">
        <f>6878.216</f>
        <v>6878.2160000000003</v>
      </c>
      <c r="BN48" s="703">
        <v>6928.9639999999999</v>
      </c>
      <c r="BO48" s="1380">
        <f>+BN48</f>
        <v>6928.9639999999999</v>
      </c>
      <c r="BP48" s="702">
        <v>6734.701</v>
      </c>
      <c r="BQ48" s="703">
        <v>6806.1040000000003</v>
      </c>
      <c r="BR48" s="703">
        <v>6850.79</v>
      </c>
      <c r="BS48" s="703">
        <v>6924.2939999999999</v>
      </c>
      <c r="BT48" s="1380">
        <f>+BS48</f>
        <v>6924.2939999999999</v>
      </c>
      <c r="BU48" s="702">
        <v>6756.8029999999999</v>
      </c>
      <c r="BV48" s="703">
        <v>6879.4440000000004</v>
      </c>
      <c r="BW48" s="703">
        <v>7049.6289999999999</v>
      </c>
      <c r="BX48" s="703">
        <v>7253.4309999999996</v>
      </c>
      <c r="BY48" s="1380">
        <f>+BX48</f>
        <v>7253.4309999999996</v>
      </c>
      <c r="BZ48" s="1652">
        <v>7221.0829999999996</v>
      </c>
      <c r="CA48" s="703">
        <v>7444.1149999999998</v>
      </c>
      <c r="CB48" s="703">
        <v>7714.9040000000005</v>
      </c>
      <c r="CC48" s="703">
        <v>8114.5169999999998</v>
      </c>
      <c r="CD48" s="1613">
        <f>+CC48</f>
        <v>8114.5169999999998</v>
      </c>
      <c r="CE48" s="1652">
        <v>8299.3619999999992</v>
      </c>
      <c r="CF48" s="1652">
        <v>8652.7520000000004</v>
      </c>
      <c r="CG48" s="1652">
        <v>9072.3209999999999</v>
      </c>
      <c r="CH48" s="703">
        <v>9573.8700000000008</v>
      </c>
      <c r="CI48" s="1613">
        <f>+CH48</f>
        <v>9573.8700000000008</v>
      </c>
      <c r="CJ48" s="1600">
        <v>9830.3989999999994</v>
      </c>
      <c r="CK48" s="1600">
        <f>CK90</f>
        <v>10445.060535942914</v>
      </c>
      <c r="CL48" s="1600">
        <f>CL90</f>
        <v>11096.699296759052</v>
      </c>
      <c r="CM48" s="1600">
        <f>CM90</f>
        <v>11790.139281005477</v>
      </c>
      <c r="CN48" s="1599">
        <f>+CM48</f>
        <v>11790.139281005477</v>
      </c>
      <c r="CO48" s="1600">
        <f>CO90</f>
        <v>12496.383233987599</v>
      </c>
      <c r="CP48" s="1600">
        <f>CP90</f>
        <v>13208.879568366579</v>
      </c>
      <c r="CQ48" s="1600">
        <f>CQ90</f>
        <v>13954.198771128416</v>
      </c>
      <c r="CR48" s="1600">
        <f>CR90</f>
        <v>14746.920521974689</v>
      </c>
      <c r="CS48" s="1599">
        <f>+CR48</f>
        <v>14746.920521974689</v>
      </c>
      <c r="CT48" s="1600">
        <f>CT90</f>
        <v>15600.679541411917</v>
      </c>
      <c r="CU48" s="1600">
        <f>CU90</f>
        <v>16466.606523147657</v>
      </c>
      <c r="CV48" s="1600">
        <f>CV90</f>
        <v>17364.086616209413</v>
      </c>
      <c r="CW48" s="1600">
        <f>CW90</f>
        <v>18309.314241263331</v>
      </c>
      <c r="CX48" s="1599">
        <f>+CW48</f>
        <v>18309.314241263331</v>
      </c>
      <c r="DB48" s="685"/>
      <c r="DC48" s="715"/>
      <c r="DD48" s="1615"/>
      <c r="DE48" s="715"/>
    </row>
    <row r="49" spans="1:115" ht="10.5" customHeight="1">
      <c r="A49" s="1315"/>
      <c r="B49" s="1315"/>
      <c r="C49" s="1316"/>
      <c r="D49" s="1316"/>
      <c r="E49" s="1316"/>
      <c r="F49" s="1316"/>
      <c r="G49" s="705"/>
      <c r="H49" s="1316"/>
      <c r="I49" s="1316"/>
      <c r="J49" s="1316"/>
      <c r="K49" s="1316"/>
      <c r="L49" s="705"/>
      <c r="M49" s="1316"/>
      <c r="N49" s="1316"/>
      <c r="O49" s="1316"/>
      <c r="P49" s="1316"/>
      <c r="Q49" s="705"/>
      <c r="R49" s="1316"/>
      <c r="S49" s="1316"/>
      <c r="T49" s="1316"/>
      <c r="U49" s="1316"/>
      <c r="V49" s="705"/>
      <c r="W49" s="1316"/>
      <c r="X49" s="1316"/>
      <c r="Y49" s="1316"/>
      <c r="Z49" s="1316"/>
      <c r="AA49" s="701"/>
      <c r="AB49" s="702"/>
      <c r="AC49" s="703"/>
      <c r="AD49" s="703"/>
      <c r="AE49" s="704"/>
      <c r="AF49" s="705"/>
      <c r="AG49" s="702"/>
      <c r="AH49" s="703"/>
      <c r="AI49" s="703"/>
      <c r="AJ49" s="704"/>
      <c r="AK49" s="705"/>
      <c r="AL49" s="702"/>
      <c r="AM49" s="703"/>
      <c r="AN49" s="703"/>
      <c r="AO49" s="704"/>
      <c r="AP49" s="705"/>
      <c r="AQ49" s="702"/>
      <c r="AR49" s="703"/>
      <c r="AS49" s="703"/>
      <c r="AT49" s="703"/>
      <c r="AU49" s="705"/>
      <c r="AV49" s="702"/>
      <c r="AW49" s="703"/>
      <c r="AX49" s="703"/>
      <c r="AY49" s="703"/>
      <c r="AZ49" s="705"/>
      <c r="BA49" s="702"/>
      <c r="BB49" s="703"/>
      <c r="BC49" s="703"/>
      <c r="BD49" s="703"/>
      <c r="BE49" s="705"/>
      <c r="BF49" s="702"/>
      <c r="BG49" s="703"/>
      <c r="BH49" s="703"/>
      <c r="BI49" s="703"/>
      <c r="BJ49" s="1380"/>
      <c r="BK49" s="702"/>
      <c r="BL49" s="703"/>
      <c r="BM49" s="703"/>
      <c r="BN49" s="703"/>
      <c r="BO49" s="1380"/>
      <c r="BP49" s="702"/>
      <c r="BQ49" s="703"/>
      <c r="BR49" s="703"/>
      <c r="BS49" s="703"/>
      <c r="BT49" s="1380"/>
      <c r="BU49" s="702"/>
      <c r="BV49" s="703"/>
      <c r="BW49" s="703"/>
      <c r="BX49" s="703"/>
      <c r="BY49" s="1380"/>
      <c r="BZ49" s="1652"/>
      <c r="CA49" s="703"/>
      <c r="CB49" s="703"/>
      <c r="CC49" s="703"/>
      <c r="CD49" s="1613"/>
      <c r="CE49" s="1652"/>
      <c r="CF49" s="1652"/>
      <c r="CG49" s="1652"/>
      <c r="CH49" s="703"/>
      <c r="CI49" s="1613"/>
      <c r="CJ49" s="1600"/>
      <c r="CK49" s="1600"/>
      <c r="CL49" s="1600"/>
      <c r="CM49" s="1600"/>
      <c r="CN49" s="1599"/>
      <c r="CO49" s="1600"/>
      <c r="CP49" s="1600"/>
      <c r="CQ49" s="1600"/>
      <c r="CR49" s="1600"/>
      <c r="CS49" s="1599"/>
      <c r="CT49" s="1600"/>
      <c r="CU49" s="1600"/>
      <c r="CV49" s="1600"/>
      <c r="CW49" s="1600"/>
      <c r="CX49" s="1599"/>
      <c r="DB49" s="685"/>
      <c r="DC49" s="715"/>
      <c r="DD49" s="1615"/>
      <c r="DE49" s="715"/>
    </row>
    <row r="50" spans="1:115" ht="10.5" customHeight="1" thickBot="1">
      <c r="A50" s="1317" t="s">
        <v>43</v>
      </c>
      <c r="B50" s="1317"/>
      <c r="C50" s="1318">
        <f>SUM(C44:C48)</f>
        <v>0</v>
      </c>
      <c r="D50" s="1318">
        <f>SUM(D44:D48)</f>
        <v>0</v>
      </c>
      <c r="E50" s="1318">
        <f>SUM(E44:E48)</f>
        <v>0</v>
      </c>
      <c r="F50" s="1318">
        <f>SUM(F44:F48)</f>
        <v>616.97199999999987</v>
      </c>
      <c r="G50" s="726">
        <f>F50</f>
        <v>616.97199999999987</v>
      </c>
      <c r="H50" s="1318">
        <f>SUM(H44:H48)</f>
        <v>689.51100000000008</v>
      </c>
      <c r="I50" s="1318">
        <f>SUM(I44:I48)</f>
        <v>808.48299999999995</v>
      </c>
      <c r="J50" s="1318">
        <f>SUM(J44:J48)</f>
        <v>760.15499999999986</v>
      </c>
      <c r="K50" s="1318">
        <f>SUM(K44:K48)</f>
        <v>674.32100000000003</v>
      </c>
      <c r="L50" s="726">
        <f>K50</f>
        <v>674.32100000000003</v>
      </c>
      <c r="M50" s="1318">
        <f>SUM(M44:M48)</f>
        <v>697.43299999999999</v>
      </c>
      <c r="N50" s="1318">
        <f>SUM(N44:N48)</f>
        <v>806.93700000000001</v>
      </c>
      <c r="O50" s="1318">
        <f>SUM(O44:O48)</f>
        <v>863.77600000000018</v>
      </c>
      <c r="P50" s="1318">
        <f>SUM(P44:P48)</f>
        <v>1100.8</v>
      </c>
      <c r="Q50" s="726">
        <f>P50</f>
        <v>1100.8</v>
      </c>
      <c r="R50" s="1318">
        <f>SUM(R44:R48)</f>
        <v>1217.4839999999999</v>
      </c>
      <c r="S50" s="1318">
        <f>SUM(S44:S48)</f>
        <v>1262.2520000000002</v>
      </c>
      <c r="T50" s="1318">
        <f>SUM(T44:T48)</f>
        <v>1225.7560000000001</v>
      </c>
      <c r="U50" s="1318">
        <f>SUM(U44:U48)</f>
        <v>1423.4769999999999</v>
      </c>
      <c r="V50" s="726">
        <f>U50</f>
        <v>1423.4769999999999</v>
      </c>
      <c r="W50" s="719">
        <f>SUM(W44:W48)</f>
        <v>1624.5650000000001</v>
      </c>
      <c r="X50" s="719">
        <f>SUM(X44:X48)</f>
        <v>1869.9029999999998</v>
      </c>
      <c r="Y50" s="719">
        <f>SUM(Y44:Y48)</f>
        <v>2080.1509999999998</v>
      </c>
      <c r="Z50" s="719">
        <f>SUM(Z44:Z48)</f>
        <v>1864.3259999999996</v>
      </c>
      <c r="AA50" s="726">
        <f t="shared" si="87"/>
        <v>1864.3259999999996</v>
      </c>
      <c r="AB50" s="718">
        <f>SUM(AB44:AB48)</f>
        <v>5076.6119999999992</v>
      </c>
      <c r="AC50" s="719">
        <f>SUM(AC44:AC48)</f>
        <v>4768.607</v>
      </c>
      <c r="AD50" s="719">
        <f>SUM(AD44:AD48)</f>
        <v>4913.8189999999995</v>
      </c>
      <c r="AE50" s="720">
        <f>SUM(AE44:AE48)</f>
        <v>5150.4870000000001</v>
      </c>
      <c r="AF50" s="726">
        <f>AE50</f>
        <v>5150.4870000000001</v>
      </c>
      <c r="AG50" s="718">
        <f>SUM(AG44:AG48)</f>
        <v>5108.0750000000007</v>
      </c>
      <c r="AH50" s="719">
        <f>SUM(AH44:AH48)</f>
        <v>5195.7120000000004</v>
      </c>
      <c r="AI50" s="719">
        <f>SUM(AI44:AI48)</f>
        <v>4733</v>
      </c>
      <c r="AJ50" s="720">
        <f>SUM(AJ44:AJ48)</f>
        <v>4649.982</v>
      </c>
      <c r="AK50" s="726">
        <f>AJ50</f>
        <v>4649.982</v>
      </c>
      <c r="AL50" s="718">
        <f>SUM(AL44:AL48)</f>
        <v>3814.1500000000005</v>
      </c>
      <c r="AM50" s="719">
        <f>SUM(AM44:AM48)</f>
        <v>4040.6570000000002</v>
      </c>
      <c r="AN50" s="1044">
        <f>SUM(AN44:AN48)</f>
        <v>4371.4419999999991</v>
      </c>
      <c r="AO50" s="720">
        <f>SUM(AO44:AO48)</f>
        <v>4410.3540000000003</v>
      </c>
      <c r="AP50" s="726">
        <f>AO50</f>
        <v>4410.3540000000003</v>
      </c>
      <c r="AQ50" s="718">
        <f>SUM(AQ44:AQ48)</f>
        <v>4611.16</v>
      </c>
      <c r="AR50" s="719">
        <f>SUM(AR44:AR48)</f>
        <v>4801.0410000000002</v>
      </c>
      <c r="AS50" s="719">
        <f>SUM(AS44:AS48)</f>
        <v>4694.5580000000009</v>
      </c>
      <c r="AT50" s="719">
        <f>SUM(AT44:AT48)</f>
        <v>4864.1499999999996</v>
      </c>
      <c r="AU50" s="726">
        <f>AT50</f>
        <v>4864.1499999999996</v>
      </c>
      <c r="AV50" s="718">
        <f>SUM(AV44:AV48)</f>
        <v>5171.42</v>
      </c>
      <c r="AW50" s="719">
        <f>SUM(AW44:AW48)</f>
        <v>5178.7550000000001</v>
      </c>
      <c r="AX50" s="719">
        <f>SUM(AX44:AX48)</f>
        <v>5084.8580000000002</v>
      </c>
      <c r="AY50" s="719">
        <f>SUM(AY44:AY48)</f>
        <v>5192.3869999999997</v>
      </c>
      <c r="AZ50" s="726">
        <f>AY50</f>
        <v>5192.3869999999997</v>
      </c>
      <c r="BA50" s="718">
        <f>SUM(BA44:BA48)</f>
        <v>5425.4070000000011</v>
      </c>
      <c r="BB50" s="719">
        <f>SUM(BB44:BB48)</f>
        <v>5389.4149999999991</v>
      </c>
      <c r="BC50" s="719">
        <f>SUM(BC44:BC48)</f>
        <v>5563.9580000000005</v>
      </c>
      <c r="BD50" s="719">
        <f>SUM(BD44:BD48)</f>
        <v>5783.1129999999994</v>
      </c>
      <c r="BE50" s="726">
        <f>BD50</f>
        <v>5783.1129999999994</v>
      </c>
      <c r="BF50" s="718">
        <f>SUM(BF44:BF48)</f>
        <v>5986.3019999999997</v>
      </c>
      <c r="BG50" s="719">
        <f>SUM(BG44:BG48)</f>
        <v>6099.6459999999988</v>
      </c>
      <c r="BH50" s="719">
        <f>SUM(BH44:BH48)</f>
        <v>6438.6930000000002</v>
      </c>
      <c r="BI50" s="719">
        <f>SUM(BI44:BI48)</f>
        <v>6665.1819999999998</v>
      </c>
      <c r="BJ50" s="1386">
        <f>BI50</f>
        <v>6665.1819999999998</v>
      </c>
      <c r="BK50" s="718">
        <f>SUM(BK44:BK48)</f>
        <v>6805.3379999999997</v>
      </c>
      <c r="BL50" s="719">
        <f>SUM(BL44:BL48)</f>
        <v>6927.3019999999997</v>
      </c>
      <c r="BM50" s="719">
        <f>SUM(BM44:BM48)</f>
        <v>6834.759</v>
      </c>
      <c r="BN50" s="719">
        <f>SUM(BN44:BN48)</f>
        <v>6724.634</v>
      </c>
      <c r="BO50" s="1386">
        <f>BN50</f>
        <v>6724.634</v>
      </c>
      <c r="BP50" s="718">
        <f>SUM(BP44:BP48)</f>
        <v>6610.8829999999998</v>
      </c>
      <c r="BQ50" s="719">
        <f>SUM(BQ44:BQ48)</f>
        <v>6636.8879999999999</v>
      </c>
      <c r="BR50" s="719">
        <f>SUM(BR44:BR48)</f>
        <v>6731.26</v>
      </c>
      <c r="BS50" s="719">
        <f>SUM(BS44:BS48)</f>
        <v>6775.9049999999997</v>
      </c>
      <c r="BT50" s="1386">
        <f>BS50</f>
        <v>6775.9049999999997</v>
      </c>
      <c r="BU50" s="718">
        <f>SUM(BU44:BU48)</f>
        <v>6589.02</v>
      </c>
      <c r="BV50" s="719">
        <f>SUM(BV44:BV48)</f>
        <v>6610.103000000001</v>
      </c>
      <c r="BW50" s="719">
        <f>SUM(BW44:BW48)</f>
        <v>6841.3320000000003</v>
      </c>
      <c r="BX50" s="719">
        <f>SUM(BX44:BX48)</f>
        <v>7001.579999999999</v>
      </c>
      <c r="BY50" s="1386">
        <f>BX50</f>
        <v>7001.579999999999</v>
      </c>
      <c r="BZ50" s="1374">
        <f>SUM(BZ44:BZ48)</f>
        <v>7081.2019999999993</v>
      </c>
      <c r="CA50" s="719">
        <f>SUM(CA44:CA48)</f>
        <v>7248.6110000000008</v>
      </c>
      <c r="CB50" s="719">
        <f>SUM(CB44:CB48)</f>
        <v>7277.9459999999999</v>
      </c>
      <c r="CC50" s="719">
        <f>SUM(CC44:CC48)</f>
        <v>7424.835</v>
      </c>
      <c r="CD50" s="1689">
        <f>CC50</f>
        <v>7424.835</v>
      </c>
      <c r="CE50" s="1374">
        <v>7588.69</v>
      </c>
      <c r="CF50" s="1374">
        <v>7803.9979999999996</v>
      </c>
      <c r="CG50" s="1374">
        <v>8170.4340000000002</v>
      </c>
      <c r="CH50" s="719">
        <v>8459.8690000000006</v>
      </c>
      <c r="CI50" s="1689">
        <f>CH50</f>
        <v>8459.8690000000006</v>
      </c>
      <c r="CJ50" s="1603">
        <f>SUM(CJ44:CJ48)</f>
        <v>8634.0279999999984</v>
      </c>
      <c r="CK50" s="1603">
        <f>SUM(CK44:CK48)</f>
        <v>9351.3685988411489</v>
      </c>
      <c r="CL50" s="1603">
        <f>SUM(CL44:CL48)</f>
        <v>9851.781702188855</v>
      </c>
      <c r="CM50" s="1603">
        <f>SUM(CM44:CM48)</f>
        <v>10387.167604349954</v>
      </c>
      <c r="CN50" s="1598">
        <f>CM50</f>
        <v>10387.167604349954</v>
      </c>
      <c r="CO50" s="1603">
        <f>SUM(CO44:CO48)</f>
        <v>10920.289928076521</v>
      </c>
      <c r="CP50" s="1603">
        <f>SUM(CP44:CP48)</f>
        <v>11475.558644597942</v>
      </c>
      <c r="CQ50" s="1603">
        <f>SUM(CQ44:CQ48)</f>
        <v>12048.776932416136</v>
      </c>
      <c r="CR50" s="1603">
        <f>SUM(CR44:CR48)</f>
        <v>12661.875769312403</v>
      </c>
      <c r="CS50" s="1598">
        <f>CR50</f>
        <v>12661.875769312403</v>
      </c>
      <c r="CT50" s="1603">
        <f>SUM(CT44:CT48)</f>
        <v>13318.626254410265</v>
      </c>
      <c r="CU50" s="1603">
        <f>SUM(CU44:CU48)</f>
        <v>14007.337087047508</v>
      </c>
      <c r="CV50" s="1603">
        <f>SUM(CV44:CV48)</f>
        <v>14710.497619196227</v>
      </c>
      <c r="CW50" s="1603">
        <f>SUM(CW44:CW48)</f>
        <v>15453.149669206647</v>
      </c>
      <c r="CX50" s="1598">
        <f>CW50</f>
        <v>15453.149669206647</v>
      </c>
      <c r="DB50" s="685"/>
      <c r="DC50" s="686"/>
      <c r="DD50" s="1615"/>
      <c r="DE50" s="686"/>
    </row>
    <row r="51" spans="1:115" ht="13.5" customHeight="1" thickBot="1">
      <c r="A51" s="711" t="s">
        <v>44</v>
      </c>
      <c r="B51" s="711"/>
      <c r="C51" s="712">
        <f>C43+C50</f>
        <v>0</v>
      </c>
      <c r="D51" s="712">
        <f>D43+D50</f>
        <v>0</v>
      </c>
      <c r="E51" s="712">
        <f>E43+E50</f>
        <v>0</v>
      </c>
      <c r="F51" s="712">
        <f>F43+F50</f>
        <v>932.17299999999989</v>
      </c>
      <c r="G51" s="713">
        <f>F51</f>
        <v>932.17299999999989</v>
      </c>
      <c r="H51" s="712">
        <f>H43+H50</f>
        <v>989.94200000000012</v>
      </c>
      <c r="I51" s="712">
        <f>I43+I50</f>
        <v>1155.1369999999999</v>
      </c>
      <c r="J51" s="712">
        <f>J43+J50</f>
        <v>1104.8629999999998</v>
      </c>
      <c r="K51" s="712">
        <f>K43+K50</f>
        <v>1051.6100000000001</v>
      </c>
      <c r="L51" s="713">
        <f>K51</f>
        <v>1051.6100000000001</v>
      </c>
      <c r="M51" s="712">
        <f>M43+M50</f>
        <v>1087.8310000000001</v>
      </c>
      <c r="N51" s="712">
        <f>N43+N50</f>
        <v>1239.7359999999999</v>
      </c>
      <c r="O51" s="712">
        <f>O43+O50</f>
        <v>1286.7810000000002</v>
      </c>
      <c r="P51" s="712">
        <f>P43+P50</f>
        <v>1555.0449999999998</v>
      </c>
      <c r="Q51" s="713">
        <f>P51</f>
        <v>1555.0449999999998</v>
      </c>
      <c r="R51" s="712">
        <f>R43+R50</f>
        <v>1691.5059999999999</v>
      </c>
      <c r="S51" s="712">
        <f>S43+S50</f>
        <v>1733.1270000000002</v>
      </c>
      <c r="T51" s="712">
        <f>T43+T50</f>
        <v>1720.808</v>
      </c>
      <c r="U51" s="712">
        <f>U43+U50</f>
        <v>1958.6319999999998</v>
      </c>
      <c r="V51" s="713">
        <f>U51</f>
        <v>1958.6319999999998</v>
      </c>
      <c r="W51" s="712">
        <f>W43+W50</f>
        <v>2122.81</v>
      </c>
      <c r="X51" s="712">
        <f>X43+X50</f>
        <v>2421.2159999999999</v>
      </c>
      <c r="Y51" s="712">
        <f>Y43+Y50</f>
        <v>2605.5949999999998</v>
      </c>
      <c r="Z51" s="712">
        <f>Z43+Z50</f>
        <v>2440.3149999999996</v>
      </c>
      <c r="AA51" s="713">
        <f t="shared" si="87"/>
        <v>2440.3149999999996</v>
      </c>
      <c r="AB51" s="712">
        <f>AB43+AB50</f>
        <v>5801.7329999999993</v>
      </c>
      <c r="AC51" s="712">
        <f>AC43+AC50</f>
        <v>5501.4859999999999</v>
      </c>
      <c r="AD51" s="712">
        <f>AD43+AD50</f>
        <v>5620.7849999999999</v>
      </c>
      <c r="AE51" s="712">
        <f>AE43+AE50</f>
        <v>5954.6679999999997</v>
      </c>
      <c r="AF51" s="713">
        <f>AE51</f>
        <v>5954.6679999999997</v>
      </c>
      <c r="AG51" s="712">
        <f>AG43+AG50</f>
        <v>5904.1840000000011</v>
      </c>
      <c r="AH51" s="712">
        <f>AH43+AH50</f>
        <v>6135.9490000000005</v>
      </c>
      <c r="AI51" s="712">
        <f>AI43+AI50</f>
        <v>5666.4610000000002</v>
      </c>
      <c r="AJ51" s="712">
        <f>AJ43+AJ50</f>
        <v>5713.6790000000001</v>
      </c>
      <c r="AK51" s="713">
        <f>AJ51</f>
        <v>5713.6790000000001</v>
      </c>
      <c r="AL51" s="712">
        <f>AL43+AL50</f>
        <v>5340.9010000000007</v>
      </c>
      <c r="AM51" s="712">
        <f>AM43+AM50</f>
        <v>5460.4170000000004</v>
      </c>
      <c r="AN51" s="712">
        <f>AN43+AN50</f>
        <v>5638.7499999999991</v>
      </c>
      <c r="AO51" s="712">
        <f>AO43+AO50</f>
        <v>5821.598</v>
      </c>
      <c r="AP51" s="713">
        <f>AO51</f>
        <v>5821.598</v>
      </c>
      <c r="AQ51" s="712">
        <f>AQ43+AQ50</f>
        <v>5887.5959999999995</v>
      </c>
      <c r="AR51" s="712">
        <f>AR43+AR50</f>
        <v>6063.7449999999999</v>
      </c>
      <c r="AS51" s="712">
        <f>AS43+AS50</f>
        <v>5961.9600000000009</v>
      </c>
      <c r="AT51" s="712">
        <f>AT43+AT50</f>
        <v>7255.8189999999995</v>
      </c>
      <c r="AU51" s="713">
        <f>AT51</f>
        <v>7255.8189999999995</v>
      </c>
      <c r="AV51" s="712">
        <f>AV43+AV50</f>
        <v>7945.0690000000004</v>
      </c>
      <c r="AW51" s="712">
        <f>AW43+AW50</f>
        <v>8006.9310000000005</v>
      </c>
      <c r="AX51" s="712">
        <f>AX43+AX50</f>
        <v>7947.0290000000005</v>
      </c>
      <c r="AY51" s="712">
        <f>AY43+AY50</f>
        <v>8141.1480000000001</v>
      </c>
      <c r="AZ51" s="713">
        <f>AY51</f>
        <v>8141.1480000000001</v>
      </c>
      <c r="BA51" s="712">
        <f>BA43+BA50</f>
        <v>8310.0240000000013</v>
      </c>
      <c r="BB51" s="712">
        <f>BB43+BB50</f>
        <v>8339.7159999999985</v>
      </c>
      <c r="BC51" s="712">
        <f>BC43+BC50</f>
        <v>8492.7580000000016</v>
      </c>
      <c r="BD51" s="712">
        <f>BD43+BD50</f>
        <v>8991.1829999999991</v>
      </c>
      <c r="BE51" s="713">
        <f>BD51</f>
        <v>8991.1829999999991</v>
      </c>
      <c r="BF51" s="712">
        <f>BF43+BF50</f>
        <v>9132.7080000000005</v>
      </c>
      <c r="BG51" s="712">
        <f>BG43+BG50</f>
        <v>9365.8319999999985</v>
      </c>
      <c r="BH51" s="712">
        <f>BH43+BH50</f>
        <v>9630.0130000000008</v>
      </c>
      <c r="BI51" s="712">
        <f>BI43+BI50</f>
        <v>9974.523000000001</v>
      </c>
      <c r="BJ51" s="1382">
        <f>BI51</f>
        <v>9974.523000000001</v>
      </c>
      <c r="BK51" s="712">
        <f>BK43+BK50</f>
        <v>10165.710999999999</v>
      </c>
      <c r="BL51" s="712">
        <f>BL43+BL50</f>
        <v>10280.368999999999</v>
      </c>
      <c r="BM51" s="712">
        <f>BM43+BM50</f>
        <v>10234.155999999999</v>
      </c>
      <c r="BN51" s="712">
        <f>BN43+BN50</f>
        <v>10380.297999999999</v>
      </c>
      <c r="BO51" s="1382">
        <f>BN51</f>
        <v>10380.297999999999</v>
      </c>
      <c r="BP51" s="712">
        <f>BP43+BP50</f>
        <v>10245.882000000001</v>
      </c>
      <c r="BQ51" s="712">
        <f>BQ43+BQ50</f>
        <v>10372.199000000001</v>
      </c>
      <c r="BR51" s="712">
        <f>BR43+BR50</f>
        <v>10493.68</v>
      </c>
      <c r="BS51" s="712">
        <f>BS43+BS50</f>
        <v>10785.829</v>
      </c>
      <c r="BT51" s="1382">
        <f>BS51</f>
        <v>10785.829</v>
      </c>
      <c r="BU51" s="712">
        <f>BU43+BU50</f>
        <v>11008.422</v>
      </c>
      <c r="BV51" s="712">
        <f>BV43+BV50</f>
        <v>11165.383000000002</v>
      </c>
      <c r="BW51" s="712">
        <f>BW43+BW50</f>
        <v>11508.395</v>
      </c>
      <c r="BX51" s="712">
        <f>BX43+BX50</f>
        <v>11726.471999999998</v>
      </c>
      <c r="BY51" s="1382">
        <f>BX51</f>
        <v>11726.471999999998</v>
      </c>
      <c r="BZ51" s="1653">
        <f>BZ43+BZ50</f>
        <v>11896.681999999999</v>
      </c>
      <c r="CA51" s="712">
        <f>CA43+CA50</f>
        <v>12216.782999999999</v>
      </c>
      <c r="CB51" s="712">
        <f>CB43+CB50</f>
        <v>12367.440999999999</v>
      </c>
      <c r="CC51" s="1653">
        <f>CC43+CC50</f>
        <v>12707.114000000001</v>
      </c>
      <c r="CD51" s="1691">
        <f>CC51</f>
        <v>12707.114000000001</v>
      </c>
      <c r="CE51" s="1653">
        <f>CE43+CE50</f>
        <v>13044.782999999999</v>
      </c>
      <c r="CF51" s="1653">
        <f>CF43+CF50</f>
        <v>13364.9</v>
      </c>
      <c r="CG51" s="1653">
        <f>CG43+CG50</f>
        <v>13906.814999999999</v>
      </c>
      <c r="CH51" s="1653">
        <f>CH43+CH50</f>
        <v>14535.556</v>
      </c>
      <c r="CI51" s="1691">
        <f>CH51</f>
        <v>14535.556</v>
      </c>
      <c r="CJ51" s="1604">
        <f>CJ43+CJ50</f>
        <v>14973.484999999997</v>
      </c>
      <c r="CK51" s="1604">
        <f>CK43+CK50</f>
        <v>15747.933995834384</v>
      </c>
      <c r="CL51" s="1604">
        <f>CL43+CL50</f>
        <v>16385.691089056552</v>
      </c>
      <c r="CM51" s="1604">
        <f>CM43+CM50</f>
        <v>17301.290307920382</v>
      </c>
      <c r="CN51" s="1605">
        <f>CM51</f>
        <v>17301.290307920382</v>
      </c>
      <c r="CO51" s="1604">
        <f>CO43+CO50</f>
        <v>17961.317680982331</v>
      </c>
      <c r="CP51" s="1604">
        <f>CP43+CP50</f>
        <v>18543.135234948975</v>
      </c>
      <c r="CQ51" s="1604">
        <f>CQ43+CQ50</f>
        <v>19284.728229886383</v>
      </c>
      <c r="CR51" s="1604">
        <f>CR43+CR50</f>
        <v>20341.403830562645</v>
      </c>
      <c r="CS51" s="1605">
        <f>CR51</f>
        <v>20341.403830562645</v>
      </c>
      <c r="CT51" s="1604">
        <f>CT43+CT50</f>
        <v>21128.677334414286</v>
      </c>
      <c r="CU51" s="1604">
        <f>CU43+CU50</f>
        <v>21818.215376832217</v>
      </c>
      <c r="CV51" s="1604">
        <f>CV43+CV50</f>
        <v>22682.652680304014</v>
      </c>
      <c r="CW51" s="1604">
        <f>CW43+CW50</f>
        <v>23897.72732300896</v>
      </c>
      <c r="CX51" s="1605">
        <f>CW51</f>
        <v>23897.72732300896</v>
      </c>
      <c r="CZ51" s="1749"/>
      <c r="DB51" s="685"/>
      <c r="DC51" s="686"/>
      <c r="DD51" s="1009"/>
      <c r="DE51" s="686"/>
    </row>
    <row r="52" spans="1:115" s="47" customFormat="1" ht="12.75" customHeight="1">
      <c r="A52" s="699"/>
      <c r="B52" s="699"/>
      <c r="C52" s="687"/>
      <c r="D52" s="687"/>
      <c r="E52" s="687"/>
      <c r="F52" s="687" t="str">
        <f t="shared" ref="F52:U52" si="88">IF(F51=F24," ",F51-F24)</f>
        <v xml:space="preserve"> </v>
      </c>
      <c r="G52" s="687" t="str">
        <f t="shared" si="88"/>
        <v xml:space="preserve"> </v>
      </c>
      <c r="H52" s="687" t="str">
        <f t="shared" si="88"/>
        <v xml:space="preserve"> </v>
      </c>
      <c r="I52" s="687" t="str">
        <f t="shared" si="88"/>
        <v xml:space="preserve"> </v>
      </c>
      <c r="J52" s="687" t="str">
        <f t="shared" si="88"/>
        <v xml:space="preserve"> </v>
      </c>
      <c r="K52" s="687" t="str">
        <f t="shared" si="88"/>
        <v xml:space="preserve"> </v>
      </c>
      <c r="L52" s="687" t="str">
        <f t="shared" si="88"/>
        <v xml:space="preserve"> </v>
      </c>
      <c r="M52" s="687" t="str">
        <f t="shared" si="88"/>
        <v xml:space="preserve"> </v>
      </c>
      <c r="N52" s="687" t="str">
        <f t="shared" si="88"/>
        <v xml:space="preserve"> </v>
      </c>
      <c r="O52" s="687" t="str">
        <f t="shared" si="88"/>
        <v xml:space="preserve"> </v>
      </c>
      <c r="P52" s="687" t="str">
        <f t="shared" si="88"/>
        <v xml:space="preserve"> </v>
      </c>
      <c r="Q52" s="687" t="str">
        <f t="shared" si="88"/>
        <v xml:space="preserve"> </v>
      </c>
      <c r="R52" s="687" t="str">
        <f t="shared" si="88"/>
        <v xml:space="preserve"> </v>
      </c>
      <c r="S52" s="687" t="str">
        <f t="shared" si="88"/>
        <v xml:space="preserve"> </v>
      </c>
      <c r="T52" s="687" t="str">
        <f t="shared" si="88"/>
        <v xml:space="preserve"> </v>
      </c>
      <c r="U52" s="687" t="str">
        <f t="shared" si="88"/>
        <v xml:space="preserve"> </v>
      </c>
      <c r="V52" s="687"/>
      <c r="W52" s="687" t="str">
        <f t="shared" ref="W52:AK52" si="89">IF(W51=W24," ",W51-W24)</f>
        <v xml:space="preserve"> </v>
      </c>
      <c r="X52" s="687" t="str">
        <f t="shared" si="89"/>
        <v xml:space="preserve"> </v>
      </c>
      <c r="Y52" s="687" t="str">
        <f t="shared" si="89"/>
        <v xml:space="preserve"> </v>
      </c>
      <c r="Z52" s="687" t="str">
        <f t="shared" si="89"/>
        <v xml:space="preserve"> </v>
      </c>
      <c r="AA52" s="687" t="str">
        <f t="shared" si="89"/>
        <v xml:space="preserve"> </v>
      </c>
      <c r="AB52" s="687" t="str">
        <f t="shared" si="89"/>
        <v xml:space="preserve"> </v>
      </c>
      <c r="AC52" s="687" t="str">
        <f t="shared" si="89"/>
        <v xml:space="preserve"> </v>
      </c>
      <c r="AD52" s="687" t="str">
        <f t="shared" si="89"/>
        <v xml:space="preserve"> </v>
      </c>
      <c r="AE52" s="687" t="str">
        <f t="shared" si="89"/>
        <v xml:space="preserve"> </v>
      </c>
      <c r="AF52" s="687" t="str">
        <f t="shared" si="89"/>
        <v xml:space="preserve"> </v>
      </c>
      <c r="AG52" s="687" t="str">
        <f t="shared" si="89"/>
        <v xml:space="preserve"> </v>
      </c>
      <c r="AH52" s="687" t="str">
        <f t="shared" si="89"/>
        <v xml:space="preserve"> </v>
      </c>
      <c r="AI52" s="687" t="str">
        <f t="shared" si="89"/>
        <v xml:space="preserve"> </v>
      </c>
      <c r="AJ52" s="687" t="str">
        <f t="shared" si="89"/>
        <v xml:space="preserve"> </v>
      </c>
      <c r="AK52" s="687" t="str">
        <f t="shared" si="89"/>
        <v xml:space="preserve"> </v>
      </c>
      <c r="AL52" s="1008" t="str">
        <f>IF(AL51=AL24," ",AL51-AL24)</f>
        <v xml:space="preserve"> </v>
      </c>
      <c r="AM52" s="1008" t="str">
        <f>IF(AM51=AM24," ",AM51-AM24)</f>
        <v xml:space="preserve"> </v>
      </c>
      <c r="AN52" s="687" t="str">
        <f>IF(AN51=AN24," ",AN51-AN24)</f>
        <v xml:space="preserve"> </v>
      </c>
      <c r="AO52" s="687" t="str">
        <f t="shared" ref="AO52:AZ52" si="90">IF(AO51=AO24," ",AO51-AO24)</f>
        <v xml:space="preserve"> </v>
      </c>
      <c r="AP52" s="687" t="str">
        <f t="shared" si="90"/>
        <v xml:space="preserve"> </v>
      </c>
      <c r="AQ52" s="1008" t="str">
        <f t="shared" si="90"/>
        <v xml:space="preserve"> </v>
      </c>
      <c r="AR52" s="1008" t="str">
        <f t="shared" si="90"/>
        <v xml:space="preserve"> </v>
      </c>
      <c r="AS52" s="1008" t="str">
        <f t="shared" si="90"/>
        <v xml:space="preserve"> </v>
      </c>
      <c r="AT52" s="1008" t="str">
        <f t="shared" si="90"/>
        <v xml:space="preserve"> </v>
      </c>
      <c r="AU52" s="1008" t="str">
        <f t="shared" si="90"/>
        <v xml:space="preserve"> </v>
      </c>
      <c r="AV52" s="1242"/>
      <c r="AW52" s="1008" t="str">
        <f t="shared" si="90"/>
        <v xml:space="preserve"> </v>
      </c>
      <c r="AX52" s="1008" t="str">
        <f t="shared" si="90"/>
        <v xml:space="preserve"> </v>
      </c>
      <c r="AY52" s="1008" t="str">
        <f t="shared" si="90"/>
        <v xml:space="preserve"> </v>
      </c>
      <c r="AZ52" s="1008" t="str">
        <f t="shared" si="90"/>
        <v xml:space="preserve"> </v>
      </c>
      <c r="BA52" s="1242" t="str">
        <f t="shared" ref="BA52:BJ52" si="91">IF(BA51=BA24," ",BA51-BA24)</f>
        <v xml:space="preserve"> </v>
      </c>
      <c r="BB52" s="1008" t="str">
        <f t="shared" si="91"/>
        <v xml:space="preserve"> </v>
      </c>
      <c r="BC52" s="1008"/>
      <c r="BD52" s="1008" t="str">
        <f t="shared" si="91"/>
        <v xml:space="preserve"> </v>
      </c>
      <c r="BE52" s="1008" t="str">
        <f t="shared" si="91"/>
        <v xml:space="preserve"> </v>
      </c>
      <c r="BF52" s="1242" t="str">
        <f t="shared" si="91"/>
        <v xml:space="preserve"> </v>
      </c>
      <c r="BG52" s="1008" t="str">
        <f t="shared" si="91"/>
        <v xml:space="preserve"> </v>
      </c>
      <c r="BH52" s="1008" t="str">
        <f t="shared" si="91"/>
        <v xml:space="preserve"> </v>
      </c>
      <c r="BI52" s="1008" t="str">
        <f t="shared" si="91"/>
        <v xml:space="preserve"> </v>
      </c>
      <c r="BJ52" s="1642" t="str">
        <f t="shared" si="91"/>
        <v xml:space="preserve"> </v>
      </c>
      <c r="BK52" s="1242" t="str">
        <f t="shared" ref="BK52:BT52" si="92">IF(BK51=BK24," ",BK51-BK24)</f>
        <v xml:space="preserve"> </v>
      </c>
      <c r="BL52" s="1008" t="str">
        <f t="shared" si="92"/>
        <v xml:space="preserve"> </v>
      </c>
      <c r="BM52" s="1008" t="str">
        <f t="shared" si="92"/>
        <v xml:space="preserve"> </v>
      </c>
      <c r="BN52" s="1008" t="str">
        <f t="shared" si="92"/>
        <v xml:space="preserve"> </v>
      </c>
      <c r="BO52" s="1642" t="str">
        <f t="shared" si="92"/>
        <v xml:space="preserve"> </v>
      </c>
      <c r="BP52" s="1008" t="str">
        <f t="shared" si="92"/>
        <v xml:space="preserve"> </v>
      </c>
      <c r="BQ52" s="1008" t="str">
        <f t="shared" si="92"/>
        <v xml:space="preserve"> </v>
      </c>
      <c r="BR52" s="1008" t="str">
        <f t="shared" si="92"/>
        <v xml:space="preserve"> </v>
      </c>
      <c r="BS52" s="1008" t="str">
        <f t="shared" si="92"/>
        <v xml:space="preserve"> </v>
      </c>
      <c r="BT52" s="1642" t="str">
        <f t="shared" si="92"/>
        <v xml:space="preserve"> </v>
      </c>
      <c r="BU52" s="1008" t="str">
        <f t="shared" ref="BU52:CD52" si="93">IF(BU51=BU24," ",BU51-BU24)</f>
        <v xml:space="preserve"> </v>
      </c>
      <c r="BV52" s="1008" t="str">
        <f t="shared" si="93"/>
        <v xml:space="preserve"> </v>
      </c>
      <c r="BW52" s="1008" t="str">
        <f t="shared" si="93"/>
        <v xml:space="preserve"> </v>
      </c>
      <c r="BX52" s="1008" t="str">
        <f t="shared" si="93"/>
        <v xml:space="preserve"> </v>
      </c>
      <c r="BY52" s="1642" t="str">
        <f t="shared" si="93"/>
        <v xml:space="preserve"> </v>
      </c>
      <c r="BZ52" s="1008" t="str">
        <f t="shared" si="93"/>
        <v xml:space="preserve"> </v>
      </c>
      <c r="CA52" s="1008" t="str">
        <f t="shared" si="93"/>
        <v xml:space="preserve"> </v>
      </c>
      <c r="CB52" s="1008" t="str">
        <f t="shared" si="93"/>
        <v xml:space="preserve"> </v>
      </c>
      <c r="CC52" s="1008" t="str">
        <f t="shared" si="93"/>
        <v xml:space="preserve"> </v>
      </c>
      <c r="CD52" s="1642" t="str">
        <f t="shared" si="93"/>
        <v xml:space="preserve"> </v>
      </c>
      <c r="CE52" s="1742" t="str">
        <f t="shared" ref="CE52:CN52" si="94">IF(CE51=CE24," ",CE51-CE24)</f>
        <v xml:space="preserve"> </v>
      </c>
      <c r="CF52" s="1008" t="str">
        <f t="shared" si="94"/>
        <v xml:space="preserve"> </v>
      </c>
      <c r="CG52" s="1742" t="str">
        <f t="shared" si="94"/>
        <v xml:space="preserve"> </v>
      </c>
      <c r="CH52" s="1008" t="str">
        <f>IF(CH51=CH24," ",CH51-CH24)</f>
        <v xml:space="preserve"> </v>
      </c>
      <c r="CI52" s="1642" t="str">
        <f t="shared" si="94"/>
        <v xml:space="preserve"> </v>
      </c>
      <c r="CJ52" s="1008" t="str">
        <f t="shared" si="94"/>
        <v xml:space="preserve"> </v>
      </c>
      <c r="CK52" s="1008" t="str">
        <f t="shared" si="94"/>
        <v xml:space="preserve"> </v>
      </c>
      <c r="CL52" s="1008" t="str">
        <f t="shared" si="94"/>
        <v xml:space="preserve"> </v>
      </c>
      <c r="CM52" s="1008" t="str">
        <f t="shared" si="94"/>
        <v xml:space="preserve"> </v>
      </c>
      <c r="CN52" s="1642" t="str">
        <f t="shared" si="94"/>
        <v xml:space="preserve"> </v>
      </c>
      <c r="CO52" s="1008" t="str">
        <f t="shared" ref="CO52:CX52" si="95">IF(CO51=CO24," ",CO51-CO24)</f>
        <v xml:space="preserve"> </v>
      </c>
      <c r="CP52" s="1008" t="str">
        <f t="shared" si="95"/>
        <v xml:space="preserve"> </v>
      </c>
      <c r="CQ52" s="1008" t="str">
        <f t="shared" si="95"/>
        <v xml:space="preserve"> </v>
      </c>
      <c r="CR52" s="1008" t="str">
        <f t="shared" si="95"/>
        <v xml:space="preserve"> </v>
      </c>
      <c r="CS52" s="1642" t="str">
        <f t="shared" si="95"/>
        <v xml:space="preserve"> </v>
      </c>
      <c r="CT52" s="1008" t="str">
        <f t="shared" si="95"/>
        <v xml:space="preserve"> </v>
      </c>
      <c r="CU52" s="1008" t="str">
        <f t="shared" si="95"/>
        <v xml:space="preserve"> </v>
      </c>
      <c r="CV52" s="1008" t="str">
        <f t="shared" si="95"/>
        <v xml:space="preserve"> </v>
      </c>
      <c r="CW52" s="1008" t="str">
        <f t="shared" si="95"/>
        <v xml:space="preserve"> </v>
      </c>
      <c r="CX52" s="1642" t="str">
        <f t="shared" si="95"/>
        <v xml:space="preserve"> </v>
      </c>
      <c r="CY52"/>
      <c r="CZ52" s="1009" t="str">
        <f>CH52</f>
        <v xml:space="preserve"> </v>
      </c>
      <c r="DA52"/>
      <c r="DB52" s="1643"/>
      <c r="DC52" s="697"/>
      <c r="DD52" s="1009"/>
      <c r="DE52" s="697"/>
      <c r="DF52"/>
      <c r="DG52"/>
      <c r="DH52"/>
      <c r="DI52"/>
      <c r="DJ52"/>
      <c r="DK52"/>
    </row>
    <row r="53" spans="1:115" ht="10.5" customHeight="1">
      <c r="A53" s="688" t="s">
        <v>136</v>
      </c>
      <c r="B53" s="688"/>
      <c r="C53" s="689"/>
      <c r="D53" s="689"/>
      <c r="E53" s="689"/>
      <c r="F53" s="689"/>
      <c r="G53" s="728"/>
      <c r="H53" s="689"/>
      <c r="I53" s="689"/>
      <c r="J53" s="728"/>
      <c r="K53" s="689"/>
      <c r="L53" s="689"/>
      <c r="M53" s="689"/>
      <c r="N53" s="689"/>
      <c r="O53" s="689"/>
      <c r="P53" s="689"/>
      <c r="Q53" s="689"/>
      <c r="R53" s="689"/>
      <c r="S53" s="689"/>
      <c r="T53" s="689"/>
      <c r="U53" s="728"/>
      <c r="V53" s="688"/>
      <c r="W53" s="689"/>
      <c r="X53" s="729"/>
      <c r="Y53" s="689"/>
      <c r="Z53" s="688"/>
      <c r="AA53" s="688"/>
      <c r="AB53" s="688"/>
      <c r="AC53" s="688"/>
      <c r="AD53" s="688"/>
      <c r="AE53" s="688"/>
      <c r="AF53" s="688"/>
      <c r="AG53" s="688"/>
      <c r="AH53" s="688"/>
      <c r="AI53" s="688"/>
      <c r="AJ53" s="688"/>
      <c r="AK53" s="688"/>
      <c r="AL53" s="688"/>
      <c r="AM53" s="688"/>
      <c r="AN53" s="1046">
        <f>(AN8+AN9-AN37)/Model!AN114</f>
        <v>3.049825331463798</v>
      </c>
      <c r="AO53" s="688"/>
      <c r="AP53" s="688"/>
      <c r="AQ53" s="1090">
        <f>(AQ8+AQ9-AQ37)/Model!AQ114</f>
        <v>3.8529337097171434</v>
      </c>
      <c r="AR53" s="1090">
        <f>(AR8+AR9-AR37)/Model!AR114</f>
        <v>4.3828182260664033</v>
      </c>
      <c r="AS53" s="1090">
        <f>(AS8+AS9-AS37)/Model!AS114</f>
        <v>4.1489726574766514</v>
      </c>
      <c r="AT53" s="1090">
        <f>(AT8+AT9-AT37)/Model!AT114</f>
        <v>1.7002618613018623</v>
      </c>
      <c r="AU53" s="692"/>
      <c r="AV53" s="1090">
        <f>(AV8+AV9-AV37)/Model!AV114</f>
        <v>2.2131776323817927</v>
      </c>
      <c r="AW53" s="1090">
        <f>(AW8+AW9-AW37)/Model!AW114</f>
        <v>2.1585589741570224</v>
      </c>
      <c r="AX53" s="1090">
        <f>(AX8+AX9-AX37)/Model!AX114</f>
        <v>2.0308957354939703</v>
      </c>
      <c r="AY53" s="1090">
        <f>(AY8+AY9-AY37)/Model!AY114</f>
        <v>1.8642510690084249</v>
      </c>
      <c r="AZ53" s="692"/>
      <c r="BA53" s="1090">
        <f>(BA8+BA9-BA37)/Model!BA114</f>
        <v>2.2008253471543124</v>
      </c>
      <c r="BB53" s="1090">
        <f>(BB8+BB9-BB37)/Model!BB114</f>
        <v>2.2044955360669984</v>
      </c>
      <c r="BC53" s="1090">
        <f>(BC8+BC9-BC37)/Model!BC114</f>
        <v>2.4301150296446448</v>
      </c>
      <c r="BD53" s="1090">
        <f>(BD8+BD9-BD37)/Model!BD114</f>
        <v>2.8342333483783611</v>
      </c>
      <c r="BE53" s="692"/>
      <c r="BF53" s="1090">
        <f>(BF8+BF9-BF37)/Model!BF114</f>
        <v>2.5245414466663201</v>
      </c>
      <c r="BG53" s="1090">
        <f>(BG8+BG9-BG37)/Model!BG114</f>
        <v>2.9866727033749059</v>
      </c>
      <c r="BH53" s="1090">
        <f>(BH8+BH9-BH37)/Model!BH114</f>
        <v>3.4966633784019039</v>
      </c>
      <c r="BI53" s="1090">
        <f>(BI8+BI9-BI37)/Model!BI114</f>
        <v>4.0653166160181939</v>
      </c>
      <c r="BJ53" s="1577"/>
      <c r="BK53" s="1090">
        <f>(BK8+BK9-BK37)/Model!BK114</f>
        <v>4.2369368304977941</v>
      </c>
      <c r="BL53" s="1090">
        <f>(BL8+BL9-BL37)/Model!BL114</f>
        <v>4.6056521077342776</v>
      </c>
      <c r="BM53" s="1090">
        <f>(BM8+BM9-BM37)/Model!BM114</f>
        <v>3.2319937755300523</v>
      </c>
      <c r="BN53" s="1090">
        <f>(BN8+BN9-BN37)/Model!BN114</f>
        <v>3.2762942150183334</v>
      </c>
      <c r="BO53" s="1577"/>
      <c r="BP53" s="1090">
        <f>(BP8+BP9-BP37)/Model!BP114</f>
        <v>4.3979895345634814</v>
      </c>
      <c r="BQ53" s="1090">
        <f>(BQ8+BQ9-BQ37)/Model!BQ114</f>
        <v>4.8030835604623761</v>
      </c>
      <c r="BR53" s="1090">
        <f>(BR8+BR9-BR37)/Model!BR114</f>
        <v>5.1561840921130111</v>
      </c>
      <c r="BS53" s="1090">
        <f>(BS8+BS9-BS37)/Model!BS114</f>
        <v>5.5737499778303707</v>
      </c>
      <c r="BT53" s="1577"/>
      <c r="BU53" s="1090">
        <f>(BU8+BU9-BU37)/Model!BU114</f>
        <v>2.5127106788617728</v>
      </c>
      <c r="BV53" s="1090">
        <f>(BV8+BV9-BV37)/Model!BV114</f>
        <v>2.9844258695918766</v>
      </c>
      <c r="BW53" s="1090">
        <f>(BW8+BW9-BW37)/Model!BW114</f>
        <v>3.4847916901439073</v>
      </c>
      <c r="BX53" s="1090">
        <f>(BX8+BX9-BX37)/Model!BX114</f>
        <v>4.1122601835529595</v>
      </c>
      <c r="BY53" s="1577"/>
      <c r="BZ53" s="1090">
        <f>(BZ8+BZ9-BZ37)/Model!BZ114</f>
        <v>4.3131511086150018</v>
      </c>
      <c r="CA53" s="1090">
        <f>(CA8+CA9-CA37)/Model!CA114</f>
        <v>4.7551022834216656</v>
      </c>
      <c r="CB53" s="1090">
        <f>(CB8+CB9-CB37)/Model!CB114</f>
        <v>5.0227570090674636</v>
      </c>
      <c r="CC53" s="1090">
        <f>(CC8+CC9-CC37)/Model!CC114</f>
        <v>5.7050457324373074</v>
      </c>
      <c r="CD53" s="1577"/>
      <c r="CE53" s="1090">
        <f>(CE8+CE9-CE37)/Model!CE114</f>
        <v>5.5175847191136862</v>
      </c>
      <c r="CF53" s="1090">
        <f>(CF8+CF9-CF37)/Model!CF114</f>
        <v>6.0819604637544442</v>
      </c>
      <c r="CG53" s="1090">
        <f>(CG8+CG9-CG37)/Model!CG114</f>
        <v>6.9530014108769418</v>
      </c>
      <c r="CH53" s="1090">
        <f>(CH8+CH9-CH37)/Model!CH114</f>
        <v>7.8757609086909568</v>
      </c>
      <c r="CI53" s="1577"/>
      <c r="CJ53" s="1090">
        <f>(CJ8+CJ9-CJ37)/Model!CJ114</f>
        <v>8.556054565877707</v>
      </c>
      <c r="CK53" s="1090">
        <f>(CK8+CK9-CK37)/Model!CK114</f>
        <v>10.073834061355425</v>
      </c>
      <c r="CL53" s="1090">
        <f>(CL8+CL9-CL37)/Model!CL114</f>
        <v>11.170536019083817</v>
      </c>
      <c r="CM53" s="1090">
        <f>(CM8+CM9-CM37)/Model!CM114</f>
        <v>12.814479091213778</v>
      </c>
      <c r="CN53" s="1577"/>
      <c r="CO53" s="1090">
        <f>(CO8+CO9-CO37)/Model!CO114</f>
        <v>14.038869938292249</v>
      </c>
      <c r="CP53" s="1090">
        <f>(CP8+CP9-CP37)/Model!CP114</f>
        <v>15.206554772562884</v>
      </c>
      <c r="CQ53" s="1090">
        <f>(CQ8+CQ9-CQ37)/Model!CQ114</f>
        <v>16.4571448418878</v>
      </c>
      <c r="CR53" s="1090">
        <f>(CR8+CR9-CR37)/Model!CR114</f>
        <v>18.337820418337543</v>
      </c>
      <c r="CS53" s="1577"/>
      <c r="CT53" s="1090">
        <f>(CT8+CT9-CT37)/Model!CT114</f>
        <v>19.899560111608015</v>
      </c>
      <c r="CU53" s="1090">
        <f>(CU8+CU9-CU37)/Model!CU114</f>
        <v>21.303468721861265</v>
      </c>
      <c r="CV53" s="1090">
        <f>(CV8+CV9-CV37)/Model!CV114</f>
        <v>22.786846529323356</v>
      </c>
      <c r="CW53" s="1090">
        <f>(CW8+CW9-CW37)/Model!CW114</f>
        <v>24.977921380794584</v>
      </c>
      <c r="CX53" s="1577"/>
      <c r="CZ53" s="1009"/>
      <c r="DB53" s="685"/>
      <c r="DC53" s="689"/>
      <c r="DD53" s="1009"/>
      <c r="DE53" s="689"/>
    </row>
    <row r="54" spans="1:115" ht="5.25" customHeight="1">
      <c r="A54" s="730"/>
      <c r="B54" s="730"/>
      <c r="C54" s="731"/>
      <c r="D54" s="731"/>
      <c r="E54" s="731"/>
      <c r="F54" s="731"/>
      <c r="G54" s="731"/>
      <c r="H54" s="731"/>
      <c r="I54" s="731"/>
      <c r="J54" s="731"/>
      <c r="K54" s="731"/>
      <c r="L54" s="731"/>
      <c r="M54" s="731"/>
      <c r="N54" s="731"/>
      <c r="O54" s="731"/>
      <c r="P54" s="731"/>
      <c r="Q54" s="731"/>
      <c r="R54" s="731"/>
      <c r="S54" s="731"/>
      <c r="T54" s="731"/>
      <c r="U54" s="731"/>
      <c r="V54" s="731"/>
      <c r="W54" s="731"/>
      <c r="X54" s="731"/>
      <c r="Y54" s="731"/>
      <c r="Z54" s="731"/>
      <c r="AA54" s="730"/>
      <c r="AB54" s="730"/>
      <c r="AC54" s="730"/>
      <c r="AD54" s="730"/>
      <c r="AE54" s="730"/>
      <c r="AF54" s="730"/>
      <c r="AG54" s="730"/>
      <c r="AH54" s="730"/>
      <c r="AI54" s="730"/>
      <c r="AJ54" s="730"/>
      <c r="AK54" s="730"/>
      <c r="AL54" s="730"/>
      <c r="AM54" s="730"/>
      <c r="AN54" s="730"/>
      <c r="AO54" s="730"/>
      <c r="AP54" s="730"/>
      <c r="AQ54" s="730"/>
      <c r="AR54" s="732"/>
      <c r="AS54" s="732"/>
      <c r="AT54" s="732"/>
      <c r="AU54" s="732"/>
      <c r="AV54" s="730"/>
      <c r="AW54" s="732"/>
      <c r="AX54" s="732"/>
      <c r="AY54" s="732"/>
      <c r="AZ54" s="732"/>
      <c r="BA54" s="730"/>
      <c r="BB54" s="732"/>
      <c r="BC54" s="730"/>
      <c r="BD54" s="732"/>
      <c r="BE54" s="732"/>
      <c r="BF54" s="730"/>
      <c r="BG54" s="732"/>
      <c r="BH54" s="732"/>
      <c r="BI54" s="732"/>
      <c r="BJ54" s="1578"/>
      <c r="BK54" s="730"/>
      <c r="BL54" s="732"/>
      <c r="BM54" s="732"/>
      <c r="BN54" s="732"/>
      <c r="BO54" s="1578"/>
      <c r="BP54" s="732"/>
      <c r="BQ54" s="732"/>
      <c r="BR54" s="732"/>
      <c r="BS54" s="732"/>
      <c r="BT54" s="1578"/>
      <c r="BU54" s="730"/>
      <c r="BV54" s="730"/>
      <c r="BW54" s="730"/>
      <c r="BX54" s="730"/>
      <c r="BZ54" s="730"/>
      <c r="CA54" s="730"/>
      <c r="CB54" s="732"/>
      <c r="CC54" s="732"/>
      <c r="CD54" s="1578"/>
      <c r="CE54" s="730"/>
      <c r="CF54" s="732"/>
      <c r="CG54" s="732"/>
      <c r="CH54" s="732"/>
      <c r="CI54" s="1578"/>
      <c r="CJ54" s="732"/>
      <c r="CK54" s="732"/>
      <c r="CL54" s="732"/>
      <c r="CM54" s="732"/>
      <c r="CN54" s="1578"/>
      <c r="CO54" s="732"/>
      <c r="CP54" s="732"/>
      <c r="CQ54" s="732"/>
      <c r="CR54" s="732"/>
      <c r="CS54" s="1578"/>
      <c r="CT54" s="732"/>
      <c r="CU54" s="732"/>
      <c r="CV54" s="732"/>
      <c r="CW54" s="732"/>
      <c r="CX54" s="1578"/>
      <c r="DB54" s="685"/>
      <c r="DC54" s="731"/>
      <c r="DD54" s="1009"/>
      <c r="DE54" s="731"/>
    </row>
    <row r="55" spans="1:115" ht="6.75" hidden="1" customHeight="1" outlineLevel="1">
      <c r="A55" s="733"/>
      <c r="B55" s="733"/>
      <c r="C55" s="734"/>
      <c r="D55" s="734"/>
      <c r="E55" s="734"/>
      <c r="F55" s="734"/>
      <c r="G55" s="734"/>
      <c r="H55" s="734"/>
      <c r="I55" s="734"/>
      <c r="J55" s="734"/>
      <c r="K55" s="734"/>
      <c r="L55" s="734"/>
      <c r="M55" s="734"/>
      <c r="N55" s="734"/>
      <c r="O55" s="734"/>
      <c r="P55" s="734"/>
      <c r="Q55" s="734"/>
      <c r="R55" s="735"/>
      <c r="S55" s="735"/>
      <c r="T55" s="735"/>
      <c r="U55" s="735"/>
      <c r="V55" s="734"/>
      <c r="W55" s="735"/>
      <c r="X55" s="735"/>
      <c r="Y55" s="735"/>
      <c r="Z55" s="734"/>
      <c r="AA55" s="734"/>
      <c r="AB55" s="735"/>
      <c r="AC55" s="735"/>
      <c r="AD55" s="735"/>
      <c r="AE55" s="734"/>
      <c r="AF55" s="734"/>
      <c r="AG55" s="735"/>
      <c r="AH55" s="735"/>
      <c r="AI55" s="735"/>
      <c r="AJ55" s="734"/>
      <c r="AK55" s="734"/>
      <c r="AL55" s="735"/>
      <c r="AM55" s="735"/>
      <c r="AN55" s="735"/>
      <c r="AO55" s="734"/>
      <c r="AP55" s="734"/>
      <c r="AQ55" s="735"/>
      <c r="AR55" s="736"/>
      <c r="AS55" s="736"/>
      <c r="AT55" s="736"/>
      <c r="AU55" s="737"/>
      <c r="AV55" s="735"/>
      <c r="AW55" s="736"/>
      <c r="AX55" s="736"/>
      <c r="AY55" s="736"/>
      <c r="AZ55" s="737"/>
      <c r="BA55" s="735"/>
      <c r="BB55" s="736"/>
      <c r="BC55" s="736"/>
      <c r="BD55" s="736"/>
      <c r="BE55" s="737"/>
      <c r="BF55" s="735"/>
      <c r="BG55" s="736"/>
      <c r="BH55" s="736"/>
      <c r="BI55" s="736"/>
      <c r="BJ55" s="1579"/>
      <c r="BK55" s="735"/>
      <c r="BL55" s="736"/>
      <c r="BM55" s="736"/>
      <c r="BN55" s="736"/>
      <c r="BO55" s="1579"/>
      <c r="BP55" s="736"/>
      <c r="BQ55" s="736"/>
      <c r="BR55" s="736"/>
      <c r="BS55" s="736"/>
      <c r="BT55" s="1579"/>
      <c r="BU55" s="735"/>
      <c r="BV55" s="735"/>
      <c r="BW55" s="735"/>
      <c r="BX55" s="735"/>
      <c r="BY55" s="1579"/>
      <c r="BZ55" s="735"/>
      <c r="CA55" s="735"/>
      <c r="CB55" s="736"/>
      <c r="CC55" s="736"/>
      <c r="CD55" s="1579"/>
      <c r="CE55" s="735"/>
      <c r="CF55" s="736"/>
      <c r="CG55" s="736"/>
      <c r="CH55" s="736"/>
      <c r="CI55" s="1579"/>
      <c r="CJ55" s="736"/>
      <c r="CK55" s="736"/>
      <c r="CL55" s="736"/>
      <c r="CM55" s="736"/>
      <c r="CN55" s="1579"/>
      <c r="CO55" s="736"/>
      <c r="CP55" s="736"/>
      <c r="CQ55" s="736"/>
      <c r="CR55" s="736"/>
      <c r="CS55" s="1579"/>
      <c r="CT55" s="736"/>
      <c r="CU55" s="736"/>
      <c r="CV55" s="736"/>
      <c r="CW55" s="736"/>
      <c r="CX55" s="1579"/>
      <c r="DB55" s="685"/>
      <c r="DC55" s="730"/>
      <c r="DD55" s="1009"/>
      <c r="DE55" s="730"/>
    </row>
    <row r="56" spans="1:115" ht="12.75" hidden="1" customHeight="1" outlineLevel="1">
      <c r="A56" s="1098" t="s">
        <v>560</v>
      </c>
      <c r="B56" s="1098"/>
      <c r="C56" s="1099"/>
      <c r="D56" s="1099"/>
      <c r="E56" s="1099"/>
      <c r="F56" s="1099"/>
      <c r="G56" s="1097"/>
      <c r="H56" s="1099">
        <f>H44-F44</f>
        <v>0</v>
      </c>
      <c r="I56" s="1099">
        <f>I44-H44</f>
        <v>0</v>
      </c>
      <c r="J56" s="1099">
        <f>J44-I44</f>
        <v>0</v>
      </c>
      <c r="K56" s="1099">
        <f>K44-J44</f>
        <v>0</v>
      </c>
      <c r="L56" s="1099">
        <f>SUM(H56:K56)</f>
        <v>0</v>
      </c>
      <c r="M56" s="1099">
        <f>M44-K44</f>
        <v>0</v>
      </c>
      <c r="N56" s="1099">
        <f>N44-M44</f>
        <v>0</v>
      </c>
      <c r="O56" s="1099">
        <f>O44-N44</f>
        <v>0</v>
      </c>
      <c r="P56" s="1099">
        <f>P44-O44</f>
        <v>0</v>
      </c>
      <c r="Q56" s="1099">
        <f>SUM(M56:P56)</f>
        <v>0</v>
      </c>
      <c r="R56" s="1099">
        <f>R44-P44</f>
        <v>0</v>
      </c>
      <c r="S56" s="1099">
        <f>S44-R44</f>
        <v>0</v>
      </c>
      <c r="T56" s="1099">
        <f>T44-S44</f>
        <v>0</v>
      </c>
      <c r="U56" s="1099">
        <f>U44-T44</f>
        <v>0</v>
      </c>
      <c r="V56" s="1099">
        <f>SUM(R56:U56)</f>
        <v>0</v>
      </c>
      <c r="W56" s="1099">
        <f>W44-U44</f>
        <v>0</v>
      </c>
      <c r="X56" s="1099">
        <f>X44-W44</f>
        <v>2.4000000000000909E-2</v>
      </c>
      <c r="Y56" s="1099">
        <f>Y44-X44</f>
        <v>0</v>
      </c>
      <c r="Z56" s="1099">
        <f>Z44-Y44</f>
        <v>0</v>
      </c>
      <c r="AA56" s="1099">
        <f>SUM(W56:Z56)</f>
        <v>2.4000000000000909E-2</v>
      </c>
      <c r="AB56" s="1099">
        <f>AB44-Z44</f>
        <v>0.30799999999999983</v>
      </c>
      <c r="AC56" s="1099">
        <f>AC44-AB44</f>
        <v>0</v>
      </c>
      <c r="AD56" s="1099">
        <f>AD44-AC44</f>
        <v>-29.852</v>
      </c>
      <c r="AE56" s="1099">
        <f>AE44-AD44</f>
        <v>0</v>
      </c>
      <c r="AF56" s="1099">
        <f>SUM(AB56:AE56)</f>
        <v>-29.544</v>
      </c>
      <c r="AG56" s="1099">
        <f>AG44-AE44</f>
        <v>4.9999999999999975E-3</v>
      </c>
      <c r="AH56" s="1099">
        <f>AH44-AG44</f>
        <v>0</v>
      </c>
      <c r="AI56" s="1099">
        <f>AI44-AH44</f>
        <v>0</v>
      </c>
      <c r="AJ56" s="1099">
        <f>AJ44-AI44</f>
        <v>0</v>
      </c>
      <c r="AK56" s="1099">
        <f>SUM(AG56:AJ56)</f>
        <v>4.9999999999999975E-3</v>
      </c>
      <c r="AL56" s="1099">
        <f>AL44-AJ44</f>
        <v>0</v>
      </c>
      <c r="AM56" s="1099">
        <f>AM44-AL44</f>
        <v>0</v>
      </c>
      <c r="AN56" s="1099">
        <f>AN44-AM44</f>
        <v>0</v>
      </c>
      <c r="AO56" s="1099">
        <f>AO44-AN44</f>
        <v>0</v>
      </c>
      <c r="AP56" s="1099">
        <f>SUM(AL56:AO56)</f>
        <v>0</v>
      </c>
      <c r="AQ56" s="1099">
        <f>AQ44-AO44</f>
        <v>0</v>
      </c>
      <c r="AR56" s="1099">
        <f>AR44-AQ44</f>
        <v>0</v>
      </c>
      <c r="AS56" s="1099">
        <f>AS44-AR44</f>
        <v>0</v>
      </c>
      <c r="AT56" s="1099">
        <f>AT44-AS44</f>
        <v>0</v>
      </c>
      <c r="AU56" s="1099">
        <f>SUM(AQ56:AT56)</f>
        <v>0</v>
      </c>
      <c r="AV56" s="1099">
        <f>AV44-AT44</f>
        <v>0</v>
      </c>
      <c r="AW56" s="1099">
        <f>AW44-AV44</f>
        <v>0</v>
      </c>
      <c r="AX56" s="1099">
        <f>AX44-AW44</f>
        <v>0</v>
      </c>
      <c r="AY56" s="1099">
        <f>AY44-AX44</f>
        <v>0</v>
      </c>
      <c r="AZ56" s="1099">
        <f>SUM(AV56:AY56)</f>
        <v>0</v>
      </c>
      <c r="BA56" s="1099">
        <f>BA44-AY44</f>
        <v>0</v>
      </c>
      <c r="BB56" s="1099">
        <f>BB44-BA44</f>
        <v>0</v>
      </c>
      <c r="BC56" s="1099">
        <f>BC44-BB44</f>
        <v>0</v>
      </c>
      <c r="BD56" s="1099">
        <f>BD44-BC44</f>
        <v>0</v>
      </c>
      <c r="BE56" s="1100">
        <f>SUM(BA56:BD56)</f>
        <v>0</v>
      </c>
      <c r="BF56" s="1099">
        <f>BF44-BD44</f>
        <v>0</v>
      </c>
      <c r="BG56" s="1099">
        <f>BG44-BF44</f>
        <v>0</v>
      </c>
      <c r="BH56" s="1099">
        <f>BH44-BG44</f>
        <v>0</v>
      </c>
      <c r="BI56" s="1099">
        <f>BI44-BH44</f>
        <v>0</v>
      </c>
      <c r="BJ56" s="1580">
        <f>SUM(BF56:BI56)</f>
        <v>0</v>
      </c>
      <c r="BK56" s="1099">
        <f>BK44-BI44</f>
        <v>0</v>
      </c>
      <c r="BL56" s="1099">
        <f>BL44-BK44</f>
        <v>0</v>
      </c>
      <c r="BM56" s="1099">
        <f>BM44-BL44</f>
        <v>0</v>
      </c>
      <c r="BN56" s="1099">
        <f>BN44-BM44</f>
        <v>0</v>
      </c>
      <c r="BO56" s="1580">
        <f>SUM(BK56:BN56)</f>
        <v>0</v>
      </c>
      <c r="BP56" s="1099">
        <f>BP44-BN44</f>
        <v>0</v>
      </c>
      <c r="BQ56" s="1099">
        <f>BQ44-BP44</f>
        <v>0</v>
      </c>
      <c r="BR56" s="1099">
        <f>BR44-BQ44</f>
        <v>0</v>
      </c>
      <c r="BS56" s="1099">
        <f>BS44-BR44</f>
        <v>0</v>
      </c>
      <c r="BT56" s="1580">
        <f>SUM(BP56:BS56)</f>
        <v>0</v>
      </c>
      <c r="BU56" s="1099">
        <f>BU44-BS44</f>
        <v>0</v>
      </c>
      <c r="BV56" s="1099">
        <f>BV44-BU44</f>
        <v>0</v>
      </c>
      <c r="BW56" s="1099">
        <f>BW44-BV44</f>
        <v>0</v>
      </c>
      <c r="BX56" s="1099">
        <f>BX44-BW44</f>
        <v>0</v>
      </c>
      <c r="BY56" s="1580">
        <f>SUM(BU56:BX56)</f>
        <v>0</v>
      </c>
      <c r="BZ56" s="1099">
        <f>BZ44-BX44</f>
        <v>0</v>
      </c>
      <c r="CA56" s="1099">
        <f>CA44-BY44</f>
        <v>0</v>
      </c>
      <c r="CB56" s="1099">
        <f>CB44-CA44</f>
        <v>0</v>
      </c>
      <c r="CC56" s="1099">
        <f>CC44-CB44</f>
        <v>0</v>
      </c>
      <c r="CD56" s="1596">
        <f>SUM(BZ56:CC56)</f>
        <v>0</v>
      </c>
      <c r="CE56" s="1099">
        <f>CE44-CC44</f>
        <v>0</v>
      </c>
      <c r="CF56" s="1099">
        <f>CF44-CE44</f>
        <v>0</v>
      </c>
      <c r="CG56" s="1099">
        <f>CG44-CF44</f>
        <v>0</v>
      </c>
      <c r="CH56" s="1099">
        <f>CH44-CG44</f>
        <v>0</v>
      </c>
      <c r="CI56" s="1596">
        <f>SUM(CE56:CH56)</f>
        <v>0</v>
      </c>
      <c r="CJ56" s="1099">
        <f>CJ44-CH44</f>
        <v>0</v>
      </c>
      <c r="CK56" s="1099">
        <f>CK44-CJ44</f>
        <v>0</v>
      </c>
      <c r="CL56" s="1099">
        <f>CL44-CK44</f>
        <v>0</v>
      </c>
      <c r="CM56" s="1099">
        <f>CM44-CL44</f>
        <v>0</v>
      </c>
      <c r="CN56" s="1596">
        <f>SUM(CJ56:CM56)</f>
        <v>0</v>
      </c>
      <c r="CO56" s="1099">
        <f>CO44-CM44</f>
        <v>0</v>
      </c>
      <c r="CP56" s="1099">
        <f>CP44-CO44</f>
        <v>0</v>
      </c>
      <c r="CQ56" s="1099">
        <f>CQ44-CP44</f>
        <v>0</v>
      </c>
      <c r="CR56" s="1099">
        <f>CR44-CQ44</f>
        <v>0</v>
      </c>
      <c r="CS56" s="1596">
        <f>SUM(CO56:CR56)</f>
        <v>0</v>
      </c>
      <c r="CT56" s="1099">
        <f>CT44-CR44</f>
        <v>0</v>
      </c>
      <c r="CU56" s="1099">
        <f>CU44-CT44</f>
        <v>0</v>
      </c>
      <c r="CV56" s="1099">
        <f>CV44-CU44</f>
        <v>0</v>
      </c>
      <c r="CW56" s="1099">
        <f>CW44-CV44</f>
        <v>0</v>
      </c>
      <c r="CX56" s="1596">
        <f>SUM(CT56:CW56)</f>
        <v>0</v>
      </c>
      <c r="DB56" s="685"/>
      <c r="DC56" s="730"/>
      <c r="DD56" s="1009"/>
      <c r="DE56" s="730"/>
    </row>
    <row r="57" spans="1:115" ht="12.75" hidden="1" customHeight="1" outlineLevel="1">
      <c r="A57" s="1098" t="s">
        <v>519</v>
      </c>
      <c r="B57" s="1098"/>
      <c r="C57" s="1099"/>
      <c r="D57" s="1099"/>
      <c r="E57" s="1099"/>
      <c r="F57" s="1099"/>
      <c r="G57" s="1099"/>
      <c r="H57" s="1099">
        <f>H45-F45+H47-F47+H70</f>
        <v>30.810999999999922</v>
      </c>
      <c r="I57" s="1099">
        <f>I45-H45+I47-H47+I70</f>
        <v>73.056999999999789</v>
      </c>
      <c r="J57" s="1099">
        <f>J45-I45+J47-I47+J70</f>
        <v>-91.298999999999978</v>
      </c>
      <c r="K57" s="1099">
        <f>K45-J45+K47-J47+K70</f>
        <v>-126.923</v>
      </c>
      <c r="L57" s="1099">
        <f>SUM(H57:K57)</f>
        <v>-114.35400000000027</v>
      </c>
      <c r="M57" s="1099">
        <f>M45-K45+M47-K47+M70</f>
        <v>-28.511999999999944</v>
      </c>
      <c r="N57" s="1099">
        <f>N45-M45+N47-M47+N70</f>
        <v>45.02599999999984</v>
      </c>
      <c r="O57" s="1099">
        <f>O45-N45+O47-N47+O70</f>
        <v>-5.1429999999998017</v>
      </c>
      <c r="P57" s="1099">
        <f>P45-O45+P47-O47+P70</f>
        <v>157.53499999999985</v>
      </c>
      <c r="Q57" s="1099">
        <f>SUM(M57:P57)</f>
        <v>168.90599999999995</v>
      </c>
      <c r="R57" s="1099">
        <f>R45-P45+R47-P47+R70</f>
        <v>-9.943000000000211</v>
      </c>
      <c r="S57" s="1099">
        <f>S45-R45+S47-R47+S70</f>
        <v>-51.652999999999793</v>
      </c>
      <c r="T57" s="1099">
        <f>T45-S45+T47-S47+T70</f>
        <v>-141.84400000000005</v>
      </c>
      <c r="U57" s="1099">
        <f>U45-T45+U47-T47+U70</f>
        <v>88.998000000000047</v>
      </c>
      <c r="V57" s="1099">
        <f>SUM(R57:U57)</f>
        <v>-114.44200000000001</v>
      </c>
      <c r="W57" s="1099">
        <f>W45-U45+W47-U47+W70</f>
        <v>53.171999999999798</v>
      </c>
      <c r="X57" s="1099">
        <f>X45-W45+X47-W47+X70</f>
        <v>91.826000000000249</v>
      </c>
      <c r="Y57" s="1099">
        <f>Y45-X45+Y47-X47+Y70</f>
        <v>68.66599999999994</v>
      </c>
      <c r="Z57" s="1099">
        <f>Z45-Y45+Z47-Y47+Z70</f>
        <v>-373.97300000000018</v>
      </c>
      <c r="AA57" s="1099">
        <f>SUM(W57:Z57)</f>
        <v>-160.3090000000002</v>
      </c>
      <c r="AB57" s="1099">
        <f>AB45-Z45+AB47-Z47+AB70</f>
        <v>3381.13</v>
      </c>
      <c r="AC57" s="1099">
        <f>AC45-AB45+AC47-AB47+AC70</f>
        <v>64.616000000000042</v>
      </c>
      <c r="AD57" s="1099">
        <f>AD45-AC45+AD47-AC47+AD70</f>
        <v>111.30499999999995</v>
      </c>
      <c r="AE57" s="1099">
        <f>AE45-AD45+AE47-AD47+AE70</f>
        <v>185.81799999999976</v>
      </c>
      <c r="AF57" s="1099">
        <f>SUM(AB57:AE57)</f>
        <v>3742.8689999999997</v>
      </c>
      <c r="AG57" s="1099">
        <f>AG45-AE45+AG47-AE47+AG70</f>
        <v>-38.327999999999577</v>
      </c>
      <c r="AH57" s="1099">
        <f>AH45-AG45+AH47-AG47+AH70</f>
        <v>87.692999999999927</v>
      </c>
      <c r="AI57" s="1099">
        <f>AI45-AH45+AI47-AH47+AI70</f>
        <v>62.325999999999908</v>
      </c>
      <c r="AJ57" s="1099">
        <f>AJ45-AI45+AJ47-AI47+AJ70</f>
        <v>18.903999999999996</v>
      </c>
      <c r="AK57" s="1099">
        <f>SUM(AG57:AJ57)</f>
        <v>130.59500000000025</v>
      </c>
      <c r="AL57" s="1099">
        <f>AL45-AJ45+AL47-AJ47+AL70</f>
        <v>96.544999999999845</v>
      </c>
      <c r="AM57" s="1099">
        <f>AM45-AL45+AM47-AL47+AM70</f>
        <v>166.67200000000003</v>
      </c>
      <c r="AN57" s="1099">
        <f>AN45-AM45+AN47-AM47+AN70</f>
        <v>259.58999999999992</v>
      </c>
      <c r="AO57" s="1099">
        <f>AO45-AN45+AO47-AN47+AO70</f>
        <v>59.192000000000007</v>
      </c>
      <c r="AP57" s="1099">
        <f>SUM(AL57:AO57)</f>
        <v>581.9989999999998</v>
      </c>
      <c r="AQ57" s="1099">
        <f>AQ45-AO45+AQ47-AO47+AQ70</f>
        <v>76.511999999999802</v>
      </c>
      <c r="AR57" s="1099">
        <f>AR45-AQ45+AR47-AQ47+AR70</f>
        <v>61.595000000000255</v>
      </c>
      <c r="AS57" s="1099">
        <f>AS45-AR45+AS47-AR47+AS70</f>
        <v>113.05299999999988</v>
      </c>
      <c r="AT57" s="1099">
        <f>AT45-AS45+AT47-AS47+AT70</f>
        <v>198.91799999999967</v>
      </c>
      <c r="AU57" s="1099">
        <f>SUM(AQ57:AT57)</f>
        <v>450.07799999999963</v>
      </c>
      <c r="AV57" s="1099">
        <f>AV45-AT45+AV47-AT47+AV70</f>
        <v>175.47200000000069</v>
      </c>
      <c r="AW57" s="1099">
        <f>AW45-AV45+AW47-AV47+AW70</f>
        <v>103.42000000000007</v>
      </c>
      <c r="AX57" s="1099">
        <f>AX45-AW45+AX47-AW47+AX70</f>
        <v>155.75999999999976</v>
      </c>
      <c r="AY57" s="1099">
        <f>AY45-AX45+AY47-AX47+AY70</f>
        <v>59.993999999999801</v>
      </c>
      <c r="AZ57" s="1099">
        <f>SUM(AV57:AY57)</f>
        <v>494.6460000000003</v>
      </c>
      <c r="BA57" s="1099">
        <f>BA45-AY45+BA47-AY47+BA70</f>
        <v>240.43600000000052</v>
      </c>
      <c r="BB57" s="1099">
        <f>BB45-BA45+BB47-BA47+BB70</f>
        <v>217.01799999999923</v>
      </c>
      <c r="BC57" s="1099">
        <f>BC45-BB45+BC47-BB47+BC70</f>
        <v>116.73500000000058</v>
      </c>
      <c r="BD57" s="1099">
        <f>BD45-BC45+BD47-BC47+BD70</f>
        <v>101.19399999999996</v>
      </c>
      <c r="BE57" s="1100">
        <f>SUM(BA57:BD57)</f>
        <v>675.38300000000027</v>
      </c>
      <c r="BF57" s="1099">
        <f>BF45-BD45+BF47-BD47+BF70</f>
        <v>271.05599999999959</v>
      </c>
      <c r="BG57" s="1099">
        <f>BG45-BF45+BG47-BF47+BG70</f>
        <v>141.017</v>
      </c>
      <c r="BH57" s="1099">
        <f>BH45-BG45+BH47-BG47+BH70</f>
        <v>269.10600000000034</v>
      </c>
      <c r="BI57" s="1099">
        <f>BI45-BH45+BI47-BH47+BI70</f>
        <v>97.659999999999854</v>
      </c>
      <c r="BJ57" s="1580">
        <f>SUM(BF57:BI57)</f>
        <v>778.83899999999971</v>
      </c>
      <c r="BK57" s="1099">
        <f>BK45-BI45+BK47-BI47+BK70</f>
        <v>425.27199999999993</v>
      </c>
      <c r="BL57" s="1099">
        <f>BL45-BK45+BL47-BK47+BL70</f>
        <v>259.63900000000012</v>
      </c>
      <c r="BM57" s="1099">
        <f>BM45-BL45+BM47-BL47+BM70</f>
        <v>225.19900000000007</v>
      </c>
      <c r="BN57" s="1099">
        <f>BN45-BM45+BN47-BM47+BN70</f>
        <v>210.98999999999978</v>
      </c>
      <c r="BO57" s="1580">
        <f>SUM(BK57:BN57)</f>
        <v>1121.0999999999999</v>
      </c>
      <c r="BP57" s="1099">
        <f>BP45-BN45+BP47-BN47+BP70</f>
        <v>333.02300000000014</v>
      </c>
      <c r="BQ57" s="1099">
        <f>BQ45-BP45+BQ47-BP47+BQ70</f>
        <v>130.55199999999968</v>
      </c>
      <c r="BR57" s="1099">
        <f>BR45-BQ45+BR47-BQ47+BR70</f>
        <v>209.26100000000042</v>
      </c>
      <c r="BS57" s="1099">
        <f>BS45-BR45+BS47-BR47+BS70</f>
        <v>126.30199999999968</v>
      </c>
      <c r="BT57" s="1580">
        <f>SUM(BP57:BS57)</f>
        <v>799.13799999999992</v>
      </c>
      <c r="BU57" s="1099">
        <f>BU45-BS45+BU47-BS47+BU70</f>
        <v>276.32200000000057</v>
      </c>
      <c r="BV57" s="1099">
        <f>BV45-BU45+BV47-BU47+BV70</f>
        <v>124.10499999999956</v>
      </c>
      <c r="BW57" s="1099">
        <f>BW45-BV45+BW47-BV47+BW70</f>
        <v>199.7866153846154</v>
      </c>
      <c r="BX57" s="1099">
        <f>BX45-BW45+BX47-BW47+BX70</f>
        <v>106.69499999999971</v>
      </c>
      <c r="BY57" s="1580">
        <f>SUM(BU57:BX57)</f>
        <v>706.90861538461525</v>
      </c>
      <c r="BZ57" s="1099">
        <f>BZ45-BX45+BZ47-BX47+BZ70</f>
        <v>227.56900000000041</v>
      </c>
      <c r="CA57" s="1099">
        <f>CA45-BY45+CA47-BY47+CA70</f>
        <v>225.31400000000122</v>
      </c>
      <c r="CB57" s="1099">
        <f>CB45-CA45+CB47-CA47+CB70</f>
        <v>103.60999999999876</v>
      </c>
      <c r="CC57" s="1099">
        <f>CC45-CB45+CC47-CB47+CC70</f>
        <v>117.76700000000073</v>
      </c>
      <c r="CD57" s="1596">
        <f>SUM(BZ57:CC57)</f>
        <v>674.26000000000113</v>
      </c>
      <c r="CE57" s="1099">
        <f>CE45-CC45+CE47-CC47+CE70</f>
        <v>228.81700000000001</v>
      </c>
      <c r="CF57" s="1099">
        <f>CF45-CE45+CF47-CE47+CF70</f>
        <v>89.260999999999513</v>
      </c>
      <c r="CG57" s="1099">
        <f>CG45-CF45+CG47-CF47+CG70</f>
        <v>196.74499999999989</v>
      </c>
      <c r="CH57" s="1099">
        <f>CH45-CG45+CH47-CG47+CH70</f>
        <v>98.077000000000226</v>
      </c>
      <c r="CI57" s="1596">
        <f>SUM(CE57:CH57)</f>
        <v>612.89999999999964</v>
      </c>
      <c r="CJ57" s="1099">
        <f>CJ45-CH45+CJ47-CH47+CJ70</f>
        <v>216.74799999999959</v>
      </c>
      <c r="CK57" s="1099">
        <f>CK45-CJ45+CK47-CJ47+CK70</f>
        <v>451.06685000000016</v>
      </c>
      <c r="CL57" s="1099">
        <f>CL45-CK45+CL47-CK47+CL70</f>
        <v>209.25680000000028</v>
      </c>
      <c r="CM57" s="1099">
        <f>CM45-CL45+CM47-CL47+CM70</f>
        <v>214.94299999999987</v>
      </c>
      <c r="CN57" s="1596">
        <f>SUM(CJ57:CM57)</f>
        <v>1092.0146500000001</v>
      </c>
      <c r="CO57" s="1099">
        <f>CO45-CM45+CO47-CM47+CO70</f>
        <v>212.82461600000005</v>
      </c>
      <c r="CP57" s="1099">
        <f>CP45-CO45+CP47-CO47+CP70</f>
        <v>242.11741999999924</v>
      </c>
      <c r="CQ57" s="1099">
        <f>CQ45-CP45+CQ47-CP47+CQ70</f>
        <v>241.10815999999937</v>
      </c>
      <c r="CR57" s="1099">
        <f>CR45-CQ45+CR47-CQ47+CR70</f>
        <v>247.93159999999932</v>
      </c>
      <c r="CS57" s="1596">
        <f>SUM(CO57:CR57)</f>
        <v>943.98179599999798</v>
      </c>
      <c r="CT57" s="1099">
        <f>CT45-CR45+CT47-CR47+CT70</f>
        <v>245.38953919999983</v>
      </c>
      <c r="CU57" s="1099">
        <f>CU45-CT45+CU47-CT47+CU70</f>
        <v>280.54090400000172</v>
      </c>
      <c r="CV57" s="1099">
        <f>CV45-CU45+CV47-CU47+CV70</f>
        <v>279.32979200000079</v>
      </c>
      <c r="CW57" s="1099">
        <f>CW45-CV45+CW47-CV47+CW70</f>
        <v>287.51792000000108</v>
      </c>
      <c r="CX57" s="1596">
        <f>SUM(CT57:CW57)</f>
        <v>1092.7781552000033</v>
      </c>
      <c r="DB57" s="685"/>
      <c r="DC57" s="730"/>
      <c r="DD57" s="1009"/>
      <c r="DE57" s="730"/>
    </row>
    <row r="58" spans="1:115" s="17" customFormat="1" ht="12" hidden="1" customHeight="1" outlineLevel="1">
      <c r="A58" s="760"/>
      <c r="B58" s="760"/>
      <c r="C58" s="1532"/>
      <c r="D58" s="1532"/>
      <c r="E58" s="1532"/>
      <c r="F58" s="1532"/>
      <c r="G58" s="1533"/>
      <c r="H58" s="1532"/>
      <c r="I58" s="1532"/>
      <c r="J58" s="1532"/>
      <c r="K58" s="1532"/>
      <c r="L58" s="1533"/>
      <c r="M58" s="1532"/>
      <c r="N58" s="1532"/>
      <c r="O58" s="1532"/>
      <c r="P58" s="1532"/>
      <c r="Q58" s="1533"/>
      <c r="R58" s="1534"/>
      <c r="S58" s="1534"/>
      <c r="T58" s="1534"/>
      <c r="U58" s="1534"/>
      <c r="V58" s="1533"/>
      <c r="W58" s="1534"/>
      <c r="X58" s="1534"/>
      <c r="Y58" s="1534"/>
      <c r="Z58" s="1535"/>
      <c r="AA58" s="1111"/>
      <c r="AB58" s="1322"/>
      <c r="AC58" s="1322"/>
      <c r="AD58" s="1322"/>
      <c r="AE58" s="1536"/>
      <c r="AF58" s="1111"/>
      <c r="AG58" s="1322"/>
      <c r="AH58" s="1322"/>
      <c r="AI58" s="1322"/>
      <c r="AJ58" s="1536"/>
      <c r="AK58" s="1111"/>
      <c r="AL58" s="1322"/>
      <c r="AM58" s="1322"/>
      <c r="AN58" s="1322"/>
      <c r="AO58" s="1536"/>
      <c r="AP58" s="1111"/>
      <c r="AQ58" s="1322"/>
      <c r="AR58" s="1103"/>
      <c r="AS58" s="1103"/>
      <c r="AT58" s="1103"/>
      <c r="AU58" s="1112"/>
      <c r="AV58" s="1322"/>
      <c r="AW58" s="1103"/>
      <c r="AX58" s="1103"/>
      <c r="AY58" s="1103"/>
      <c r="AZ58" s="1112"/>
      <c r="BA58" s="1322"/>
      <c r="BB58" s="1103"/>
      <c r="BC58" s="1103"/>
      <c r="BD58" s="1103"/>
      <c r="BE58" s="1112"/>
      <c r="BF58" s="1322"/>
      <c r="BG58" s="1103"/>
      <c r="BH58" s="1103"/>
      <c r="BI58" s="1103"/>
      <c r="BJ58" s="1551"/>
      <c r="BK58" s="1322"/>
      <c r="BL58" s="1103"/>
      <c r="BM58" s="1103"/>
      <c r="BN58" s="1103"/>
      <c r="BO58" s="1551"/>
      <c r="BP58" s="1322"/>
      <c r="BQ58" s="1103"/>
      <c r="BR58" s="1103"/>
      <c r="BS58" s="1103"/>
      <c r="BT58" s="1551"/>
      <c r="BU58" s="1322"/>
      <c r="BV58" s="1322"/>
      <c r="BW58" s="1322"/>
      <c r="BX58" s="1322"/>
      <c r="BY58" s="1551"/>
      <c r="BZ58" s="1322"/>
      <c r="CA58" s="1322"/>
      <c r="CB58" s="1103"/>
      <c r="CC58" s="1103"/>
      <c r="CD58" s="1563"/>
      <c r="CE58" s="1322"/>
      <c r="CF58" s="1103"/>
      <c r="CG58" s="1103"/>
      <c r="CH58" s="1103"/>
      <c r="CI58" s="1563"/>
      <c r="CJ58" s="1103"/>
      <c r="CK58" s="1103"/>
      <c r="CL58" s="1103"/>
      <c r="CM58" s="1103"/>
      <c r="CN58" s="1563"/>
      <c r="CO58" s="1103"/>
      <c r="CP58" s="1103"/>
      <c r="CQ58" s="1103"/>
      <c r="CR58" s="1103"/>
      <c r="CS58" s="1563"/>
      <c r="CT58" s="1103"/>
      <c r="CU58" s="1103"/>
      <c r="CV58" s="1103"/>
      <c r="CW58" s="1103"/>
      <c r="CX58" s="1563"/>
      <c r="CY58"/>
      <c r="CZ58"/>
      <c r="DA58"/>
      <c r="DB58" s="1105"/>
      <c r="DC58" s="760"/>
      <c r="DD58" s="1009"/>
      <c r="DE58" s="760"/>
      <c r="DF58"/>
      <c r="DG58"/>
      <c r="DH58"/>
      <c r="DI58"/>
      <c r="DJ58"/>
      <c r="DK58"/>
    </row>
    <row r="59" spans="1:115" s="17" customFormat="1" ht="12" hidden="1" customHeight="1" outlineLevel="1">
      <c r="A59" s="1503" t="s">
        <v>803</v>
      </c>
      <c r="B59" s="760"/>
      <c r="C59" s="1532"/>
      <c r="D59" s="1532"/>
      <c r="E59" s="1532"/>
      <c r="F59" s="1532"/>
      <c r="G59" s="1533"/>
      <c r="H59" s="1532"/>
      <c r="I59" s="1532"/>
      <c r="J59" s="1532"/>
      <c r="K59" s="1532"/>
      <c r="L59" s="1533"/>
      <c r="M59" s="1532"/>
      <c r="N59" s="1532"/>
      <c r="O59" s="1532"/>
      <c r="P59" s="1532"/>
      <c r="Q59" s="1533"/>
      <c r="R59" s="1534"/>
      <c r="S59" s="1534"/>
      <c r="T59" s="1534"/>
      <c r="U59" s="1534"/>
      <c r="V59" s="1533"/>
      <c r="W59" s="1534"/>
      <c r="X59" s="1534"/>
      <c r="Y59" s="1534"/>
      <c r="Z59" s="1535"/>
      <c r="AA59" s="1111"/>
      <c r="AB59" s="1322"/>
      <c r="AC59" s="1322"/>
      <c r="AD59" s="1322"/>
      <c r="AE59" s="1536"/>
      <c r="AF59" s="1111"/>
      <c r="AG59" s="1322"/>
      <c r="AH59" s="1322"/>
      <c r="AI59" s="1322"/>
      <c r="AJ59" s="1536"/>
      <c r="AK59" s="1111"/>
      <c r="AL59" s="1322"/>
      <c r="AM59" s="1322"/>
      <c r="AN59" s="1322"/>
      <c r="AO59" s="1536"/>
      <c r="AP59" s="1111"/>
      <c r="AQ59" s="1322"/>
      <c r="AR59" s="1103"/>
      <c r="AS59" s="1103"/>
      <c r="AT59" s="1103"/>
      <c r="AU59" s="1112"/>
      <c r="AV59" s="1322"/>
      <c r="AW59" s="1103"/>
      <c r="AX59" s="1103"/>
      <c r="AY59" s="1103"/>
      <c r="AZ59" s="1112"/>
      <c r="BA59" s="1322"/>
      <c r="BB59" s="1103"/>
      <c r="BC59" s="1103"/>
      <c r="BD59" s="1103"/>
      <c r="BE59" s="1112"/>
      <c r="BF59" s="1322"/>
      <c r="BG59" s="1103"/>
      <c r="BH59" s="1103"/>
      <c r="BI59" s="1103"/>
      <c r="BJ59" s="1552">
        <f>BD63</f>
        <v>491.53999999999996</v>
      </c>
      <c r="BK59" s="1351">
        <f>BI63</f>
        <v>498.791</v>
      </c>
      <c r="BL59" s="1351">
        <f>BK63</f>
        <v>501.04500000000002</v>
      </c>
      <c r="BM59" s="1351">
        <f>BL63</f>
        <v>503.05200000000002</v>
      </c>
      <c r="BN59" s="1351">
        <f>BM63</f>
        <v>501.80599999999998</v>
      </c>
      <c r="BO59" s="1552">
        <f>BI63</f>
        <v>498.791</v>
      </c>
      <c r="BP59" s="1351">
        <f>BN63</f>
        <v>496.26100000000002</v>
      </c>
      <c r="BQ59" s="1351">
        <f>BP63</f>
        <v>498.50099999999998</v>
      </c>
      <c r="BR59" s="1351">
        <f>BQ63</f>
        <v>497.24700000000001</v>
      </c>
      <c r="BS59" s="1351">
        <f>BR63</f>
        <v>498.59899999999999</v>
      </c>
      <c r="BT59" s="1552">
        <f>BN63</f>
        <v>496.26100000000002</v>
      </c>
      <c r="BU59" s="1351">
        <f>BS63</f>
        <v>499.10740599999997</v>
      </c>
      <c r="BV59" s="1351">
        <f>BU63</f>
        <v>500.048</v>
      </c>
      <c r="BW59" s="1351">
        <f>BV63</f>
        <v>498.27600000000001</v>
      </c>
      <c r="BX59" s="1351">
        <f>BW63</f>
        <v>498.70499999999998</v>
      </c>
      <c r="BY59" s="1552">
        <f>BS63</f>
        <v>499.10740599999997</v>
      </c>
      <c r="BZ59" s="1351">
        <f>BX63</f>
        <v>497.80900000000003</v>
      </c>
      <c r="CA59" s="1351">
        <f>BZ63</f>
        <v>500.69299999999998</v>
      </c>
      <c r="CB59" s="1351">
        <f>CA63</f>
        <v>498.97199999999998</v>
      </c>
      <c r="CC59" s="1351">
        <f>CB63</f>
        <v>497.02499999999998</v>
      </c>
      <c r="CD59" s="1552">
        <f>BX63</f>
        <v>497.80900000000003</v>
      </c>
      <c r="CE59" s="1351">
        <f>CC63</f>
        <v>494.07847500000003</v>
      </c>
      <c r="CF59" s="1351">
        <f>CE63</f>
        <v>495.13</v>
      </c>
      <c r="CG59" s="1351">
        <f>CF63</f>
        <v>493.40567499999997</v>
      </c>
      <c r="CH59" s="1351">
        <f>CG63</f>
        <v>492.94301400000001</v>
      </c>
      <c r="CI59" s="1552">
        <f>CC63</f>
        <v>494.07847500000003</v>
      </c>
      <c r="CJ59" s="1351">
        <f>CH63</f>
        <v>491.262</v>
      </c>
      <c r="CK59" s="1351">
        <f>CJ63</f>
        <v>490.77073799999999</v>
      </c>
      <c r="CL59" s="1351">
        <f>CK63</f>
        <v>490.27996726200001</v>
      </c>
      <c r="CM59" s="1351">
        <f>CL63</f>
        <v>489.78968729473803</v>
      </c>
      <c r="CN59" s="1552">
        <f>CH63</f>
        <v>491.262</v>
      </c>
      <c r="CO59" s="1351">
        <f>CM63</f>
        <v>489.29989760744331</v>
      </c>
      <c r="CP59" s="1351">
        <f>CO63</f>
        <v>488.81059770983586</v>
      </c>
      <c r="CQ59" s="1351">
        <f>CP63</f>
        <v>488.321787112126</v>
      </c>
      <c r="CR59" s="1351">
        <f>CQ63</f>
        <v>487.83346532501389</v>
      </c>
      <c r="CS59" s="1552">
        <f>CM63</f>
        <v>489.29989760744331</v>
      </c>
      <c r="CT59" s="1351">
        <f>CR63</f>
        <v>487.34563185968887</v>
      </c>
      <c r="CU59" s="1351">
        <f>CT63</f>
        <v>486.85828622782918</v>
      </c>
      <c r="CV59" s="1351">
        <f>CU63</f>
        <v>486.37142794160133</v>
      </c>
      <c r="CW59" s="1351">
        <f>CV63</f>
        <v>485.88505651365972</v>
      </c>
      <c r="CX59" s="1552">
        <f>CR63</f>
        <v>487.34563185968887</v>
      </c>
      <c r="CY59"/>
      <c r="CZ59"/>
      <c r="DA59"/>
      <c r="DB59" s="1105"/>
      <c r="DC59" s="760"/>
      <c r="DD59" s="1009"/>
      <c r="DE59" s="760"/>
      <c r="DF59"/>
      <c r="DG59"/>
      <c r="DH59"/>
      <c r="DI59"/>
      <c r="DJ59"/>
      <c r="DK59"/>
    </row>
    <row r="60" spans="1:115" s="17" customFormat="1" ht="12" hidden="1" customHeight="1" outlineLevel="1">
      <c r="A60" s="1529" t="s">
        <v>805</v>
      </c>
      <c r="B60" s="760"/>
      <c r="C60" s="1532"/>
      <c r="D60" s="1532"/>
      <c r="E60" s="1532"/>
      <c r="F60" s="1532"/>
      <c r="G60" s="1533"/>
      <c r="H60" s="1532"/>
      <c r="I60" s="1532"/>
      <c r="J60" s="1532"/>
      <c r="K60" s="1532"/>
      <c r="L60" s="1533"/>
      <c r="M60" s="1532"/>
      <c r="N60" s="1532"/>
      <c r="O60" s="1532"/>
      <c r="P60" s="1532"/>
      <c r="Q60" s="1533"/>
      <c r="R60" s="1534"/>
      <c r="S60" s="1534"/>
      <c r="T60" s="1534"/>
      <c r="U60" s="1534"/>
      <c r="V60" s="1533"/>
      <c r="W60" s="1534"/>
      <c r="X60" s="1534"/>
      <c r="Y60" s="1534"/>
      <c r="Z60" s="1535"/>
      <c r="AA60" s="1111"/>
      <c r="AB60" s="1322"/>
      <c r="AC60" s="1322"/>
      <c r="AD60" s="1322"/>
      <c r="AE60" s="1536"/>
      <c r="AF60" s="1111"/>
      <c r="AG60" s="1322"/>
      <c r="AH60" s="1322"/>
      <c r="AI60" s="1322"/>
      <c r="AJ60" s="1536"/>
      <c r="AK60" s="1111"/>
      <c r="AL60" s="1322"/>
      <c r="AM60" s="1322"/>
      <c r="AN60" s="1322"/>
      <c r="AO60" s="1536"/>
      <c r="AP60" s="1111"/>
      <c r="AQ60" s="1322"/>
      <c r="AR60" s="1103"/>
      <c r="AS60" s="1103"/>
      <c r="AT60" s="1103"/>
      <c r="AU60" s="1112"/>
      <c r="AV60" s="1322"/>
      <c r="AW60" s="1103"/>
      <c r="AX60" s="1103"/>
      <c r="AY60" s="1103"/>
      <c r="AZ60" s="1112"/>
      <c r="BA60" s="1322"/>
      <c r="BB60" s="1103"/>
      <c r="BC60" s="1103"/>
      <c r="BD60" s="1103"/>
      <c r="BE60" s="1112"/>
      <c r="BF60" s="1322"/>
      <c r="BG60" s="1103"/>
      <c r="BH60" s="1103"/>
      <c r="BI60" s="1103"/>
      <c r="BJ60" s="1556">
        <v>14.111000000000001</v>
      </c>
      <c r="BK60" s="1351">
        <v>5</v>
      </c>
      <c r="BL60" s="1351">
        <v>5.9</v>
      </c>
      <c r="BM60" s="1351">
        <v>5.9</v>
      </c>
      <c r="BN60" s="1351">
        <f>BO60-SUM(BK60:BM60)</f>
        <v>6.9319999999999986</v>
      </c>
      <c r="BO60" s="1556">
        <v>23.731999999999999</v>
      </c>
      <c r="BP60" s="1351">
        <v>3</v>
      </c>
      <c r="BQ60" s="1351">
        <v>3</v>
      </c>
      <c r="BR60" s="1351">
        <v>3.3</v>
      </c>
      <c r="BS60" s="1351">
        <f>BT60-SUM(BP60:BR60)</f>
        <v>2.7749999999999986</v>
      </c>
      <c r="BT60" s="1556">
        <v>12.074999999999999</v>
      </c>
      <c r="BU60" s="1351">
        <v>2.1</v>
      </c>
      <c r="BV60" s="1351">
        <v>2</v>
      </c>
      <c r="BW60" s="1351">
        <v>2</v>
      </c>
      <c r="BX60" s="1351">
        <f>BY60-SUM(BU60:BW60)</f>
        <v>2.3290000000000006</v>
      </c>
      <c r="BY60" s="1552">
        <v>8.4290000000000003</v>
      </c>
      <c r="BZ60" s="1351">
        <v>1.7</v>
      </c>
      <c r="CA60" s="1351">
        <v>1.7</v>
      </c>
      <c r="CB60" s="1351">
        <v>1.7</v>
      </c>
      <c r="CC60" s="1351">
        <f>CD60-SUM(BZ60:CB60)</f>
        <v>1.7720000000000002</v>
      </c>
      <c r="CD60" s="1552">
        <v>6.8719999999999999</v>
      </c>
      <c r="CE60" s="1351">
        <f>CI60/4</f>
        <v>1.2985</v>
      </c>
      <c r="CF60" s="1661">
        <f>CE60</f>
        <v>1.2985</v>
      </c>
      <c r="CG60" s="1661">
        <f>CF60</f>
        <v>1.2985</v>
      </c>
      <c r="CH60" s="1661">
        <f>CG60</f>
        <v>1.2985</v>
      </c>
      <c r="CI60" s="1552">
        <v>5.194</v>
      </c>
      <c r="CJ60" s="1661">
        <f>CE60</f>
        <v>1.2985</v>
      </c>
      <c r="CK60" s="1661">
        <f>CJ60</f>
        <v>1.2985</v>
      </c>
      <c r="CL60" s="1661">
        <f>CK60</f>
        <v>1.2985</v>
      </c>
      <c r="CM60" s="1661">
        <f>CL60</f>
        <v>1.2985</v>
      </c>
      <c r="CN60" s="1662">
        <f>SUM(CJ60:CM60)</f>
        <v>5.194</v>
      </c>
      <c r="CO60" s="1661">
        <f>CM60</f>
        <v>1.2985</v>
      </c>
      <c r="CP60" s="1661">
        <f>CO60</f>
        <v>1.2985</v>
      </c>
      <c r="CQ60" s="1661">
        <f>CP60</f>
        <v>1.2985</v>
      </c>
      <c r="CR60" s="1661">
        <f>CQ60</f>
        <v>1.2985</v>
      </c>
      <c r="CS60" s="1662">
        <f>SUM(CO60:CR60)</f>
        <v>5.194</v>
      </c>
      <c r="CT60" s="1661">
        <f>CR60</f>
        <v>1.2985</v>
      </c>
      <c r="CU60" s="1661">
        <f>CT60</f>
        <v>1.2985</v>
      </c>
      <c r="CV60" s="1661">
        <f>CU60</f>
        <v>1.2985</v>
      </c>
      <c r="CW60" s="1661">
        <f>CV60</f>
        <v>1.2985</v>
      </c>
      <c r="CX60" s="1662">
        <f>SUM(CT60:CW60)</f>
        <v>5.194</v>
      </c>
      <c r="CY60"/>
      <c r="CZ60"/>
      <c r="DA60"/>
      <c r="DB60" s="1105"/>
      <c r="DC60" s="760"/>
      <c r="DD60" s="1009"/>
      <c r="DE60" s="760"/>
      <c r="DF60"/>
      <c r="DG60"/>
      <c r="DH60"/>
      <c r="DI60"/>
      <c r="DJ60"/>
      <c r="DK60"/>
    </row>
    <row r="61" spans="1:115" s="17" customFormat="1" ht="12" hidden="1" customHeight="1" outlineLevel="1">
      <c r="A61" s="1529" t="s">
        <v>806</v>
      </c>
      <c r="B61" s="760"/>
      <c r="C61" s="1532"/>
      <c r="D61" s="1532"/>
      <c r="E61" s="1532"/>
      <c r="F61" s="1532"/>
      <c r="G61" s="1533"/>
      <c r="H61" s="1532"/>
      <c r="I61" s="1532"/>
      <c r="J61" s="1532"/>
      <c r="K61" s="1532"/>
      <c r="L61" s="1533"/>
      <c r="M61" s="1532"/>
      <c r="N61" s="1532"/>
      <c r="O61" s="1532"/>
      <c r="P61" s="1532"/>
      <c r="Q61" s="1533"/>
      <c r="R61" s="1534"/>
      <c r="S61" s="1534"/>
      <c r="T61" s="1534"/>
      <c r="U61" s="1534"/>
      <c r="V61" s="1533"/>
      <c r="W61" s="1534"/>
      <c r="X61" s="1534"/>
      <c r="Y61" s="1534"/>
      <c r="Z61" s="1535"/>
      <c r="AA61" s="1111"/>
      <c r="AB61" s="1322"/>
      <c r="AC61" s="1322"/>
      <c r="AD61" s="1322"/>
      <c r="AE61" s="1536"/>
      <c r="AF61" s="1111"/>
      <c r="AG61" s="1322"/>
      <c r="AH61" s="1322"/>
      <c r="AI61" s="1322"/>
      <c r="AJ61" s="1536"/>
      <c r="AK61" s="1111"/>
      <c r="AL61" s="1322"/>
      <c r="AM61" s="1322"/>
      <c r="AN61" s="1322"/>
      <c r="AO61" s="1536"/>
      <c r="AP61" s="1111"/>
      <c r="AQ61" s="1322"/>
      <c r="AR61" s="1103"/>
      <c r="AS61" s="1103"/>
      <c r="AT61" s="1103"/>
      <c r="AU61" s="1112"/>
      <c r="AV61" s="1322"/>
      <c r="AW61" s="1103"/>
      <c r="AX61" s="1103"/>
      <c r="AY61" s="1103"/>
      <c r="AZ61" s="1112"/>
      <c r="BA61" s="1322"/>
      <c r="BB61" s="1103"/>
      <c r="BC61" s="1103"/>
      <c r="BD61" s="1103"/>
      <c r="BE61" s="1112"/>
      <c r="BF61" s="1322"/>
      <c r="BG61" s="1103"/>
      <c r="BH61" s="1103"/>
      <c r="BI61" s="1103"/>
      <c r="BJ61" s="1556">
        <v>-11.519</v>
      </c>
      <c r="BK61" s="1557">
        <v>-2.7</v>
      </c>
      <c r="BL61" s="1557">
        <f>-6.6-BK61</f>
        <v>-3.8999999999999995</v>
      </c>
      <c r="BM61" s="1557">
        <f>-13.7-BL61-BK61</f>
        <v>-7.1000000000000005</v>
      </c>
      <c r="BN61" s="1557">
        <f>BO61-SUM(BK61:BM61)</f>
        <v>-7.9030000000000022</v>
      </c>
      <c r="BO61" s="1556">
        <v>-21.603000000000002</v>
      </c>
      <c r="BP61" s="1557">
        <v>-4.5</v>
      </c>
      <c r="BQ61" s="1557">
        <f>-7.1-BP61</f>
        <v>-2.5999999999999996</v>
      </c>
      <c r="BR61" s="1557">
        <f>-9-BQ61-BP61</f>
        <v>-1.9000000000000004</v>
      </c>
      <c r="BS61" s="1557">
        <f>BT61-SUM(BP61:BR61)</f>
        <v>-1.8520000000000003</v>
      </c>
      <c r="BT61" s="1556">
        <v>-10.852</v>
      </c>
      <c r="BU61" s="1351">
        <v>-2.4</v>
      </c>
      <c r="BV61" s="1351">
        <v>-2.6</v>
      </c>
      <c r="BW61" s="1351">
        <v>-1.6</v>
      </c>
      <c r="BX61" s="1351">
        <v>-1.4</v>
      </c>
      <c r="BY61" s="1552">
        <f>SUM(BU61:BX61)</f>
        <v>-8</v>
      </c>
      <c r="BZ61" s="1351">
        <v>-1.5</v>
      </c>
      <c r="CA61" s="1351">
        <v>-2.2000000000000002</v>
      </c>
      <c r="CB61" s="1523">
        <v>-3.5</v>
      </c>
      <c r="CC61" s="1523">
        <v>-3.2</v>
      </c>
      <c r="CD61" s="1552">
        <f>SUM(BZ61:CC61)</f>
        <v>-10.4</v>
      </c>
      <c r="CE61" s="1523">
        <f>+-2.2</f>
        <v>-2.2000000000000002</v>
      </c>
      <c r="CF61" s="1523">
        <f>CF63-SUM(CF59:CF60)</f>
        <v>-3.0228250000000116</v>
      </c>
      <c r="CG61" s="1523">
        <v>-2.1</v>
      </c>
      <c r="CH61" s="1523">
        <v>-1.9</v>
      </c>
      <c r="CI61" s="1552">
        <f>SUM(CE61:CH61)</f>
        <v>-9.2228250000000127</v>
      </c>
      <c r="CJ61" s="1523">
        <v>-1.6</v>
      </c>
      <c r="CK61" s="1523">
        <f>CK63-SUM(CK59:CK60)</f>
        <v>-1.7892707379999706</v>
      </c>
      <c r="CL61" s="1523">
        <f>CL63-SUM(CL59:CL60)</f>
        <v>-1.7887799672619735</v>
      </c>
      <c r="CM61" s="1523">
        <f>CM63-SUM(CM59:CM60)</f>
        <v>-1.7882896872947072</v>
      </c>
      <c r="CN61" s="1565">
        <f>SUM(CJ61:CM61)</f>
        <v>-6.9663403925566509</v>
      </c>
      <c r="CO61" s="1523">
        <f>CO63-SUM(CO59:CO60)</f>
        <v>-1.7877998976074423</v>
      </c>
      <c r="CP61" s="1523">
        <f>CP63-SUM(CP59:CP60)</f>
        <v>-1.7873105977098476</v>
      </c>
      <c r="CQ61" s="1523">
        <f>CQ63-SUM(CQ59:CQ60)</f>
        <v>-1.7868217871121033</v>
      </c>
      <c r="CR61" s="1523">
        <f>CR63-SUM(CR59:CR60)</f>
        <v>-1.7863334653250149</v>
      </c>
      <c r="CS61" s="1565">
        <f>SUM(CO61:CR61)</f>
        <v>-7.148265747754408</v>
      </c>
      <c r="CT61" s="1523">
        <f>CT63-SUM(CT59:CT60)</f>
        <v>-1.7858456318596723</v>
      </c>
      <c r="CU61" s="1523">
        <f>CU63-SUM(CU59:CU60)</f>
        <v>-1.7853582862278472</v>
      </c>
      <c r="CV61" s="1523">
        <f>CV63-SUM(CV59:CV60)</f>
        <v>-1.7848714279415958</v>
      </c>
      <c r="CW61" s="1523">
        <f>CW63-SUM(CW59:CW60)</f>
        <v>-1.7843850565136563</v>
      </c>
      <c r="CX61" s="1565">
        <f>SUM(CT61:CW61)</f>
        <v>-7.1404604025427716</v>
      </c>
      <c r="CY61"/>
      <c r="CZ61"/>
      <c r="DA61"/>
      <c r="DB61" s="1105"/>
      <c r="DC61" s="760"/>
      <c r="DD61" s="1009"/>
      <c r="DE61" s="760"/>
      <c r="DF61"/>
      <c r="DG61"/>
      <c r="DH61"/>
      <c r="DI61"/>
      <c r="DJ61"/>
      <c r="DK61"/>
    </row>
    <row r="62" spans="1:115" s="17" customFormat="1" ht="12" hidden="1" customHeight="1" outlineLevel="1">
      <c r="A62" s="1529" t="s">
        <v>631</v>
      </c>
      <c r="B62" s="760"/>
      <c r="C62" s="1532"/>
      <c r="D62" s="1532"/>
      <c r="E62" s="1532"/>
      <c r="F62" s="1532"/>
      <c r="G62" s="1533"/>
      <c r="H62" s="1532"/>
      <c r="I62" s="1532"/>
      <c r="J62" s="1532"/>
      <c r="K62" s="1532"/>
      <c r="L62" s="1533"/>
      <c r="M62" s="1532"/>
      <c r="N62" s="1532"/>
      <c r="O62" s="1532"/>
      <c r="P62" s="1532"/>
      <c r="Q62" s="1533"/>
      <c r="R62" s="1534"/>
      <c r="S62" s="1534"/>
      <c r="T62" s="1534"/>
      <c r="U62" s="1534"/>
      <c r="V62" s="1533"/>
      <c r="W62" s="1534"/>
      <c r="X62" s="1534"/>
      <c r="Y62" s="1534"/>
      <c r="Z62" s="1535"/>
      <c r="AA62" s="1111"/>
      <c r="AB62" s="1322"/>
      <c r="AC62" s="1322"/>
      <c r="AD62" s="1322"/>
      <c r="AE62" s="1536"/>
      <c r="AF62" s="1111"/>
      <c r="AG62" s="1322"/>
      <c r="AH62" s="1322"/>
      <c r="AI62" s="1322"/>
      <c r="AJ62" s="1536"/>
      <c r="AK62" s="1111"/>
      <c r="AL62" s="1322"/>
      <c r="AM62" s="1322"/>
      <c r="AN62" s="1322"/>
      <c r="AO62" s="1536"/>
      <c r="AP62" s="1111"/>
      <c r="AQ62" s="1322"/>
      <c r="AR62" s="1103"/>
      <c r="AS62" s="1103"/>
      <c r="AT62" s="1103"/>
      <c r="AU62" s="1112"/>
      <c r="AV62" s="1322"/>
      <c r="AW62" s="1103"/>
      <c r="AX62" s="1103"/>
      <c r="AY62" s="1103"/>
      <c r="AZ62" s="1112"/>
      <c r="BA62" s="1322"/>
      <c r="BB62" s="1103"/>
      <c r="BC62" s="1103"/>
      <c r="BD62" s="1103"/>
      <c r="BE62" s="1112"/>
      <c r="BF62" s="1322"/>
      <c r="BG62" s="1103"/>
      <c r="BH62" s="1103"/>
      <c r="BI62" s="1103"/>
      <c r="BJ62" s="1555">
        <f t="shared" ref="BJ62:BU62" si="96">BJ63-SUM(BJ59:BJ61)</f>
        <v>4.6590000000000487</v>
      </c>
      <c r="BK62" s="1558">
        <f t="shared" si="96"/>
        <v>-4.5999999999992269E-2</v>
      </c>
      <c r="BL62" s="1558">
        <f t="shared" si="96"/>
        <v>7.0000000000050022E-3</v>
      </c>
      <c r="BM62" s="1558">
        <f t="shared" si="96"/>
        <v>-4.5999999999992269E-2</v>
      </c>
      <c r="BN62" s="1558">
        <f t="shared" si="96"/>
        <v>-4.5739999999999554</v>
      </c>
      <c r="BO62" s="1555">
        <f t="shared" si="96"/>
        <v>-4.6589999999999918</v>
      </c>
      <c r="BP62" s="1558">
        <f t="shared" si="96"/>
        <v>3.7399999999999523</v>
      </c>
      <c r="BQ62" s="1558">
        <f t="shared" si="96"/>
        <v>-1.6539999999999395</v>
      </c>
      <c r="BR62" s="1558">
        <f t="shared" si="96"/>
        <v>-4.8000000000058662E-2</v>
      </c>
      <c r="BS62" s="1558">
        <f t="shared" si="96"/>
        <v>-0.41459400000002233</v>
      </c>
      <c r="BT62" s="1555">
        <f t="shared" si="96"/>
        <v>1.6234059999999317</v>
      </c>
      <c r="BU62" s="1558">
        <f t="shared" si="96"/>
        <v>1.2405939999999873</v>
      </c>
      <c r="BV62" s="1558">
        <f>BV63-SUM(BV59:BV61)</f>
        <v>-1.1719999999999686</v>
      </c>
      <c r="BW62" s="1558">
        <f>BW63-SUM(BW59:BW61)</f>
        <v>2.8999999999996362E-2</v>
      </c>
      <c r="BX62" s="1558">
        <f>BX63-SUM(BX59:BX61)</f>
        <v>-1.8249999999999886</v>
      </c>
      <c r="BY62" s="1555"/>
      <c r="BZ62" s="1558">
        <f>BZ63-SUM(BZ59:BZ61)</f>
        <v>2.6839999999999691</v>
      </c>
      <c r="CA62" s="1558">
        <f>CA63-SUM(CA59:CA61)</f>
        <v>-1.2210000000000036</v>
      </c>
      <c r="CB62" s="1558">
        <f>CB63-SUM(CB59:CB61)</f>
        <v>-0.14699999999999136</v>
      </c>
      <c r="CC62" s="1558">
        <f>CC63-SUM(CC59:CC61)</f>
        <v>-1.5185249999999542</v>
      </c>
      <c r="CD62" s="1694"/>
      <c r="CE62" s="1558">
        <f>CE63-SUM(CE59:CE61)</f>
        <v>1.9530249999999683</v>
      </c>
      <c r="CF62" s="1554"/>
      <c r="CG62" s="1554"/>
      <c r="CH62" s="1554"/>
      <c r="CI62" s="1694"/>
      <c r="CJ62" s="1554"/>
      <c r="CK62" s="1554"/>
      <c r="CL62" s="1554"/>
      <c r="CM62" s="1554"/>
      <c r="CN62" s="1564"/>
      <c r="CO62" s="1554"/>
      <c r="CP62" s="1554"/>
      <c r="CQ62" s="1554"/>
      <c r="CR62" s="1554"/>
      <c r="CS62" s="1564"/>
      <c r="CT62" s="1554"/>
      <c r="CU62" s="1554"/>
      <c r="CV62" s="1554"/>
      <c r="CW62" s="1554"/>
      <c r="CX62" s="1564"/>
      <c r="CY62"/>
      <c r="CZ62"/>
      <c r="DA62"/>
      <c r="DB62" s="1105"/>
      <c r="DC62" s="760"/>
      <c r="DD62" s="1009"/>
      <c r="DE62" s="760"/>
      <c r="DF62"/>
      <c r="DG62"/>
      <c r="DH62"/>
      <c r="DI62"/>
      <c r="DJ62"/>
      <c r="DK62"/>
    </row>
    <row r="63" spans="1:115" s="1550" customFormat="1" ht="12" hidden="1" customHeight="1" outlineLevel="1">
      <c r="A63" s="1537" t="s">
        <v>804</v>
      </c>
      <c r="B63" s="1538"/>
      <c r="C63" s="1539"/>
      <c r="D63" s="1539"/>
      <c r="E63" s="1539"/>
      <c r="F63" s="1539"/>
      <c r="G63" s="1540"/>
      <c r="H63" s="1539"/>
      <c r="I63" s="1539"/>
      <c r="J63" s="1539"/>
      <c r="K63" s="1539"/>
      <c r="L63" s="1540"/>
      <c r="M63" s="1539"/>
      <c r="N63" s="1539"/>
      <c r="O63" s="1539"/>
      <c r="P63" s="1539"/>
      <c r="Q63" s="1540"/>
      <c r="R63" s="1541"/>
      <c r="S63" s="1541"/>
      <c r="T63" s="1541"/>
      <c r="U63" s="1541"/>
      <c r="V63" s="1540"/>
      <c r="W63" s="1541"/>
      <c r="X63" s="1541"/>
      <c r="Y63" s="1541"/>
      <c r="Z63" s="1542"/>
      <c r="AA63" s="1543"/>
      <c r="AB63" s="1544"/>
      <c r="AC63" s="1544"/>
      <c r="AD63" s="1544"/>
      <c r="AE63" s="1545"/>
      <c r="AF63" s="1543"/>
      <c r="AG63" s="1544"/>
      <c r="AH63" s="1544"/>
      <c r="AI63" s="1544"/>
      <c r="AJ63" s="1545"/>
      <c r="AK63" s="1543"/>
      <c r="AL63" s="1544"/>
      <c r="AM63" s="1544"/>
      <c r="AN63" s="1544"/>
      <c r="AO63" s="1545"/>
      <c r="AP63" s="1543"/>
      <c r="AQ63" s="1544"/>
      <c r="AR63" s="1546"/>
      <c r="AS63" s="1546"/>
      <c r="AT63" s="1546"/>
      <c r="AU63" s="1547"/>
      <c r="AV63" s="1544"/>
      <c r="AW63" s="1546"/>
      <c r="AX63" s="1546"/>
      <c r="AY63" s="1546"/>
      <c r="AZ63" s="1547"/>
      <c r="BA63" s="1544"/>
      <c r="BB63" s="1546"/>
      <c r="BC63" s="1546"/>
      <c r="BD63" s="1548">
        <f>Model!BD118</f>
        <v>491.53999999999996</v>
      </c>
      <c r="BE63" s="1547"/>
      <c r="BF63" s="1548">
        <f>Model!BF118</f>
        <v>499.4</v>
      </c>
      <c r="BG63" s="1548">
        <f>Model!BG118</f>
        <v>496.5</v>
      </c>
      <c r="BH63" s="1548">
        <f>Model!BH118</f>
        <v>496</v>
      </c>
      <c r="BI63" s="1548">
        <f>Model!BI118</f>
        <v>498.791</v>
      </c>
      <c r="BJ63" s="1553">
        <f>BI63</f>
        <v>498.791</v>
      </c>
      <c r="BK63" s="1548">
        <f>Model!BK118</f>
        <v>501.04500000000002</v>
      </c>
      <c r="BL63" s="1548">
        <f>Model!BL118</f>
        <v>503.05200000000002</v>
      </c>
      <c r="BM63" s="1548">
        <f>Model!BM118</f>
        <v>501.80599999999998</v>
      </c>
      <c r="BN63" s="1548">
        <f>Model!BN118</f>
        <v>496.26100000000002</v>
      </c>
      <c r="BO63" s="1553">
        <f>BN63</f>
        <v>496.26100000000002</v>
      </c>
      <c r="BP63" s="1548">
        <f>Model!BP118</f>
        <v>498.50099999999998</v>
      </c>
      <c r="BQ63" s="1548">
        <f>Model!BQ118</f>
        <v>497.24700000000001</v>
      </c>
      <c r="BR63" s="1548">
        <f>Model!BR118</f>
        <v>498.59899999999999</v>
      </c>
      <c r="BS63" s="1548">
        <f>Model!BS118</f>
        <v>499.10740599999997</v>
      </c>
      <c r="BT63" s="1553">
        <f>BS63</f>
        <v>499.10740599999997</v>
      </c>
      <c r="BU63" s="1548">
        <f>Model!BU118</f>
        <v>500.048</v>
      </c>
      <c r="BV63" s="1548">
        <f>Model!BV118</f>
        <v>498.27600000000001</v>
      </c>
      <c r="BW63" s="1548">
        <f>Model!BW118</f>
        <v>498.70499999999998</v>
      </c>
      <c r="BX63" s="1548">
        <f>Model!BX118</f>
        <v>497.80900000000003</v>
      </c>
      <c r="BY63" s="1553">
        <f>BX63</f>
        <v>497.80900000000003</v>
      </c>
      <c r="BZ63" s="1548">
        <f>Model!BZ118</f>
        <v>500.69299999999998</v>
      </c>
      <c r="CA63" s="1548">
        <f>Model!CA118</f>
        <v>498.97199999999998</v>
      </c>
      <c r="CB63" s="1548">
        <f>Model!CB118</f>
        <v>497.02499999999998</v>
      </c>
      <c r="CC63" s="1548">
        <f>Model!CC118</f>
        <v>494.07847500000003</v>
      </c>
      <c r="CD63" s="1553">
        <f>CC63</f>
        <v>494.07847500000003</v>
      </c>
      <c r="CE63" s="1548">
        <f>Model!CE118</f>
        <v>495.13</v>
      </c>
      <c r="CF63" s="1548">
        <f>Model!CF118</f>
        <v>493.40567499999997</v>
      </c>
      <c r="CG63" s="1548">
        <f>Model!CG118</f>
        <v>492.94301400000001</v>
      </c>
      <c r="CH63" s="1548">
        <f>Model!CH118</f>
        <v>491.262</v>
      </c>
      <c r="CI63" s="1553">
        <f>CH63</f>
        <v>491.262</v>
      </c>
      <c r="CJ63" s="1567">
        <f>CI63*(1+CJ64)</f>
        <v>490.77073799999999</v>
      </c>
      <c r="CK63" s="1567">
        <f>CJ63*(1+CK64)</f>
        <v>490.27996726200001</v>
      </c>
      <c r="CL63" s="1567">
        <f>CK63*(1+CL64)</f>
        <v>489.78968729473803</v>
      </c>
      <c r="CM63" s="1567">
        <f>CL63*(1+CM64)</f>
        <v>489.29989760744331</v>
      </c>
      <c r="CN63" s="1589">
        <f>CM63</f>
        <v>489.29989760744331</v>
      </c>
      <c r="CO63" s="1567">
        <f>CN63*(1+CO64)</f>
        <v>488.81059770983586</v>
      </c>
      <c r="CP63" s="1567">
        <f>CO63*(1+CP64)</f>
        <v>488.321787112126</v>
      </c>
      <c r="CQ63" s="1567">
        <f>CP63*(1+CQ64)</f>
        <v>487.83346532501389</v>
      </c>
      <c r="CR63" s="1567">
        <f>CQ63*(1+CR64)</f>
        <v>487.34563185968887</v>
      </c>
      <c r="CS63" s="1589">
        <f>CR63</f>
        <v>487.34563185968887</v>
      </c>
      <c r="CT63" s="1567">
        <f>CS63*(1+CT64)</f>
        <v>486.85828622782918</v>
      </c>
      <c r="CU63" s="1567">
        <f>CT63*(1+CU64)</f>
        <v>486.37142794160133</v>
      </c>
      <c r="CV63" s="1567">
        <f>CU63*(1+CV64)</f>
        <v>485.88505651365972</v>
      </c>
      <c r="CW63" s="1567">
        <f>CV63*(1+CW64)</f>
        <v>485.39917145714605</v>
      </c>
      <c r="CX63" s="1589">
        <f>CW63</f>
        <v>485.39917145714605</v>
      </c>
      <c r="CY63"/>
      <c r="CZ63"/>
      <c r="DA63"/>
      <c r="DB63" s="1549"/>
      <c r="DC63" s="1538"/>
      <c r="DD63" s="1009"/>
      <c r="DE63" s="1538"/>
      <c r="DF63"/>
      <c r="DG63"/>
      <c r="DH63"/>
      <c r="DI63"/>
      <c r="DJ63"/>
      <c r="DK63"/>
    </row>
    <row r="64" spans="1:115" s="1119" customFormat="1" ht="12" hidden="1" customHeight="1" outlineLevel="1">
      <c r="A64" s="1503" t="s">
        <v>808</v>
      </c>
      <c r="B64" s="1503"/>
      <c r="C64" s="1532"/>
      <c r="D64" s="1532"/>
      <c r="E64" s="1532"/>
      <c r="F64" s="1532"/>
      <c r="G64" s="1559"/>
      <c r="H64" s="1532"/>
      <c r="I64" s="1532"/>
      <c r="J64" s="1532"/>
      <c r="K64" s="1532"/>
      <c r="L64" s="1559"/>
      <c r="M64" s="1532"/>
      <c r="N64" s="1532"/>
      <c r="O64" s="1532"/>
      <c r="P64" s="1532"/>
      <c r="Q64" s="1559"/>
      <c r="R64" s="1532"/>
      <c r="S64" s="1532"/>
      <c r="T64" s="1532"/>
      <c r="U64" s="1532"/>
      <c r="V64" s="1559"/>
      <c r="W64" s="1532"/>
      <c r="X64" s="1532"/>
      <c r="Y64" s="1532"/>
      <c r="Z64" s="1560"/>
      <c r="AA64" s="1101"/>
      <c r="AB64" s="1351"/>
      <c r="AC64" s="1351"/>
      <c r="AD64" s="1351"/>
      <c r="AE64" s="1561"/>
      <c r="AF64" s="1101"/>
      <c r="AG64" s="1351"/>
      <c r="AH64" s="1351"/>
      <c r="AI64" s="1351"/>
      <c r="AJ64" s="1561"/>
      <c r="AK64" s="1101"/>
      <c r="AL64" s="1351"/>
      <c r="AM64" s="1351"/>
      <c r="AN64" s="1351"/>
      <c r="AO64" s="1561"/>
      <c r="AP64" s="1101"/>
      <c r="AQ64" s="1351"/>
      <c r="AR64" s="1523"/>
      <c r="AS64" s="1523"/>
      <c r="AT64" s="1523"/>
      <c r="AU64" s="1104"/>
      <c r="AV64" s="1351"/>
      <c r="AW64" s="1523"/>
      <c r="AX64" s="1523"/>
      <c r="AY64" s="1523"/>
      <c r="AZ64" s="1104"/>
      <c r="BA64" s="1351"/>
      <c r="BB64" s="1523"/>
      <c r="BC64" s="1523"/>
      <c r="BD64" s="1523"/>
      <c r="BE64" s="1104"/>
      <c r="BF64" s="1351"/>
      <c r="BG64" s="1523"/>
      <c r="BH64" s="1523"/>
      <c r="BI64" s="1523"/>
      <c r="BJ64" s="1552"/>
      <c r="BK64" s="1562">
        <f>BK63/BJ63-1</f>
        <v>4.5189267649177189E-3</v>
      </c>
      <c r="BL64" s="1562">
        <f>BL63/BK63-1</f>
        <v>4.0056282369846929E-3</v>
      </c>
      <c r="BM64" s="1562">
        <f>BM63/BL63-1</f>
        <v>-2.4768811176578698E-3</v>
      </c>
      <c r="BN64" s="1562">
        <f>BN63/BM63-1</f>
        <v>-1.1050087085447302E-2</v>
      </c>
      <c r="BO64" s="1552"/>
      <c r="BP64" s="1562">
        <f>BP63/BO63-1</f>
        <v>4.5137538512998177E-3</v>
      </c>
      <c r="BQ64" s="1562">
        <f>BQ63/BP63-1</f>
        <v>-2.5155415936978232E-3</v>
      </c>
      <c r="BR64" s="1562">
        <f>BR63/BQ63-1</f>
        <v>2.7189706524122226E-3</v>
      </c>
      <c r="BS64" s="1562">
        <f>BS63/BR63-1</f>
        <v>1.0196691128541158E-3</v>
      </c>
      <c r="BT64" s="1552"/>
      <c r="BU64" s="1562">
        <f>BU63/BT63-1</f>
        <v>1.8845522801158587E-3</v>
      </c>
      <c r="BV64" s="1562">
        <f>BV63/BU63-1</f>
        <v>-3.5436598086583393E-3</v>
      </c>
      <c r="BW64" s="1562">
        <f>BW63/BV63-1</f>
        <v>8.6096861980111683E-4</v>
      </c>
      <c r="BX64" s="1562">
        <f>BX63/BW63-1</f>
        <v>-1.7966533321300826E-3</v>
      </c>
      <c r="BY64" s="1552"/>
      <c r="BZ64" s="1562">
        <f>BZ63/BY63-1</f>
        <v>5.7933866201695938E-3</v>
      </c>
      <c r="CA64" s="1562">
        <f>CA63/BZ63-1</f>
        <v>-3.4372359909166095E-3</v>
      </c>
      <c r="CB64" s="1562">
        <f>CB63/CA63-1</f>
        <v>-3.9020225583800139E-3</v>
      </c>
      <c r="CC64" s="1562">
        <f>CC63/CB63-1</f>
        <v>-5.9283235249735222E-3</v>
      </c>
      <c r="CD64" s="1695"/>
      <c r="CE64" s="1562">
        <f>CE63/CD63-1</f>
        <v>2.1282550307417658E-3</v>
      </c>
      <c r="CF64" s="1562">
        <f>CF63/CE63-1</f>
        <v>-3.4825702340799403E-3</v>
      </c>
      <c r="CG64" s="1562">
        <f>CG63/CF63-1</f>
        <v>-9.3768885005218738E-4</v>
      </c>
      <c r="CH64" s="1562">
        <f>CH63/CG63-1</f>
        <v>-3.410158887047321E-3</v>
      </c>
      <c r="CI64" s="1695"/>
      <c r="CJ64" s="1566">
        <v>-1E-3</v>
      </c>
      <c r="CK64" s="1566">
        <f>CJ64</f>
        <v>-1E-3</v>
      </c>
      <c r="CL64" s="1566">
        <f>CK64</f>
        <v>-1E-3</v>
      </c>
      <c r="CM64" s="1566">
        <f>CL64</f>
        <v>-1E-3</v>
      </c>
      <c r="CN64" s="1668"/>
      <c r="CO64" s="1566">
        <f>CM64</f>
        <v>-1E-3</v>
      </c>
      <c r="CP64" s="1566">
        <f>CO64</f>
        <v>-1E-3</v>
      </c>
      <c r="CQ64" s="1566">
        <f>CP64</f>
        <v>-1E-3</v>
      </c>
      <c r="CR64" s="1566">
        <f>CQ64</f>
        <v>-1E-3</v>
      </c>
      <c r="CS64" s="1668"/>
      <c r="CT64" s="1566">
        <f>CR64</f>
        <v>-1E-3</v>
      </c>
      <c r="CU64" s="1566">
        <f>CT64</f>
        <v>-1E-3</v>
      </c>
      <c r="CV64" s="1566">
        <f>CU64</f>
        <v>-1E-3</v>
      </c>
      <c r="CW64" s="1566">
        <f>CV64</f>
        <v>-1E-3</v>
      </c>
      <c r="CX64" s="1668"/>
      <c r="CY64"/>
      <c r="CZ64"/>
      <c r="DA64"/>
      <c r="DB64" s="1105"/>
      <c r="DC64" s="1503"/>
      <c r="DD64" s="1009"/>
      <c r="DE64" s="1503"/>
      <c r="DF64"/>
      <c r="DG64"/>
      <c r="DH64"/>
      <c r="DI64"/>
      <c r="DJ64"/>
      <c r="DK64"/>
    </row>
    <row r="65" spans="1:115" s="1119" customFormat="1" ht="12" hidden="1" customHeight="1" outlineLevel="1">
      <c r="A65" s="1503" t="s">
        <v>807</v>
      </c>
      <c r="B65" s="1503"/>
      <c r="C65" s="1532"/>
      <c r="D65" s="1532"/>
      <c r="E65" s="1532"/>
      <c r="F65" s="1532"/>
      <c r="G65" s="1559"/>
      <c r="H65" s="1532"/>
      <c r="I65" s="1532"/>
      <c r="J65" s="1532"/>
      <c r="K65" s="1532"/>
      <c r="L65" s="1559"/>
      <c r="M65" s="1532"/>
      <c r="N65" s="1532"/>
      <c r="O65" s="1532"/>
      <c r="P65" s="1532"/>
      <c r="Q65" s="1559"/>
      <c r="R65" s="1532"/>
      <c r="S65" s="1532"/>
      <c r="T65" s="1532"/>
      <c r="U65" s="1532"/>
      <c r="V65" s="1559"/>
      <c r="W65" s="1532"/>
      <c r="X65" s="1532"/>
      <c r="Y65" s="1532"/>
      <c r="Z65" s="1560"/>
      <c r="AA65" s="1101"/>
      <c r="AB65" s="1351"/>
      <c r="AC65" s="1351"/>
      <c r="AD65" s="1351"/>
      <c r="AE65" s="1561"/>
      <c r="AF65" s="1101"/>
      <c r="AG65" s="1351"/>
      <c r="AH65" s="1351"/>
      <c r="AI65" s="1351"/>
      <c r="AJ65" s="1561"/>
      <c r="AK65" s="1101"/>
      <c r="AL65" s="1351"/>
      <c r="AM65" s="1351"/>
      <c r="AN65" s="1351"/>
      <c r="AO65" s="1561"/>
      <c r="AP65" s="1101"/>
      <c r="AQ65" s="1351"/>
      <c r="AR65" s="1523"/>
      <c r="AS65" s="1523"/>
      <c r="AT65" s="1523"/>
      <c r="AU65" s="1104"/>
      <c r="AV65" s="1351"/>
      <c r="AW65" s="1523"/>
      <c r="AX65" s="1523"/>
      <c r="AY65" s="1523"/>
      <c r="AZ65" s="1104"/>
      <c r="BA65" s="1351"/>
      <c r="BB65" s="1523"/>
      <c r="BC65" s="1523"/>
      <c r="BD65" s="1523"/>
      <c r="BE65" s="1104"/>
      <c r="BF65" s="1351"/>
      <c r="BG65" s="1523"/>
      <c r="BH65" s="1523"/>
      <c r="BI65" s="1523"/>
      <c r="BJ65" s="1552"/>
      <c r="BK65" s="1351">
        <v>37.32</v>
      </c>
      <c r="BL65" s="1523">
        <v>41.07</v>
      </c>
      <c r="BM65" s="1523">
        <v>43.78</v>
      </c>
      <c r="BN65" s="1523"/>
      <c r="BO65" s="1552"/>
      <c r="BP65" s="1351">
        <v>58.27</v>
      </c>
      <c r="BQ65" s="1523">
        <v>60.55</v>
      </c>
      <c r="BR65" s="1523">
        <v>62.42</v>
      </c>
      <c r="BS65" s="1523"/>
      <c r="BT65" s="1552"/>
      <c r="BU65" s="1351">
        <v>72.39</v>
      </c>
      <c r="BV65" s="1351">
        <v>60.55</v>
      </c>
      <c r="BW65" s="1351">
        <v>83</v>
      </c>
      <c r="BX65" s="1351"/>
      <c r="BY65" s="1552"/>
      <c r="BZ65" s="1351"/>
      <c r="CA65" s="1351"/>
      <c r="CB65" s="1523"/>
      <c r="CC65" s="1523"/>
      <c r="CD65" s="1552"/>
      <c r="CE65" s="1523"/>
      <c r="CF65" s="1523"/>
      <c r="CG65" s="1523"/>
      <c r="CH65" s="1523"/>
      <c r="CI65" s="1552"/>
      <c r="CJ65" s="1523"/>
      <c r="CK65" s="1523"/>
      <c r="CL65" s="1523"/>
      <c r="CM65" s="1523"/>
      <c r="CN65" s="1565"/>
      <c r="CO65" s="1523"/>
      <c r="CP65" s="1523"/>
      <c r="CQ65" s="1523"/>
      <c r="CR65" s="1523"/>
      <c r="CS65" s="1565"/>
      <c r="CT65" s="1523"/>
      <c r="CU65" s="1523"/>
      <c r="CV65" s="1523"/>
      <c r="CW65" s="1523"/>
      <c r="CX65" s="1565"/>
      <c r="CY65"/>
      <c r="CZ65"/>
      <c r="DA65"/>
      <c r="DB65" s="1105"/>
      <c r="DC65" s="1503"/>
      <c r="DD65" s="1009"/>
      <c r="DE65" s="1503"/>
      <c r="DF65"/>
      <c r="DG65"/>
      <c r="DH65"/>
      <c r="DI65"/>
      <c r="DJ65"/>
      <c r="DK65"/>
    </row>
    <row r="66" spans="1:115" s="17" customFormat="1" ht="12" hidden="1" customHeight="1" outlineLevel="1">
      <c r="A66" s="760"/>
      <c r="B66" s="760"/>
      <c r="C66" s="1532"/>
      <c r="D66" s="1532"/>
      <c r="E66" s="1532"/>
      <c r="F66" s="1532"/>
      <c r="G66" s="1533"/>
      <c r="H66" s="1532"/>
      <c r="I66" s="1532"/>
      <c r="J66" s="1532"/>
      <c r="K66" s="1532"/>
      <c r="L66" s="1533"/>
      <c r="M66" s="1532"/>
      <c r="N66" s="1532"/>
      <c r="O66" s="1532"/>
      <c r="P66" s="1532"/>
      <c r="Q66" s="1533"/>
      <c r="R66" s="1534"/>
      <c r="S66" s="1534"/>
      <c r="T66" s="1534"/>
      <c r="U66" s="1534"/>
      <c r="V66" s="1533"/>
      <c r="W66" s="1534"/>
      <c r="X66" s="1534"/>
      <c r="Y66" s="1534"/>
      <c r="Z66" s="1535"/>
      <c r="AA66" s="1111"/>
      <c r="AB66" s="1322"/>
      <c r="AC66" s="1322"/>
      <c r="AD66" s="1322"/>
      <c r="AE66" s="1536"/>
      <c r="AF66" s="1111"/>
      <c r="AG66" s="1322"/>
      <c r="AH66" s="1322"/>
      <c r="AI66" s="1322"/>
      <c r="AJ66" s="1536"/>
      <c r="AK66" s="1111"/>
      <c r="AL66" s="1322"/>
      <c r="AM66" s="1322"/>
      <c r="AN66" s="1322"/>
      <c r="AO66" s="1536"/>
      <c r="AP66" s="1111"/>
      <c r="AQ66" s="1322"/>
      <c r="AR66" s="1103"/>
      <c r="AS66" s="1103"/>
      <c r="AT66" s="1103"/>
      <c r="AU66" s="1112"/>
      <c r="AV66" s="1322"/>
      <c r="AW66" s="1103"/>
      <c r="AX66" s="1103"/>
      <c r="AY66" s="1103"/>
      <c r="AZ66" s="1112"/>
      <c r="BA66" s="1322"/>
      <c r="BB66" s="1103"/>
      <c r="BC66" s="1103"/>
      <c r="BD66" s="1103"/>
      <c r="BE66" s="1112"/>
      <c r="BF66" s="1322"/>
      <c r="BG66" s="1103"/>
      <c r="BH66" s="1103"/>
      <c r="BI66" s="1103"/>
      <c r="BJ66" s="1551"/>
      <c r="BK66" s="1322"/>
      <c r="BL66" s="1103"/>
      <c r="BM66" s="1103"/>
      <c r="BN66" s="1103"/>
      <c r="BO66" s="1551"/>
      <c r="BP66" s="1322"/>
      <c r="BQ66" s="1103"/>
      <c r="BR66" s="1103"/>
      <c r="BS66" s="1103"/>
      <c r="BT66" s="1551"/>
      <c r="BU66" s="1322"/>
      <c r="BV66" s="1322"/>
      <c r="BW66" s="1322"/>
      <c r="BX66" s="1322"/>
      <c r="BY66" s="1551"/>
      <c r="BZ66" s="1322"/>
      <c r="CA66" s="1322"/>
      <c r="CB66" s="1103"/>
      <c r="CC66" s="1103"/>
      <c r="CD66" s="1551"/>
      <c r="CE66" s="1103"/>
      <c r="CF66" s="1103"/>
      <c r="CG66" s="1103"/>
      <c r="CH66" s="1103"/>
      <c r="CI66" s="1551"/>
      <c r="CJ66" s="1103"/>
      <c r="CK66" s="1103"/>
      <c r="CL66" s="1103"/>
      <c r="CM66" s="1103"/>
      <c r="CN66" s="1563"/>
      <c r="CO66" s="1103"/>
      <c r="CP66" s="1103"/>
      <c r="CQ66" s="1103"/>
      <c r="CR66" s="1103"/>
      <c r="CS66" s="1563"/>
      <c r="CT66" s="1103"/>
      <c r="CU66" s="1103"/>
      <c r="CV66" s="1103"/>
      <c r="CW66" s="1103"/>
      <c r="CX66" s="1563"/>
      <c r="CY66"/>
      <c r="CZ66"/>
      <c r="DA66"/>
      <c r="DB66" s="1105"/>
      <c r="DC66" s="760"/>
      <c r="DD66" s="1009"/>
      <c r="DE66" s="760"/>
      <c r="DF66"/>
      <c r="DG66"/>
      <c r="DH66"/>
      <c r="DI66"/>
      <c r="DJ66"/>
      <c r="DK66"/>
    </row>
    <row r="67" spans="1:115" ht="12" customHeight="1" collapsed="1">
      <c r="A67" s="693" t="s">
        <v>85</v>
      </c>
      <c r="B67" s="693"/>
      <c r="C67" s="710"/>
      <c r="D67" s="753"/>
      <c r="E67" s="753"/>
      <c r="F67" s="753"/>
      <c r="G67" s="710"/>
      <c r="H67" s="710"/>
      <c r="I67" s="753"/>
      <c r="J67" s="753"/>
      <c r="K67" s="753"/>
      <c r="L67" s="710"/>
      <c r="M67" s="710"/>
      <c r="N67" s="753"/>
      <c r="O67" s="753"/>
      <c r="P67" s="753"/>
      <c r="Q67" s="710"/>
      <c r="R67" s="753"/>
      <c r="S67" s="753"/>
      <c r="T67" s="753"/>
      <c r="U67" s="753"/>
      <c r="V67" s="751"/>
      <c r="W67" s="753"/>
      <c r="X67" s="753"/>
      <c r="Y67" s="753"/>
      <c r="Z67" s="753"/>
      <c r="AA67" s="753"/>
      <c r="AB67" s="753"/>
      <c r="AC67" s="753"/>
      <c r="AD67" s="753"/>
      <c r="AE67" s="753"/>
      <c r="AF67" s="753"/>
      <c r="AG67" s="753"/>
      <c r="AH67" s="710"/>
      <c r="AI67" s="710"/>
      <c r="AJ67" s="710"/>
      <c r="AK67" s="710"/>
      <c r="AL67" s="753"/>
      <c r="AM67" s="710"/>
      <c r="AN67" s="710"/>
      <c r="AO67" s="710"/>
      <c r="AP67" s="710"/>
      <c r="AQ67" s="753"/>
      <c r="AR67" s="1126"/>
      <c r="AS67" s="1126"/>
      <c r="AT67" s="1126"/>
      <c r="AU67" s="744"/>
      <c r="AV67" s="753"/>
      <c r="AW67" s="1126"/>
      <c r="AX67" s="1126"/>
      <c r="AY67" s="1126"/>
      <c r="AZ67" s="744"/>
      <c r="BA67" s="753"/>
      <c r="BB67" s="753"/>
      <c r="BC67" s="753"/>
      <c r="BD67" s="1126"/>
      <c r="BE67" s="744"/>
      <c r="BF67" s="753"/>
      <c r="BG67" s="1126"/>
      <c r="BH67" s="1126"/>
      <c r="BI67" s="1126"/>
      <c r="BJ67" s="771"/>
      <c r="BK67" s="753"/>
      <c r="BL67" s="1126"/>
      <c r="BM67" s="753"/>
      <c r="BN67" s="753"/>
      <c r="BO67" s="771"/>
      <c r="BP67" s="1126"/>
      <c r="BQ67" s="1126"/>
      <c r="BR67" s="1126"/>
      <c r="BS67" s="753"/>
      <c r="BT67" s="771"/>
      <c r="BU67" s="753"/>
      <c r="BV67" s="753"/>
      <c r="BW67" s="753"/>
      <c r="BX67" s="753"/>
      <c r="BY67" s="771"/>
      <c r="BZ67" s="753"/>
      <c r="CA67" s="753"/>
      <c r="CB67" s="1126"/>
      <c r="CC67" s="1126"/>
      <c r="CD67" s="771"/>
      <c r="CE67" s="1126"/>
      <c r="CF67" s="1126"/>
      <c r="CG67" s="1126"/>
      <c r="CH67" s="1126"/>
      <c r="CI67" s="771"/>
      <c r="CJ67" s="1126"/>
      <c r="CK67" s="1126"/>
      <c r="CL67" s="1126"/>
      <c r="CM67" s="1126"/>
      <c r="CN67" s="1519"/>
      <c r="CO67" s="1126"/>
      <c r="CP67" s="1126"/>
      <c r="CQ67" s="1126"/>
      <c r="CR67" s="1126"/>
      <c r="CS67" s="1519"/>
      <c r="CT67" s="1126"/>
      <c r="CU67" s="1126"/>
      <c r="CV67" s="1126"/>
      <c r="CW67" s="1126"/>
      <c r="CX67" s="1519"/>
      <c r="DB67" s="690"/>
      <c r="DC67" s="689"/>
      <c r="DD67" s="1009"/>
      <c r="DE67" s="689"/>
    </row>
    <row r="68" spans="1:115" ht="12" customHeight="1">
      <c r="A68" s="730" t="s">
        <v>467</v>
      </c>
      <c r="B68" s="730"/>
      <c r="C68" s="710"/>
      <c r="D68" s="753"/>
      <c r="E68" s="753"/>
      <c r="F68" s="753"/>
      <c r="G68" s="710"/>
      <c r="H68" s="710"/>
      <c r="I68" s="753"/>
      <c r="J68" s="753"/>
      <c r="K68" s="753"/>
      <c r="L68" s="710">
        <f>-0.132+10.614-4.604-1.814</f>
        <v>4.0640000000000009</v>
      </c>
      <c r="M68" s="710"/>
      <c r="N68" s="753"/>
      <c r="O68" s="753"/>
      <c r="P68" s="753"/>
      <c r="Q68" s="710">
        <f>0.102-5.574+18.162</f>
        <v>12.69</v>
      </c>
      <c r="R68" s="753"/>
      <c r="S68" s="753"/>
      <c r="T68" s="753"/>
      <c r="U68" s="753"/>
      <c r="V68" s="710">
        <f>0.02-21.956+29.71</f>
        <v>7.7740000000000009</v>
      </c>
      <c r="W68" s="753"/>
      <c r="X68" s="753"/>
      <c r="Y68" s="753"/>
      <c r="Z68" s="753"/>
      <c r="AA68" s="710">
        <f>0.016-18.715+23.054</f>
        <v>4.3549999999999969</v>
      </c>
      <c r="AB68" s="753">
        <v>9.6</v>
      </c>
      <c r="AC68" s="710">
        <f>1.7+22.5-AB68</f>
        <v>14.6</v>
      </c>
      <c r="AD68" s="710">
        <f>0.001595+3.10379+0.001931+8.503827+0.00139+0.448613</f>
        <v>12.061145999999999</v>
      </c>
      <c r="AE68" s="710">
        <v>7</v>
      </c>
      <c r="AF68" s="710">
        <f>SUM(AB68:AE68)</f>
        <v>43.261145999999997</v>
      </c>
      <c r="AG68" s="710">
        <v>4.8</v>
      </c>
      <c r="AH68" s="710">
        <f>10.7-AG68</f>
        <v>5.8999999999999995</v>
      </c>
      <c r="AI68" s="710">
        <f>15.4+12.9-AH68-AG68</f>
        <v>17.600000000000001</v>
      </c>
      <c r="AJ68" s="710">
        <v>11.4</v>
      </c>
      <c r="AK68" s="710">
        <f>SUM(AG68:AJ68)</f>
        <v>39.700000000000003</v>
      </c>
      <c r="AL68" s="710">
        <f>26.6+6.7</f>
        <v>33.300000000000004</v>
      </c>
      <c r="AM68" s="710">
        <f>16.6+31.9-AL68</f>
        <v>15.199999999999996</v>
      </c>
      <c r="AN68" s="710">
        <f>19+0.5+31.9-AM68-AL68</f>
        <v>2.8999999999999986</v>
      </c>
      <c r="AO68" s="710">
        <v>7</v>
      </c>
      <c r="AP68" s="710">
        <f>SUM(AL68:AO68)</f>
        <v>58.4</v>
      </c>
      <c r="AQ68" s="710">
        <v>5</v>
      </c>
      <c r="AR68" s="710">
        <f>5.9-AQ68</f>
        <v>0.90000000000000036</v>
      </c>
      <c r="AS68" s="710">
        <f>9.9-AR68-AQ68</f>
        <v>4</v>
      </c>
      <c r="AT68" s="710">
        <f>15.231-AS68-AR68-AQ68</f>
        <v>5.3309999999999995</v>
      </c>
      <c r="AU68" s="710">
        <f>SUM(AQ68:AT68)</f>
        <v>15.231</v>
      </c>
      <c r="AV68" s="710">
        <v>1.7</v>
      </c>
      <c r="AW68" s="710">
        <v>2.5</v>
      </c>
      <c r="AX68" s="710">
        <v>14.9</v>
      </c>
      <c r="AY68" s="710">
        <v>15.9</v>
      </c>
      <c r="AZ68" s="710">
        <f>SUM(AV68:AY68)</f>
        <v>35</v>
      </c>
      <c r="BA68" s="710">
        <v>2.5</v>
      </c>
      <c r="BB68" s="710">
        <v>13.7</v>
      </c>
      <c r="BC68" s="710">
        <v>3.6</v>
      </c>
      <c r="BD68" s="710">
        <v>0</v>
      </c>
      <c r="BE68" s="710">
        <f>SUM(BA68:BD68)</f>
        <v>19.8</v>
      </c>
      <c r="BF68" s="710">
        <v>1.8</v>
      </c>
      <c r="BG68" s="1106">
        <v>5.3</v>
      </c>
      <c r="BH68" s="1106">
        <v>2.4</v>
      </c>
      <c r="BI68" s="739">
        <v>2</v>
      </c>
      <c r="BJ68" s="1571">
        <f>SUM(BF68:BI68)</f>
        <v>11.5</v>
      </c>
      <c r="BK68" s="710">
        <v>2.7</v>
      </c>
      <c r="BL68" s="1106">
        <v>3.9</v>
      </c>
      <c r="BM68" s="1106">
        <v>7</v>
      </c>
      <c r="BN68" s="739">
        <v>7.9</v>
      </c>
      <c r="BO68" s="1571">
        <f>SUM(BK68:BN68)</f>
        <v>21.5</v>
      </c>
      <c r="BP68" s="741">
        <v>4.5</v>
      </c>
      <c r="BQ68" s="741">
        <v>2.6</v>
      </c>
      <c r="BR68" s="741">
        <v>1.9</v>
      </c>
      <c r="BS68" s="739">
        <f>-BS61</f>
        <v>1.8520000000000003</v>
      </c>
      <c r="BT68" s="1571">
        <f>SUM(BP68:BS68)</f>
        <v>10.852</v>
      </c>
      <c r="BU68" s="739">
        <f>-BU61</f>
        <v>2.4</v>
      </c>
      <c r="BV68" s="739">
        <v>2.6</v>
      </c>
      <c r="BW68" s="739">
        <f>-BW61</f>
        <v>1.6</v>
      </c>
      <c r="BX68" s="739">
        <f>-BX61</f>
        <v>1.4</v>
      </c>
      <c r="BY68" s="1571">
        <f>SUM(BU68:BX68)</f>
        <v>8</v>
      </c>
      <c r="BZ68" s="739">
        <f>-BZ61</f>
        <v>1.5</v>
      </c>
      <c r="CA68" s="739">
        <f>-CA61</f>
        <v>2.2000000000000002</v>
      </c>
      <c r="CB68" s="739">
        <f>-CB61</f>
        <v>3.5</v>
      </c>
      <c r="CC68" s="739">
        <f>-CC61</f>
        <v>3.2</v>
      </c>
      <c r="CD68" s="1571">
        <f>SUM(BZ68:CC68)</f>
        <v>10.4</v>
      </c>
      <c r="CE68" s="739">
        <f>-CE61</f>
        <v>2.2000000000000002</v>
      </c>
      <c r="CF68" s="739">
        <f>-CF61</f>
        <v>3.0228250000000116</v>
      </c>
      <c r="CG68" s="739">
        <f>-CG61</f>
        <v>2.1</v>
      </c>
      <c r="CH68" s="739">
        <f>-CH61</f>
        <v>1.9</v>
      </c>
      <c r="CI68" s="1571">
        <f>SUM(CE68:CH68)</f>
        <v>9.2228250000000127</v>
      </c>
      <c r="CJ68" s="739">
        <f>-CJ61</f>
        <v>1.6</v>
      </c>
      <c r="CK68" s="739">
        <f>-CK61</f>
        <v>1.7892707379999706</v>
      </c>
      <c r="CL68" s="739">
        <f>-CL61</f>
        <v>1.7887799672619735</v>
      </c>
      <c r="CM68" s="739">
        <f>-CM61</f>
        <v>1.7882896872947072</v>
      </c>
      <c r="CN68" s="1590">
        <f>SUM(CJ68:CM68)</f>
        <v>6.9663403925566509</v>
      </c>
      <c r="CO68" s="739">
        <f>-CO61</f>
        <v>1.7877998976074423</v>
      </c>
      <c r="CP68" s="739">
        <f>-CP61</f>
        <v>1.7873105977098476</v>
      </c>
      <c r="CQ68" s="739">
        <f>-CQ61</f>
        <v>1.7868217871121033</v>
      </c>
      <c r="CR68" s="739">
        <f>-CR61</f>
        <v>1.7863334653250149</v>
      </c>
      <c r="CS68" s="1590">
        <f>SUM(CO68:CR68)</f>
        <v>7.148265747754408</v>
      </c>
      <c r="CT68" s="739">
        <f>-CT61</f>
        <v>1.7858456318596723</v>
      </c>
      <c r="CU68" s="739">
        <f>-CU61</f>
        <v>1.7853582862278472</v>
      </c>
      <c r="CV68" s="739">
        <f>-CV61</f>
        <v>1.7848714279415958</v>
      </c>
      <c r="CW68" s="739">
        <f>-CW61</f>
        <v>1.7843850565136563</v>
      </c>
      <c r="CX68" s="1590">
        <f>SUM(CT68:CW68)</f>
        <v>7.1404604025427716</v>
      </c>
      <c r="DB68" s="691"/>
      <c r="DC68" s="688"/>
      <c r="DD68" s="1009"/>
      <c r="DE68" s="688"/>
    </row>
    <row r="69" spans="1:115" ht="12" customHeight="1">
      <c r="A69" s="730" t="s">
        <v>32</v>
      </c>
      <c r="B69" s="730"/>
      <c r="C69" s="710"/>
      <c r="D69" s="753"/>
      <c r="E69" s="753"/>
      <c r="F69" s="753"/>
      <c r="G69" s="740"/>
      <c r="H69" s="710"/>
      <c r="I69" s="753"/>
      <c r="J69" s="753"/>
      <c r="K69" s="753"/>
      <c r="L69" s="740">
        <f>L70/L68</f>
        <v>56.303395669291312</v>
      </c>
      <c r="M69" s="710"/>
      <c r="N69" s="753"/>
      <c r="O69" s="753"/>
      <c r="P69" s="753"/>
      <c r="Q69" s="740">
        <f>Q70/Q68</f>
        <v>0.39818754925137884</v>
      </c>
      <c r="R69" s="753"/>
      <c r="S69" s="753"/>
      <c r="T69" s="753"/>
      <c r="U69" s="753"/>
      <c r="V69" s="740">
        <f>V70/V68</f>
        <v>52.091458708515567</v>
      </c>
      <c r="W69" s="1220"/>
      <c r="X69" s="1220"/>
      <c r="Y69" s="1220"/>
      <c r="Z69" s="1220"/>
      <c r="AA69" s="740">
        <f>AA70/AA68</f>
        <v>72.746727898966768</v>
      </c>
      <c r="AB69" s="739">
        <f>AB70/AB68</f>
        <v>28.135833333333338</v>
      </c>
      <c r="AC69" s="739">
        <f>AC70/AC68</f>
        <v>34.1</v>
      </c>
      <c r="AD69" s="739">
        <f>AD70/AD68</f>
        <v>2.9260071969943771</v>
      </c>
      <c r="AE69" s="739" t="e">
        <f>#REF!</f>
        <v>#REF!</v>
      </c>
      <c r="AF69" s="740">
        <f t="shared" ref="AF69:AK69" si="97">AF70/AF68</f>
        <v>19.761519956036302</v>
      </c>
      <c r="AG69" s="739">
        <f t="shared" si="97"/>
        <v>43.215625000000003</v>
      </c>
      <c r="AH69" s="739">
        <f t="shared" si="97"/>
        <v>27.493728813559329</v>
      </c>
      <c r="AI69" s="739">
        <f t="shared" si="97"/>
        <v>41.319602272727273</v>
      </c>
      <c r="AJ69" s="739">
        <f t="shared" si="97"/>
        <v>29.682280701754379</v>
      </c>
      <c r="AK69" s="740">
        <f t="shared" si="97"/>
        <v>36.152418136020145</v>
      </c>
      <c r="AL69" s="739">
        <f>AL70/AL68</f>
        <v>34.535195195195186</v>
      </c>
      <c r="AM69" s="739">
        <f>AM70/AM68</f>
        <v>9.8790131578947431</v>
      </c>
      <c r="AN69" s="739">
        <f>AN70/AN68</f>
        <v>42.259310344827576</v>
      </c>
      <c r="AO69" s="739" t="e">
        <f>#REF!</f>
        <v>#REF!</v>
      </c>
      <c r="AP69" s="740">
        <f>AP70/AP68</f>
        <v>29.498544520547945</v>
      </c>
      <c r="AQ69" s="739" t="s">
        <v>719</v>
      </c>
      <c r="AR69" s="739">
        <v>22.2</v>
      </c>
      <c r="AS69" s="741" t="e">
        <f>#REF!</f>
        <v>#REF!</v>
      </c>
      <c r="AT69" s="741" t="e">
        <f>#REF!</f>
        <v>#REF!</v>
      </c>
      <c r="AU69" s="1219">
        <f>AU70/AU68</f>
        <v>22.980303328737442</v>
      </c>
      <c r="AV69" s="739" t="e">
        <f>#REF!</f>
        <v>#REF!</v>
      </c>
      <c r="AW69" s="739">
        <f>84.7/AW68</f>
        <v>33.880000000000003</v>
      </c>
      <c r="AX69" s="739">
        <f>432/AX68</f>
        <v>28.993288590604028</v>
      </c>
      <c r="AY69" s="739">
        <f>432/AY68</f>
        <v>27.169811320754718</v>
      </c>
      <c r="AZ69" s="1219">
        <f>AZ70/AZ68</f>
        <v>24.011199999999999</v>
      </c>
      <c r="BA69" s="739">
        <f>83.4/BA68</f>
        <v>33.36</v>
      </c>
      <c r="BB69" s="739">
        <f>BB70/BB68</f>
        <v>33.693430656934311</v>
      </c>
      <c r="BC69" s="739">
        <f>BC70/BC68</f>
        <v>27.777777777777779</v>
      </c>
      <c r="BD69" s="739">
        <v>25.5</v>
      </c>
      <c r="BE69" s="1219">
        <f>BE70/BE68</f>
        <v>32.575757575757578</v>
      </c>
      <c r="BF69" s="739">
        <f>53/BF68</f>
        <v>29.444444444444443</v>
      </c>
      <c r="BG69" s="1322">
        <f>175.7/BG68</f>
        <v>33.150943396226417</v>
      </c>
      <c r="BH69" s="1322">
        <f>76.1/BH68</f>
        <v>31.708333333333332</v>
      </c>
      <c r="BI69" s="739">
        <f>67/BI68</f>
        <v>33.5</v>
      </c>
      <c r="BJ69" s="1571">
        <f t="shared" ref="BJ69:BS69" si="98">BJ70/BJ68</f>
        <v>32.330434782608691</v>
      </c>
      <c r="BK69" s="739">
        <f t="shared" si="98"/>
        <v>37.037037037037038</v>
      </c>
      <c r="BL69" s="1322">
        <f t="shared" si="98"/>
        <v>44.102564102564102</v>
      </c>
      <c r="BM69" s="1322">
        <f t="shared" si="98"/>
        <v>46.571428571428569</v>
      </c>
      <c r="BN69" s="1322">
        <f t="shared" si="98"/>
        <v>51.265822784810126</v>
      </c>
      <c r="BO69" s="1571">
        <f t="shared" si="98"/>
        <v>46.651162790697676</v>
      </c>
      <c r="BP69" s="1322">
        <f t="shared" si="98"/>
        <v>58.444444444444443</v>
      </c>
      <c r="BQ69" s="1322">
        <f t="shared" si="98"/>
        <v>63.846153846153847</v>
      </c>
      <c r="BR69" s="1322">
        <f t="shared" si="98"/>
        <v>70</v>
      </c>
      <c r="BS69" s="1322">
        <f t="shared" si="98"/>
        <v>68.574514038876885</v>
      </c>
      <c r="BT69" s="1571">
        <f>BT70/BT68</f>
        <v>63.490600810910429</v>
      </c>
      <c r="BU69" s="1322">
        <f>BU70/BU68</f>
        <v>83.333333333333343</v>
      </c>
      <c r="BV69" s="1322">
        <f>BV70/BV68</f>
        <v>76.92307692307692</v>
      </c>
      <c r="BW69" s="1322">
        <f>BV69*1.035</f>
        <v>79.615384615384599</v>
      </c>
      <c r="BX69" s="1322">
        <f t="shared" ref="BX69:CH69" si="99">BX70/BX68</f>
        <v>87.142857142857153</v>
      </c>
      <c r="BY69" s="1571">
        <f t="shared" si="99"/>
        <v>81.17307692307692</v>
      </c>
      <c r="BZ69" s="1322">
        <f t="shared" si="99"/>
        <v>88.666666666666671</v>
      </c>
      <c r="CA69" s="1322">
        <f t="shared" si="99"/>
        <v>93.181818181818173</v>
      </c>
      <c r="CB69" s="1322">
        <f t="shared" si="99"/>
        <v>98.285714285714292</v>
      </c>
      <c r="CC69" s="1322">
        <f t="shared" si="99"/>
        <v>103.4375</v>
      </c>
      <c r="CD69" s="1571">
        <f t="shared" si="99"/>
        <v>97.403846153846146</v>
      </c>
      <c r="CE69" s="1322">
        <f t="shared" si="99"/>
        <v>108.18181818181817</v>
      </c>
      <c r="CF69" s="1322">
        <f t="shared" si="99"/>
        <v>87.997154979199578</v>
      </c>
      <c r="CG69" s="1322">
        <f t="shared" si="99"/>
        <v>141.9047619047619</v>
      </c>
      <c r="CH69" s="1322">
        <f t="shared" si="99"/>
        <v>156.31578947368422</v>
      </c>
      <c r="CI69" s="1571">
        <f>CI70/CI68</f>
        <v>119.16088617099408</v>
      </c>
      <c r="CJ69" s="1322">
        <f t="shared" ref="CJ69" si="100">CJ70/CJ68</f>
        <v>188.125</v>
      </c>
      <c r="CK69" s="741">
        <f>CJ69*1.035</f>
        <v>194.70937499999999</v>
      </c>
      <c r="CL69" s="741">
        <f>CK69*1.035</f>
        <v>201.52420312499999</v>
      </c>
      <c r="CM69" s="741">
        <f>CL69*1.035</f>
        <v>208.57755023437497</v>
      </c>
      <c r="CN69" s="1590">
        <f>CN70/CN68</f>
        <v>198.50699918899733</v>
      </c>
      <c r="CO69" s="741">
        <f>CM69*1.035</f>
        <v>215.87776449257808</v>
      </c>
      <c r="CP69" s="741">
        <f>CO69*1.035</f>
        <v>223.43348624981829</v>
      </c>
      <c r="CQ69" s="741">
        <f>CP69*1.035</f>
        <v>231.25365826856191</v>
      </c>
      <c r="CR69" s="741">
        <f>CQ69*1.035</f>
        <v>239.34753630796155</v>
      </c>
      <c r="CS69" s="1590">
        <f>CS70/CS68</f>
        <v>227.47543661447929</v>
      </c>
      <c r="CT69" s="741">
        <f>CR69*1.035</f>
        <v>247.72470007874017</v>
      </c>
      <c r="CU69" s="741">
        <f>CT69*1.035</f>
        <v>256.39506458149606</v>
      </c>
      <c r="CV69" s="741">
        <f>CU69*1.035</f>
        <v>265.36889184184838</v>
      </c>
      <c r="CW69" s="741">
        <f>CV69*1.035</f>
        <v>274.65680305631304</v>
      </c>
      <c r="CX69" s="1590">
        <f>CX70/CX68</f>
        <v>261.03330450941979</v>
      </c>
      <c r="DB69" s="690"/>
      <c r="DC69" s="689"/>
      <c r="DD69" s="1009"/>
      <c r="DE69" s="689"/>
    </row>
    <row r="70" spans="1:115" ht="12" customHeight="1">
      <c r="A70" s="730" t="s">
        <v>152</v>
      </c>
      <c r="B70" s="730"/>
      <c r="C70" s="710"/>
      <c r="D70" s="753"/>
      <c r="E70" s="753"/>
      <c r="F70" s="710"/>
      <c r="G70" s="1221"/>
      <c r="H70" s="710"/>
      <c r="I70" s="753"/>
      <c r="J70" s="753"/>
      <c r="K70" s="710"/>
      <c r="L70" s="1221">
        <f>-1.297+293.241-45.281-17.846</f>
        <v>228.81699999999995</v>
      </c>
      <c r="M70" s="710"/>
      <c r="N70" s="710"/>
      <c r="O70" s="710"/>
      <c r="P70" s="710"/>
      <c r="Q70" s="1222">
        <f>0.506-84.777+89.324</f>
        <v>5.0529999999999973</v>
      </c>
      <c r="R70" s="710"/>
      <c r="S70" s="753"/>
      <c r="T70" s="753"/>
      <c r="U70" s="753"/>
      <c r="V70" s="1222">
        <f>-0.115+608.681-203.607</f>
        <v>404.95900000000006</v>
      </c>
      <c r="W70" s="1221"/>
      <c r="X70" s="1221"/>
      <c r="Y70" s="1221"/>
      <c r="Z70" s="1221"/>
      <c r="AA70" s="753">
        <f>-0.202+600.099-283.085</f>
        <v>316.81200000000007</v>
      </c>
      <c r="AB70" s="738">
        <f>-CF!AB100</f>
        <v>270.10400000000004</v>
      </c>
      <c r="AC70" s="738">
        <f>-CF!AC100</f>
        <v>497.86</v>
      </c>
      <c r="AD70" s="738">
        <f>-CF!AD100</f>
        <v>35.29099999999994</v>
      </c>
      <c r="AE70" s="738">
        <f>-CF!AE100</f>
        <v>51.650999999999954</v>
      </c>
      <c r="AF70" s="738">
        <f>SUM(AB70:AE70)</f>
        <v>854.90599999999995</v>
      </c>
      <c r="AG70" s="738">
        <f>-CF!AG100</f>
        <v>207.435</v>
      </c>
      <c r="AH70" s="738">
        <f>-CF!AH100</f>
        <v>162.21300000000002</v>
      </c>
      <c r="AI70" s="738">
        <f>-CF!AI100</f>
        <v>727.22500000000002</v>
      </c>
      <c r="AJ70" s="738">
        <f>-CF!AJ100</f>
        <v>338.37799999999993</v>
      </c>
      <c r="AK70" s="738">
        <f>SUM(AG70:AJ70)</f>
        <v>1435.251</v>
      </c>
      <c r="AL70" s="738">
        <f>-CF!AL100</f>
        <v>1150.0219999999999</v>
      </c>
      <c r="AM70" s="738">
        <f>-CF!AM100</f>
        <v>150.16100000000006</v>
      </c>
      <c r="AN70" s="738">
        <f>-CF!AN100</f>
        <v>122.55199999999991</v>
      </c>
      <c r="AO70" s="738">
        <f>-CF!AO100</f>
        <v>299.98</v>
      </c>
      <c r="AP70" s="738">
        <f>SUM(AL70:AO70)</f>
        <v>1722.7149999999999</v>
      </c>
      <c r="AQ70" s="738">
        <f>-CF!AQ100</f>
        <v>1.2999999999999999E-2</v>
      </c>
      <c r="AR70" s="738">
        <f>-CF!AR100</f>
        <v>0</v>
      </c>
      <c r="AS70" s="738">
        <f>-CF!AS100</f>
        <v>350</v>
      </c>
      <c r="AT70" s="738">
        <f>-CF!AT100</f>
        <v>0</v>
      </c>
      <c r="AU70" s="1223">
        <f>SUM(AQ70:AT70)</f>
        <v>350.01299999999998</v>
      </c>
      <c r="AV70" s="738">
        <f>-CF!AV100</f>
        <v>0.02</v>
      </c>
      <c r="AW70" s="738">
        <f>-CF!AW100</f>
        <v>250</v>
      </c>
      <c r="AX70" s="738">
        <f>-CF!AX100</f>
        <v>400</v>
      </c>
      <c r="AY70" s="738">
        <f>-CF!AY100</f>
        <v>190.37199999999996</v>
      </c>
      <c r="AZ70" s="1223">
        <f>SUM(AV70:AY70)</f>
        <v>840.39199999999994</v>
      </c>
      <c r="BA70" s="738">
        <f>BA68*BA69</f>
        <v>83.4</v>
      </c>
      <c r="BB70" s="738">
        <v>461.6</v>
      </c>
      <c r="BC70" s="738">
        <v>100</v>
      </c>
      <c r="BD70" s="738">
        <f>BD68*BD69</f>
        <v>0</v>
      </c>
      <c r="BE70" s="1223">
        <f>SUM(BA70:BD70)</f>
        <v>645</v>
      </c>
      <c r="BF70" s="738">
        <f>BF68*BF69</f>
        <v>53</v>
      </c>
      <c r="BG70" s="1351">
        <v>175.7</v>
      </c>
      <c r="BH70" s="1351">
        <v>76.099999999999994</v>
      </c>
      <c r="BI70" s="738">
        <f>BI68*BI69</f>
        <v>67</v>
      </c>
      <c r="BJ70" s="1572">
        <f>SUM(BF70:BI70)</f>
        <v>371.79999999999995</v>
      </c>
      <c r="BK70" s="738">
        <v>100</v>
      </c>
      <c r="BL70" s="1351">
        <v>172</v>
      </c>
      <c r="BM70" s="1351">
        <v>326</v>
      </c>
      <c r="BN70" s="738">
        <v>405</v>
      </c>
      <c r="BO70" s="1572">
        <f>SUM(BK70:BN70)</f>
        <v>1003</v>
      </c>
      <c r="BP70" s="1223">
        <v>263</v>
      </c>
      <c r="BQ70" s="1223">
        <v>166</v>
      </c>
      <c r="BR70" s="1223">
        <v>133</v>
      </c>
      <c r="BS70" s="738">
        <v>127</v>
      </c>
      <c r="BT70" s="1572">
        <f>SUM(BP70:BS70)</f>
        <v>689</v>
      </c>
      <c r="BU70" s="738">
        <f>-CF!BU46</f>
        <v>200</v>
      </c>
      <c r="BV70" s="738">
        <v>200</v>
      </c>
      <c r="BW70" s="738">
        <f>BW68*BW69</f>
        <v>127.38461538461536</v>
      </c>
      <c r="BX70" s="738">
        <v>122</v>
      </c>
      <c r="BY70" s="1572">
        <f>SUM(BU70:BX70)</f>
        <v>649.38461538461536</v>
      </c>
      <c r="BZ70" s="738">
        <v>133</v>
      </c>
      <c r="CA70" s="738">
        <v>205</v>
      </c>
      <c r="CB70" s="738">
        <v>344</v>
      </c>
      <c r="CC70" s="738">
        <v>331</v>
      </c>
      <c r="CD70" s="1572">
        <f>SUM(BZ70:CC70)</f>
        <v>1013</v>
      </c>
      <c r="CE70" s="738">
        <v>238</v>
      </c>
      <c r="CF70" s="1223">
        <v>266</v>
      </c>
      <c r="CG70" s="1223">
        <v>298</v>
      </c>
      <c r="CH70" s="1223">
        <v>297</v>
      </c>
      <c r="CI70" s="1572">
        <f>SUM(CE70:CH70)</f>
        <v>1099</v>
      </c>
      <c r="CJ70" s="1223">
        <v>301</v>
      </c>
      <c r="CK70" s="1223">
        <f>CK68*CK69</f>
        <v>348.38778710176302</v>
      </c>
      <c r="CL70" s="1223">
        <f>CL68*CL69</f>
        <v>360.48245746843276</v>
      </c>
      <c r="CM70" s="1223">
        <f>CM68*CM69</f>
        <v>372.9970820853265</v>
      </c>
      <c r="CN70" s="1591">
        <f>SUM(CJ70:CM70)</f>
        <v>1382.8673266555224</v>
      </c>
      <c r="CO70" s="1223">
        <f>CO68*CO69</f>
        <v>385.94624525555463</v>
      </c>
      <c r="CP70" s="1223">
        <f>CP68*CP69</f>
        <v>399.34503785755771</v>
      </c>
      <c r="CQ70" s="1223">
        <f>CQ68*CQ69</f>
        <v>413.20907494364343</v>
      </c>
      <c r="CR70" s="1223">
        <f>CR68*CR69</f>
        <v>427.5545139500058</v>
      </c>
      <c r="CS70" s="1591">
        <f>SUM(CO70:CR70)</f>
        <v>1626.0548720067613</v>
      </c>
      <c r="CT70" s="1223">
        <f>CT68*CT69</f>
        <v>442.39807353936556</v>
      </c>
      <c r="CU70" s="1223">
        <f>CU68*CU69</f>
        <v>457.75705309849803</v>
      </c>
      <c r="CV70" s="1223">
        <f>CV68*CV69</f>
        <v>473.6493529130388</v>
      </c>
      <c r="CW70" s="1223">
        <f>CW68*CW69</f>
        <v>490.09349504349933</v>
      </c>
      <c r="CX70" s="1591">
        <f>SUM(CT70:CW70)</f>
        <v>1863.8979745944016</v>
      </c>
      <c r="DB70" s="690"/>
      <c r="DC70" s="689"/>
      <c r="DD70" s="1009"/>
      <c r="DE70" s="689"/>
    </row>
    <row r="71" spans="1:115" ht="12" customHeight="1">
      <c r="A71" s="710" t="s">
        <v>785</v>
      </c>
      <c r="B71" s="710"/>
      <c r="C71" s="689"/>
      <c r="D71" s="689"/>
      <c r="E71" s="689"/>
      <c r="F71" s="689"/>
      <c r="G71" s="689"/>
      <c r="H71" s="689"/>
      <c r="I71" s="689"/>
      <c r="J71" s="689"/>
      <c r="K71" s="689"/>
      <c r="L71" s="689"/>
      <c r="M71" s="689"/>
      <c r="N71" s="689"/>
      <c r="O71" s="689"/>
      <c r="P71" s="689"/>
      <c r="Q71" s="689"/>
      <c r="R71" s="689"/>
      <c r="S71" s="689"/>
      <c r="T71" s="689"/>
      <c r="U71" s="689"/>
      <c r="V71" s="689"/>
      <c r="W71" s="689"/>
      <c r="X71" s="689"/>
      <c r="Y71" s="689"/>
      <c r="Z71" s="689"/>
      <c r="AA71" s="688"/>
      <c r="AB71" s="688"/>
      <c r="AC71" s="688"/>
      <c r="AD71" s="688"/>
      <c r="AE71" s="688"/>
      <c r="AF71" s="688"/>
      <c r="AG71" s="688"/>
      <c r="AH71" s="688"/>
      <c r="AI71" s="688"/>
      <c r="AJ71" s="688"/>
      <c r="AK71" s="688"/>
      <c r="AL71" s="688"/>
      <c r="AM71" s="688"/>
      <c r="AN71" s="688"/>
      <c r="AO71" s="688"/>
      <c r="AP71" s="688"/>
      <c r="AQ71" s="688"/>
      <c r="AR71" s="692"/>
      <c r="AS71" s="692"/>
      <c r="AT71" s="692"/>
      <c r="AU71" s="692"/>
      <c r="AV71" s="688"/>
      <c r="AW71" s="692"/>
      <c r="AX71" s="692"/>
      <c r="AY71" s="692"/>
      <c r="AZ71" s="692"/>
      <c r="BA71" s="688"/>
      <c r="BB71" s="692"/>
      <c r="BC71" s="692"/>
      <c r="BD71" s="692"/>
      <c r="BE71" s="692"/>
      <c r="BF71" s="688"/>
      <c r="BG71" s="692"/>
      <c r="BH71" s="692"/>
      <c r="BI71" s="692"/>
      <c r="BJ71" s="1573"/>
      <c r="BK71" s="688"/>
      <c r="BL71" s="692"/>
      <c r="BM71" s="692"/>
      <c r="BN71" s="692"/>
      <c r="BO71" s="1573"/>
      <c r="BP71" s="692"/>
      <c r="BQ71" s="692"/>
      <c r="BR71" s="692"/>
      <c r="BS71" s="1223">
        <f>2000</f>
        <v>2000</v>
      </c>
      <c r="BT71" s="1573"/>
      <c r="BU71" s="688"/>
      <c r="BV71" s="688"/>
      <c r="BW71" s="688"/>
      <c r="BX71" s="688"/>
      <c r="BY71" s="691"/>
      <c r="BZ71" s="688"/>
      <c r="CA71" s="688"/>
      <c r="CB71" s="738">
        <v>800</v>
      </c>
      <c r="CC71" s="738">
        <v>500</v>
      </c>
      <c r="CD71" s="691"/>
      <c r="CE71" s="738">
        <f>CC71+2500</f>
        <v>3000</v>
      </c>
      <c r="CF71" s="1223">
        <v>2500</v>
      </c>
      <c r="CG71" s="1223">
        <v>2200</v>
      </c>
      <c r="CH71" s="1223">
        <v>1900</v>
      </c>
      <c r="CI71" s="691"/>
      <c r="CJ71" s="738">
        <v>1600</v>
      </c>
      <c r="CK71" s="692"/>
      <c r="CL71" s="692"/>
      <c r="CM71" s="692"/>
      <c r="CN71" s="1573"/>
      <c r="CO71" s="692"/>
      <c r="CP71" s="692"/>
      <c r="CQ71" s="692"/>
      <c r="CR71" s="692"/>
      <c r="CS71" s="1573"/>
      <c r="CT71" s="692"/>
      <c r="CU71" s="692"/>
      <c r="CV71" s="692"/>
      <c r="CW71" s="692"/>
      <c r="CX71" s="1573"/>
      <c r="DB71" s="690"/>
      <c r="DC71" s="689"/>
      <c r="DD71" s="1009"/>
      <c r="DE71" s="689"/>
    </row>
    <row r="72" spans="1:115">
      <c r="A72" s="687"/>
      <c r="B72" s="687"/>
      <c r="C72" s="687"/>
      <c r="D72" s="687"/>
      <c r="E72" s="687"/>
      <c r="F72" s="687"/>
      <c r="G72" s="687"/>
      <c r="H72" s="687"/>
      <c r="I72" s="687"/>
      <c r="J72" s="687"/>
      <c r="K72" s="687"/>
      <c r="L72" s="687"/>
      <c r="M72" s="687"/>
      <c r="N72" s="687"/>
      <c r="O72" s="687"/>
      <c r="P72" s="687"/>
      <c r="Q72" s="687"/>
      <c r="R72" s="687"/>
      <c r="S72" s="687"/>
      <c r="T72" s="687"/>
      <c r="U72" s="687"/>
      <c r="V72" s="687"/>
      <c r="W72" s="687"/>
      <c r="X72" s="687"/>
      <c r="Y72" s="687"/>
      <c r="Z72" s="687"/>
      <c r="AA72" s="687"/>
      <c r="AB72" s="687"/>
      <c r="AC72" s="687"/>
      <c r="AD72" s="687"/>
      <c r="AE72" s="687"/>
      <c r="AF72" s="687"/>
      <c r="AG72" s="687"/>
      <c r="AH72" s="687"/>
      <c r="AI72" s="687"/>
      <c r="AJ72" s="687"/>
      <c r="AK72" s="687"/>
      <c r="AL72" s="687"/>
      <c r="AM72" s="687"/>
      <c r="AN72" s="687"/>
      <c r="AO72" s="687"/>
      <c r="AP72" s="687"/>
      <c r="AQ72" s="687"/>
      <c r="AR72" s="745"/>
      <c r="AS72" s="745"/>
      <c r="AT72" s="745"/>
      <c r="AU72" s="745"/>
      <c r="AV72" s="687"/>
      <c r="AW72" s="745"/>
      <c r="AX72" s="745"/>
      <c r="AY72" s="745"/>
      <c r="AZ72" s="745"/>
      <c r="BA72" s="687"/>
      <c r="BB72" s="745"/>
      <c r="BC72" s="745"/>
      <c r="BD72" s="745"/>
      <c r="BE72" s="745"/>
      <c r="BF72" s="687"/>
      <c r="BG72" s="745"/>
      <c r="BH72" s="745"/>
      <c r="BI72" s="745"/>
      <c r="BJ72" s="1574"/>
      <c r="BK72" s="687"/>
      <c r="BL72" s="745"/>
      <c r="BM72" s="745"/>
      <c r="BN72" s="745"/>
      <c r="BO72" s="1574"/>
      <c r="BP72" s="745"/>
      <c r="BQ72" s="745"/>
      <c r="BR72" s="745"/>
      <c r="BS72" s="745"/>
      <c r="BT72" s="1574"/>
      <c r="BU72" s="687"/>
      <c r="BV72" s="687"/>
      <c r="BW72" s="687"/>
      <c r="BX72" s="687"/>
      <c r="BY72" s="701"/>
      <c r="BZ72" s="687"/>
      <c r="CA72" s="687"/>
      <c r="CB72" s="687"/>
      <c r="CC72" s="687"/>
      <c r="CD72" s="701"/>
      <c r="CE72" s="745"/>
      <c r="CF72" s="745"/>
      <c r="CG72" s="745"/>
      <c r="CH72" s="745"/>
      <c r="CI72" s="701"/>
      <c r="CJ72" s="745"/>
      <c r="CK72" s="745"/>
      <c r="CL72" s="745"/>
      <c r="CM72" s="745"/>
      <c r="CN72" s="1574"/>
      <c r="CO72" s="745"/>
      <c r="CP72" s="745"/>
      <c r="CQ72" s="745"/>
      <c r="CR72" s="745"/>
      <c r="CS72" s="1574"/>
      <c r="CT72" s="745"/>
      <c r="CU72" s="745"/>
      <c r="CV72" s="745"/>
      <c r="CW72" s="745"/>
      <c r="CX72" s="1574"/>
      <c r="DB72" s="685"/>
      <c r="DC72" s="687"/>
      <c r="DD72" s="1009"/>
      <c r="DE72" s="687"/>
    </row>
    <row r="73" spans="1:115" s="47" customFormat="1" ht="12" hidden="1" customHeight="1" outlineLevel="1">
      <c r="A73" s="1503" t="s">
        <v>394</v>
      </c>
      <c r="B73" s="1503"/>
      <c r="C73" s="1101"/>
      <c r="D73" s="1101">
        <f>C79</f>
        <v>0</v>
      </c>
      <c r="E73" s="1101">
        <f>D79</f>
        <v>0</v>
      </c>
      <c r="F73" s="1101">
        <f>E79</f>
        <v>0</v>
      </c>
      <c r="G73" s="1102">
        <v>595.80999999999995</v>
      </c>
      <c r="H73" s="1101">
        <f>F79</f>
        <v>595.80999999999995</v>
      </c>
      <c r="I73" s="1101">
        <f>H79</f>
        <v>620.04200000000003</v>
      </c>
      <c r="J73" s="1101">
        <f>I79</f>
        <v>695.78099999999995</v>
      </c>
      <c r="K73" s="1101">
        <f>J79</f>
        <v>706.95499999999993</v>
      </c>
      <c r="L73" s="1101">
        <f>G45</f>
        <v>595.80999999999995</v>
      </c>
      <c r="M73" s="1101">
        <f>K79</f>
        <v>710.27300000000002</v>
      </c>
      <c r="N73" s="1101">
        <f>M79</f>
        <v>718.28599999999994</v>
      </c>
      <c r="O73" s="1101">
        <f>N79</f>
        <v>746.00800000000004</v>
      </c>
      <c r="P73" s="1101">
        <f>O79</f>
        <v>764.32299999999998</v>
      </c>
      <c r="Q73" s="1101">
        <f>L45</f>
        <v>710.27300000000002</v>
      </c>
      <c r="R73" s="1101">
        <f>P79</f>
        <v>874.12599999999998</v>
      </c>
      <c r="S73" s="1101">
        <f>R79</f>
        <v>901.83100000000002</v>
      </c>
      <c r="T73" s="1101">
        <f>S79</f>
        <v>953.19500000000005</v>
      </c>
      <c r="U73" s="1101">
        <f>T79</f>
        <v>1006.431</v>
      </c>
      <c r="V73" s="1101">
        <f>Q45</f>
        <v>874.12599999999998</v>
      </c>
      <c r="W73" s="1101">
        <f>U79</f>
        <v>1164.643</v>
      </c>
      <c r="X73" s="1101">
        <f>W79</f>
        <v>1228.9269999999999</v>
      </c>
      <c r="Y73" s="1101">
        <f>X79</f>
        <v>1264.712</v>
      </c>
      <c r="Z73" s="1101">
        <f>Y79</f>
        <v>1290.905</v>
      </c>
      <c r="AA73" s="1101">
        <f>V45</f>
        <v>1164.643</v>
      </c>
      <c r="AB73" s="1101">
        <f>Z79</f>
        <v>1321.146</v>
      </c>
      <c r="AC73" s="1101">
        <f>AB79</f>
        <v>2407.6849999999999</v>
      </c>
      <c r="AD73" s="1101">
        <f>AC79</f>
        <v>2388.203</v>
      </c>
      <c r="AE73" s="1101">
        <f>AD79</f>
        <v>2437.694</v>
      </c>
      <c r="AF73" s="1101">
        <f>AA45</f>
        <v>1321.146</v>
      </c>
      <c r="AG73" s="1101">
        <f>AE79</f>
        <v>2508.9609999999998</v>
      </c>
      <c r="AH73" s="1101">
        <f>AG79</f>
        <v>2429.2510000000002</v>
      </c>
      <c r="AI73" s="1101">
        <f>AH79</f>
        <v>2452.6390000000001</v>
      </c>
      <c r="AJ73" s="1101">
        <f>AI79</f>
        <v>2432.489</v>
      </c>
      <c r="AK73" s="1101">
        <f>AG73</f>
        <v>2508.9609999999998</v>
      </c>
      <c r="AL73" s="1101">
        <f>AJ79</f>
        <v>2340.9690000000001</v>
      </c>
      <c r="AM73" s="1101">
        <f>AL79</f>
        <v>2317.5819999999999</v>
      </c>
      <c r="AN73" s="1101">
        <f>AM79</f>
        <v>2308.0540000000001</v>
      </c>
      <c r="AO73" s="1101">
        <f>AN79</f>
        <v>2369.6889999999999</v>
      </c>
      <c r="AP73" s="1101">
        <f>AL73</f>
        <v>2340.9690000000001</v>
      </c>
      <c r="AQ73" s="1101">
        <f>AO79</f>
        <v>2396.819</v>
      </c>
      <c r="AR73" s="1101">
        <f>AQ79</f>
        <v>2352.3829999999998</v>
      </c>
      <c r="AS73" s="1523">
        <f>AR79</f>
        <v>2361.2240000000002</v>
      </c>
      <c r="AT73" s="1523">
        <f>AS79</f>
        <v>2303.3420000000001</v>
      </c>
      <c r="AU73" s="1104">
        <f>AQ73</f>
        <v>2396.819</v>
      </c>
      <c r="AV73" s="1101">
        <f>AT79</f>
        <v>2363.6439999999998</v>
      </c>
      <c r="AW73" s="1101">
        <f>AV79</f>
        <v>2339.9650000000001</v>
      </c>
      <c r="AX73" s="1101">
        <f>AW79</f>
        <v>2376.2020000000002</v>
      </c>
      <c r="AY73" s="1101">
        <f>AX79</f>
        <v>2425.0830000000001</v>
      </c>
      <c r="AZ73" s="1104">
        <f>AU45</f>
        <v>2363.6439999999998</v>
      </c>
      <c r="BA73" s="1101">
        <f>AZ79</f>
        <v>2458.2779999999998</v>
      </c>
      <c r="BB73" s="1101">
        <f>BA79</f>
        <v>2529.7890000000002</v>
      </c>
      <c r="BC73" s="1351">
        <f>BB79</f>
        <v>2611.9969999999998</v>
      </c>
      <c r="BD73" s="1101">
        <f>BC79</f>
        <v>2680.4070000000002</v>
      </c>
      <c r="BE73" s="1104">
        <f>AZ45</f>
        <v>2458.2779999999998</v>
      </c>
      <c r="BF73" s="1101">
        <f>BE79</f>
        <v>2753.8959999999997</v>
      </c>
      <c r="BG73" s="1101">
        <f>BF79</f>
        <v>2821.712</v>
      </c>
      <c r="BH73" s="1101">
        <f>BG79</f>
        <v>2886.953</v>
      </c>
      <c r="BI73" s="1101">
        <f>BH79</f>
        <v>2961.799</v>
      </c>
      <c r="BJ73" s="1552">
        <f>BE45</f>
        <v>2753.8960000000002</v>
      </c>
      <c r="BK73" s="1101">
        <f>BJ79</f>
        <v>3038.6650000000004</v>
      </c>
      <c r="BL73" s="1101">
        <f>BK79</f>
        <v>3116.471</v>
      </c>
      <c r="BM73" s="1101">
        <f>BL79</f>
        <v>3189.8829999999998</v>
      </c>
      <c r="BN73" s="1101">
        <f>BM79</f>
        <v>3266.17</v>
      </c>
      <c r="BO73" s="1552">
        <f>BJ45</f>
        <v>3038.665</v>
      </c>
      <c r="BP73" s="1101">
        <f>BO79</f>
        <v>3392.6959999999999</v>
      </c>
      <c r="BQ73" s="1101">
        <f>BP79</f>
        <v>3475.1860000000001</v>
      </c>
      <c r="BR73" s="1101">
        <f>BQ79</f>
        <v>3562.6819999999998</v>
      </c>
      <c r="BS73" s="1101">
        <f>BR79</f>
        <v>3675.6289999999999</v>
      </c>
      <c r="BT73" s="1552">
        <f>BO45</f>
        <v>3392.6959999999999</v>
      </c>
      <c r="BU73" s="1101">
        <f>BT79</f>
        <v>3778.4949999999999</v>
      </c>
      <c r="BV73" s="1101">
        <f>BU79</f>
        <v>3897.8380000000002</v>
      </c>
      <c r="BW73" s="1101">
        <f>BV79</f>
        <v>3994.652</v>
      </c>
      <c r="BX73" s="1101">
        <f>BW79</f>
        <v>4094.1329999999998</v>
      </c>
      <c r="BY73" s="1552">
        <f>BT45</f>
        <v>3778.4949999999999</v>
      </c>
      <c r="BZ73" s="1101">
        <f>BY79</f>
        <v>4184.8829999999989</v>
      </c>
      <c r="CA73" s="1101">
        <f>BZ79</f>
        <v>4292.4859999999999</v>
      </c>
      <c r="CB73" s="1101">
        <f>CA79</f>
        <v>4428.2700000000004</v>
      </c>
      <c r="CC73" s="1351">
        <f>CB79</f>
        <v>4541.7979999999998</v>
      </c>
      <c r="CD73" s="1552">
        <f>BY45</f>
        <v>4184.8829999999998</v>
      </c>
      <c r="CE73" s="1101">
        <f>CD79</f>
        <v>4616.3310000000001</v>
      </c>
      <c r="CF73" s="1101">
        <f>CE79</f>
        <v>4719.9660000000003</v>
      </c>
      <c r="CG73" s="1101">
        <f>CF79</f>
        <v>4836.7860000000001</v>
      </c>
      <c r="CH73" s="1101">
        <f>CG79</f>
        <v>4988.491</v>
      </c>
      <c r="CI73" s="1552">
        <f>CD45</f>
        <v>4616.3310000000001</v>
      </c>
      <c r="CJ73" s="1101">
        <f>CI79</f>
        <v>5082.1949999999988</v>
      </c>
      <c r="CK73" s="1101">
        <f>CJ79</f>
        <v>5208.5879999999997</v>
      </c>
      <c r="CL73" s="1523">
        <f>CK79</f>
        <v>5609.6548499999999</v>
      </c>
      <c r="CM73" s="1523">
        <f>CL79</f>
        <v>5768.91165</v>
      </c>
      <c r="CN73" s="1565">
        <f>CI45</f>
        <v>5082.1949999999997</v>
      </c>
      <c r="CO73" s="1101">
        <f>CM79</f>
        <v>5933.8546500000002</v>
      </c>
      <c r="CP73" s="1101">
        <f>CO79</f>
        <v>6096.6792660000001</v>
      </c>
      <c r="CQ73" s="1523">
        <f>CP79</f>
        <v>6288.7966859999997</v>
      </c>
      <c r="CR73" s="1523">
        <f>CQ79</f>
        <v>6479.9048459999995</v>
      </c>
      <c r="CS73" s="1565">
        <f>CN45</f>
        <v>5933.8546500000002</v>
      </c>
      <c r="CT73" s="1101">
        <f>CR79</f>
        <v>6677.8364459999993</v>
      </c>
      <c r="CU73" s="1101">
        <f>CT79</f>
        <v>6873.2259851999997</v>
      </c>
      <c r="CV73" s="1523">
        <f>CU79</f>
        <v>7103.7668892000002</v>
      </c>
      <c r="CW73" s="1523">
        <f>CV79</f>
        <v>7333.0966812000006</v>
      </c>
      <c r="CX73" s="1565">
        <f>CS45</f>
        <v>6677.8364459999993</v>
      </c>
      <c r="CY73"/>
      <c r="CZ73"/>
      <c r="DA73"/>
      <c r="DB73" s="1105"/>
      <c r="DC73" s="1503"/>
      <c r="DD73" s="1009"/>
      <c r="DE73" s="1503"/>
      <c r="DF73"/>
      <c r="DG73"/>
      <c r="DH73"/>
      <c r="DI73"/>
      <c r="DJ73"/>
      <c r="DK73"/>
    </row>
    <row r="74" spans="1:115" s="47" customFormat="1" ht="12" hidden="1" customHeight="1" outlineLevel="1">
      <c r="A74" s="1529" t="s">
        <v>398</v>
      </c>
      <c r="B74" s="1529"/>
      <c r="C74" s="1101"/>
      <c r="D74" s="1101"/>
      <c r="E74" s="1101"/>
      <c r="F74" s="1101"/>
      <c r="G74" s="1102"/>
      <c r="H74" s="1101"/>
      <c r="I74" s="1101"/>
      <c r="J74" s="1101"/>
      <c r="K74" s="1101"/>
      <c r="L74" s="1101"/>
      <c r="M74" s="1101"/>
      <c r="N74" s="1101"/>
      <c r="O74" s="1101"/>
      <c r="P74" s="1101"/>
      <c r="Q74" s="1101"/>
      <c r="R74" s="1101"/>
      <c r="S74" s="1101"/>
      <c r="T74" s="1101"/>
      <c r="U74" s="1101"/>
      <c r="V74" s="1101"/>
      <c r="W74" s="1101"/>
      <c r="X74" s="1101"/>
      <c r="Y74" s="1101"/>
      <c r="Z74" s="1101"/>
      <c r="AA74" s="1101"/>
      <c r="AB74" s="1101"/>
      <c r="AC74" s="1101"/>
      <c r="AD74" s="1101"/>
      <c r="AE74" s="1101">
        <f>-385.618-AD74-AC74-AB74</f>
        <v>-385.61799999999999</v>
      </c>
      <c r="AF74" s="1101">
        <f>SUM(AB74:AE74)</f>
        <v>-385.61799999999999</v>
      </c>
      <c r="AG74" s="1107">
        <v>-75</v>
      </c>
      <c r="AH74" s="1107">
        <v>-75</v>
      </c>
      <c r="AI74" s="1107">
        <v>-75</v>
      </c>
      <c r="AJ74" s="1101">
        <f>-298.776-AI74-AH74-AG74</f>
        <v>-73.77600000000001</v>
      </c>
      <c r="AK74" s="1101">
        <f>SUM(AG74:AJ74)</f>
        <v>-298.77600000000001</v>
      </c>
      <c r="AL74" s="1107">
        <v>-66.400000000000006</v>
      </c>
      <c r="AM74" s="1107">
        <v>-67.2</v>
      </c>
      <c r="AN74" s="1107">
        <v>-59</v>
      </c>
      <c r="AO74" s="1101">
        <f>-206.984-AN74-AM74-AL74</f>
        <v>-14.384</v>
      </c>
      <c r="AP74" s="1101">
        <f>SUM(AL74:AO74)</f>
        <v>-206.98400000000004</v>
      </c>
      <c r="AQ74" s="1107">
        <v>-92.8</v>
      </c>
      <c r="AR74" s="1107">
        <v>-32.5</v>
      </c>
      <c r="AS74" s="1530">
        <v>-97.5</v>
      </c>
      <c r="AT74" s="1531">
        <f>-303.688-AS74-AR74-AQ74</f>
        <v>-80.887999999999991</v>
      </c>
      <c r="AU74" s="1104">
        <f>SUM(AQ74:AT74)</f>
        <v>-303.68799999999999</v>
      </c>
      <c r="AV74" s="1107">
        <v>0</v>
      </c>
      <c r="AW74" s="1107">
        <v>0</v>
      </c>
      <c r="AX74" s="1107"/>
      <c r="AY74" s="1107"/>
      <c r="AZ74" s="1104">
        <f>SUM(AV74:AY74)</f>
        <v>0</v>
      </c>
      <c r="BA74" s="1107"/>
      <c r="BB74" s="1107"/>
      <c r="BC74" s="1351"/>
      <c r="BD74" s="1107"/>
      <c r="BE74" s="1104">
        <f>SUM(BA74:BD74)</f>
        <v>0</v>
      </c>
      <c r="BF74" s="1107"/>
      <c r="BG74" s="1107"/>
      <c r="BH74" s="1107"/>
      <c r="BI74" s="1107"/>
      <c r="BJ74" s="1552">
        <f>SUM(BF74:BI74)</f>
        <v>0</v>
      </c>
      <c r="BK74" s="1107"/>
      <c r="BL74" s="1107"/>
      <c r="BM74" s="1107"/>
      <c r="BN74" s="1523"/>
      <c r="BO74" s="1552">
        <f>SUM(BK74:BN74)</f>
        <v>0</v>
      </c>
      <c r="BP74" s="1107"/>
      <c r="BQ74" s="1107"/>
      <c r="BR74" s="1107"/>
      <c r="BS74" s="1523"/>
      <c r="BT74" s="1552">
        <f>SUM(BP74:BS74)</f>
        <v>0</v>
      </c>
      <c r="BU74" s="1101"/>
      <c r="BV74" s="1101"/>
      <c r="BW74" s="1101"/>
      <c r="BX74" s="1101"/>
      <c r="BY74" s="1552">
        <f>SUM(BU74:BX74)</f>
        <v>0</v>
      </c>
      <c r="BZ74" s="1101"/>
      <c r="CA74" s="1101"/>
      <c r="CB74" s="1101"/>
      <c r="CC74" s="1351"/>
      <c r="CD74" s="1552">
        <f>SUM(BZ74:CC74)</f>
        <v>0</v>
      </c>
      <c r="CE74" s="1101"/>
      <c r="CF74" s="1101"/>
      <c r="CG74" s="1101"/>
      <c r="CH74" s="1101"/>
      <c r="CI74" s="1552">
        <f>SUM(CE74:CH74)</f>
        <v>0</v>
      </c>
      <c r="CJ74" s="1101"/>
      <c r="CK74" s="1523"/>
      <c r="CL74" s="1523"/>
      <c r="CM74" s="1523"/>
      <c r="CN74" s="1565">
        <f>SUM(CJ74:CM74)</f>
        <v>0</v>
      </c>
      <c r="CO74" s="1523"/>
      <c r="CP74" s="1523"/>
      <c r="CQ74" s="1523"/>
      <c r="CR74" s="1523"/>
      <c r="CS74" s="1565">
        <f>SUM(CO74:CR74)</f>
        <v>0</v>
      </c>
      <c r="CT74" s="1523"/>
      <c r="CU74" s="1523"/>
      <c r="CV74" s="1523"/>
      <c r="CW74" s="1523"/>
      <c r="CX74" s="1565">
        <f>SUM(CT74:CW74)</f>
        <v>0</v>
      </c>
      <c r="CY74"/>
      <c r="CZ74"/>
      <c r="DA74"/>
      <c r="DB74" s="1105"/>
      <c r="DC74" s="1503"/>
      <c r="DD74" s="1009"/>
      <c r="DE74" s="1503"/>
      <c r="DF74"/>
      <c r="DG74"/>
      <c r="DH74"/>
      <c r="DI74"/>
      <c r="DJ74"/>
      <c r="DK74"/>
    </row>
    <row r="75" spans="1:115" s="47" customFormat="1" ht="12" hidden="1" customHeight="1" outlineLevel="1">
      <c r="A75" s="1529" t="s">
        <v>399</v>
      </c>
      <c r="B75" s="1529"/>
      <c r="C75" s="1101"/>
      <c r="D75" s="1101"/>
      <c r="E75" s="1101"/>
      <c r="F75" s="1101"/>
      <c r="G75" s="1102"/>
      <c r="H75" s="1101"/>
      <c r="I75" s="1101"/>
      <c r="J75" s="1101"/>
      <c r="K75" s="1101"/>
      <c r="L75" s="1101"/>
      <c r="M75" s="1101"/>
      <c r="N75" s="1101"/>
      <c r="O75" s="1101"/>
      <c r="P75" s="1101"/>
      <c r="Q75" s="1101"/>
      <c r="R75" s="1101"/>
      <c r="S75" s="1101"/>
      <c r="T75" s="1101"/>
      <c r="U75" s="1101"/>
      <c r="V75" s="1101"/>
      <c r="W75" s="1101"/>
      <c r="X75" s="1101"/>
      <c r="Y75" s="1101"/>
      <c r="Z75" s="1101"/>
      <c r="AA75" s="1101"/>
      <c r="AB75" s="1101"/>
      <c r="AC75" s="1101"/>
      <c r="AD75" s="1101"/>
      <c r="AE75" s="1101"/>
      <c r="AF75" s="1101">
        <f>SUM(AB75:AE75)</f>
        <v>0</v>
      </c>
      <c r="AG75" s="1101"/>
      <c r="AH75" s="1101"/>
      <c r="AI75" s="1101"/>
      <c r="AJ75" s="1101"/>
      <c r="AK75" s="1101">
        <f>SUM(AG75:AJ75)</f>
        <v>0</v>
      </c>
      <c r="AL75" s="1101"/>
      <c r="AM75" s="1101"/>
      <c r="AN75" s="1101"/>
      <c r="AO75" s="1101"/>
      <c r="AP75" s="1101">
        <f>SUM(AL75:AO75)</f>
        <v>0</v>
      </c>
      <c r="AQ75" s="1101"/>
      <c r="AR75" s="1101"/>
      <c r="AS75" s="1523"/>
      <c r="AT75" s="1523"/>
      <c r="AU75" s="1104">
        <f>SUM(AQ75:AT75)</f>
        <v>0</v>
      </c>
      <c r="AV75" s="1101"/>
      <c r="AW75" s="1101"/>
      <c r="AX75" s="1101"/>
      <c r="AY75" s="1101"/>
      <c r="AZ75" s="1104">
        <f>SUM(AV75:AY75)</f>
        <v>0</v>
      </c>
      <c r="BA75" s="1101"/>
      <c r="BB75" s="1101"/>
      <c r="BC75" s="1351"/>
      <c r="BD75" s="1101"/>
      <c r="BE75" s="1104">
        <f>SUM(BA75:BD75)</f>
        <v>0</v>
      </c>
      <c r="BF75" s="1101"/>
      <c r="BG75" s="1101"/>
      <c r="BH75" s="1101"/>
      <c r="BI75" s="1101"/>
      <c r="BJ75" s="1552">
        <f>SUM(BF75:BI75)</f>
        <v>0</v>
      </c>
      <c r="BK75" s="1101"/>
      <c r="BL75" s="1101"/>
      <c r="BM75" s="1101"/>
      <c r="BN75" s="1523"/>
      <c r="BO75" s="1552">
        <f>SUM(BK75:BN75)</f>
        <v>0</v>
      </c>
      <c r="BP75" s="1101"/>
      <c r="BQ75" s="1101"/>
      <c r="BR75" s="1101"/>
      <c r="BS75" s="1523"/>
      <c r="BT75" s="1552">
        <f>SUM(BP75:BS75)</f>
        <v>0</v>
      </c>
      <c r="BU75" s="1101"/>
      <c r="BV75" s="1101"/>
      <c r="BW75" s="1101"/>
      <c r="BX75" s="1101"/>
      <c r="BY75" s="1552">
        <f>SUM(BU75:BX75)</f>
        <v>0</v>
      </c>
      <c r="BZ75" s="1101"/>
      <c r="CA75" s="1101"/>
      <c r="CB75" s="1101"/>
      <c r="CC75" s="1351"/>
      <c r="CD75" s="1552">
        <f>SUM(BZ75:CC75)</f>
        <v>0</v>
      </c>
      <c r="CE75" s="1101"/>
      <c r="CF75" s="1101"/>
      <c r="CG75" s="1101"/>
      <c r="CH75" s="1101"/>
      <c r="CI75" s="1552">
        <f>SUM(CE75:CH75)</f>
        <v>0</v>
      </c>
      <c r="CJ75" s="1101"/>
      <c r="CK75" s="1523"/>
      <c r="CL75" s="1523"/>
      <c r="CM75" s="1523"/>
      <c r="CN75" s="1565">
        <f>SUM(CJ75:CM75)</f>
        <v>0</v>
      </c>
      <c r="CO75" s="1523"/>
      <c r="CP75" s="1523"/>
      <c r="CQ75" s="1523"/>
      <c r="CR75" s="1523"/>
      <c r="CS75" s="1565">
        <f>SUM(CO75:CR75)</f>
        <v>0</v>
      </c>
      <c r="CT75" s="1523"/>
      <c r="CU75" s="1523"/>
      <c r="CV75" s="1523"/>
      <c r="CW75" s="1523"/>
      <c r="CX75" s="1565">
        <f>SUM(CT75:CW75)</f>
        <v>0</v>
      </c>
      <c r="CY75"/>
      <c r="CZ75"/>
      <c r="DA75"/>
      <c r="DB75" s="1105"/>
      <c r="DC75" s="1503"/>
      <c r="DD75" s="1009"/>
      <c r="DE75" s="1503"/>
      <c r="DF75"/>
      <c r="DG75"/>
      <c r="DH75"/>
      <c r="DI75"/>
      <c r="DJ75"/>
      <c r="DK75"/>
    </row>
    <row r="76" spans="1:115" s="47" customFormat="1" ht="12" hidden="1" customHeight="1" outlineLevel="1">
      <c r="A76" s="1529" t="s">
        <v>397</v>
      </c>
      <c r="B76" s="1529"/>
      <c r="C76" s="1101"/>
      <c r="D76" s="1101"/>
      <c r="E76" s="1101"/>
      <c r="F76" s="1101"/>
      <c r="G76" s="1102"/>
      <c r="H76" s="1101"/>
      <c r="I76" s="1101"/>
      <c r="J76" s="1101"/>
      <c r="K76" s="1101"/>
      <c r="L76" s="1101"/>
      <c r="M76" s="1101"/>
      <c r="N76" s="1101"/>
      <c r="O76" s="1101"/>
      <c r="P76" s="1101"/>
      <c r="Q76" s="1101"/>
      <c r="R76" s="1101"/>
      <c r="S76" s="1101"/>
      <c r="T76" s="1101"/>
      <c r="U76" s="1101"/>
      <c r="V76" s="1101"/>
      <c r="W76" s="1101"/>
      <c r="X76" s="1101"/>
      <c r="Y76" s="1101"/>
      <c r="Z76" s="1101"/>
      <c r="AA76" s="1101"/>
      <c r="AB76" s="1101">
        <f>CF!AB70</f>
        <v>-23.42</v>
      </c>
      <c r="AC76" s="1101">
        <f>CF!AC70</f>
        <v>-22.731999999999999</v>
      </c>
      <c r="AD76" s="1101">
        <f>CF!AD70</f>
        <v>-35.435000000000002</v>
      </c>
      <c r="AE76" s="1101">
        <f>143.118-AD76-AC76-AB76</f>
        <v>224.70499999999998</v>
      </c>
      <c r="AF76" s="1101">
        <f>SUM(AB76:AE76)</f>
        <v>143.11799999999999</v>
      </c>
      <c r="AG76" s="1101">
        <f>CF!AG70</f>
        <v>15.935</v>
      </c>
      <c r="AH76" s="1101">
        <f>CF!AH70</f>
        <v>36.186</v>
      </c>
      <c r="AI76" s="1101">
        <f>75.878-AH76-AG76</f>
        <v>23.756999999999998</v>
      </c>
      <c r="AJ76" s="1101">
        <f>66.966-AI76-AH76-AG76</f>
        <v>-8.9120000000000044</v>
      </c>
      <c r="AK76" s="1101">
        <f>SUM(AG76:AJ76)</f>
        <v>66.965999999999994</v>
      </c>
      <c r="AL76" s="1101">
        <f>CF!AL70</f>
        <v>0</v>
      </c>
      <c r="AM76" s="1101">
        <f>CF!AM70</f>
        <v>9.3290000000000006</v>
      </c>
      <c r="AN76" s="1101">
        <f>83.74-AM76-AL76</f>
        <v>74.411000000000001</v>
      </c>
      <c r="AO76" s="1101">
        <f>90.36-AN76-AM76-AL76</f>
        <v>6.6199999999999974</v>
      </c>
      <c r="AP76" s="1101">
        <f>SUM(AL76:AO76)</f>
        <v>90.360000000000014</v>
      </c>
      <c r="AQ76" s="1101">
        <f>CF!AQ70-CF!AQ99</f>
        <v>2.6269999999999998</v>
      </c>
      <c r="AR76" s="1101">
        <f>CF!AR70-CF!AR99</f>
        <v>0</v>
      </c>
      <c r="AS76" s="1101">
        <f>CF!AS70-CF!AS99</f>
        <v>0</v>
      </c>
      <c r="AT76" s="1101">
        <f>CF!AT99</f>
        <v>11.896000000000001</v>
      </c>
      <c r="AU76" s="1104">
        <f>SUM(AQ76:AT76)</f>
        <v>14.523</v>
      </c>
      <c r="AV76" s="1101">
        <f>CF!AV99</f>
        <v>7.0579999999999998</v>
      </c>
      <c r="AW76" s="1101">
        <f>CF!AW99</f>
        <v>1.4269999999999996</v>
      </c>
      <c r="AX76" s="1101">
        <f>CF!AX99</f>
        <v>1.6869999999999994</v>
      </c>
      <c r="AY76" s="1101">
        <f>CF!AY99</f>
        <v>4.1100000000000012</v>
      </c>
      <c r="AZ76" s="1104">
        <f>SUM(AV76:AY76)</f>
        <v>14.282</v>
      </c>
      <c r="BA76" s="1101">
        <f>CF!BA99</f>
        <v>0</v>
      </c>
      <c r="BB76" s="1101">
        <f>CF!BB99</f>
        <v>0</v>
      </c>
      <c r="BC76" s="1101">
        <f>CF!BC99</f>
        <v>0.318</v>
      </c>
      <c r="BD76" s="1101">
        <f>CF!BD99</f>
        <v>0.85299999999999998</v>
      </c>
      <c r="BE76" s="1104">
        <f>SUM(BA76:BD76)</f>
        <v>1.171</v>
      </c>
      <c r="BF76" s="1101">
        <f>CF!BF99</f>
        <v>2.67</v>
      </c>
      <c r="BG76" s="1101">
        <f>CF!BG99</f>
        <v>2.6840000000000002</v>
      </c>
      <c r="BH76" s="1101">
        <f>CF!BH99</f>
        <v>1.1719999999999997</v>
      </c>
      <c r="BI76" s="1101">
        <f>CF!BI99</f>
        <v>3.4770000000000003</v>
      </c>
      <c r="BJ76" s="1552">
        <f>SUM(BF76:BI76)</f>
        <v>10.003</v>
      </c>
      <c r="BK76" s="1101">
        <f>CF!BK99</f>
        <v>0</v>
      </c>
      <c r="BL76" s="1101">
        <f>CF!BL99</f>
        <v>0</v>
      </c>
      <c r="BM76" s="1101">
        <f>CF!BM99</f>
        <v>0</v>
      </c>
      <c r="BN76" s="1101">
        <f>CF!BN99</f>
        <v>40.619</v>
      </c>
      <c r="BO76" s="1552">
        <f>SUM(BK76:BN76)</f>
        <v>40.619</v>
      </c>
      <c r="BP76" s="1101">
        <f>CF!BP99</f>
        <v>0</v>
      </c>
      <c r="BQ76" s="1101">
        <f>CF!BQ99</f>
        <v>4.875</v>
      </c>
      <c r="BR76" s="1101">
        <f>CF!BR99</f>
        <v>27.077999999999999</v>
      </c>
      <c r="BS76" s="1101">
        <f>CF!BS99</f>
        <v>21.282</v>
      </c>
      <c r="BT76" s="1552">
        <f>SUM(BP76:BS76)</f>
        <v>53.234999999999999</v>
      </c>
      <c r="BU76" s="1101">
        <f>CF!BU99</f>
        <v>33.598999999999997</v>
      </c>
      <c r="BV76" s="1101">
        <f>CF!BV99</f>
        <v>11.14</v>
      </c>
      <c r="BW76" s="1101">
        <f>CF!BW99</f>
        <v>13.606000000000002</v>
      </c>
      <c r="BX76" s="1101">
        <f>CF!BX99</f>
        <v>9.8079999999999927</v>
      </c>
      <c r="BY76" s="1552">
        <f>SUM(BU76:BX76)</f>
        <v>68.152999999999992</v>
      </c>
      <c r="BZ76" s="1101">
        <f>CF!BZ99</f>
        <v>14.859</v>
      </c>
      <c r="CA76" s="1101">
        <f>CF!CA99</f>
        <v>50.43</v>
      </c>
      <c r="CB76" s="1101">
        <f>CF!CB99</f>
        <v>3.980000000000004</v>
      </c>
      <c r="CC76" s="1101">
        <f>CF!CC99</f>
        <v>5.8359999999999985</v>
      </c>
      <c r="CD76" s="1552">
        <f>SUM(BZ76:CC76)</f>
        <v>75.105000000000004</v>
      </c>
      <c r="CE76" s="1101">
        <f>CF!CE99</f>
        <v>0</v>
      </c>
      <c r="CF76" s="1101">
        <f>CF!CF99</f>
        <v>0</v>
      </c>
      <c r="CG76" s="1101">
        <f>CF!CG99</f>
        <v>-220.58</v>
      </c>
      <c r="CH76" s="1101">
        <f>CF!CH99</f>
        <v>-19.545999999999992</v>
      </c>
      <c r="CI76" s="1552">
        <f>SUM(CE76:CH76)</f>
        <v>-240.126</v>
      </c>
      <c r="CJ76" s="1101">
        <f>CF!CJ99</f>
        <v>-240.96899999999999</v>
      </c>
      <c r="CK76" s="1101">
        <f>CF!CK99</f>
        <v>240.96899999999999</v>
      </c>
      <c r="CL76" s="1101">
        <f>CF!CL99</f>
        <v>0</v>
      </c>
      <c r="CM76" s="1101">
        <f>CF!CM99</f>
        <v>0</v>
      </c>
      <c r="CN76" s="1565">
        <f>SUM(CJ76:CM76)</f>
        <v>0</v>
      </c>
      <c r="CO76" s="1101">
        <f>CF!CO99</f>
        <v>0</v>
      </c>
      <c r="CP76" s="1101">
        <f>CF!CP99</f>
        <v>0</v>
      </c>
      <c r="CQ76" s="1101">
        <f>CF!CQ99</f>
        <v>0</v>
      </c>
      <c r="CR76" s="1101">
        <f>CF!CR99</f>
        <v>0</v>
      </c>
      <c r="CS76" s="1565">
        <f>SUM(CO76:CR76)</f>
        <v>0</v>
      </c>
      <c r="CT76" s="1101">
        <f>CF!CT99</f>
        <v>0</v>
      </c>
      <c r="CU76" s="1101">
        <f>CF!CU99</f>
        <v>0</v>
      </c>
      <c r="CV76" s="1101">
        <f>CF!CV99</f>
        <v>0</v>
      </c>
      <c r="CW76" s="1101">
        <f>CF!CW99</f>
        <v>0</v>
      </c>
      <c r="CX76" s="1565">
        <f>SUM(CT76:CW76)</f>
        <v>0</v>
      </c>
      <c r="CY76"/>
      <c r="CZ76"/>
      <c r="DA76"/>
      <c r="DB76" s="1105"/>
      <c r="DC76" s="1503"/>
      <c r="DD76" s="1009"/>
      <c r="DE76" s="1503"/>
      <c r="DF76"/>
      <c r="DG76"/>
      <c r="DH76"/>
      <c r="DI76"/>
      <c r="DJ76"/>
      <c r="DK76"/>
    </row>
    <row r="77" spans="1:115" s="47" customFormat="1" ht="12" hidden="1" customHeight="1" outlineLevel="1">
      <c r="A77" s="1529" t="s">
        <v>396</v>
      </c>
      <c r="B77" s="1529"/>
      <c r="C77" s="1101"/>
      <c r="D77" s="1101"/>
      <c r="E77" s="1101"/>
      <c r="F77" s="1101"/>
      <c r="G77" s="1102"/>
      <c r="H77" s="1101"/>
      <c r="I77" s="1101"/>
      <c r="J77" s="1101"/>
      <c r="K77" s="1101"/>
      <c r="L77" s="1101"/>
      <c r="M77" s="1101"/>
      <c r="N77" s="1101"/>
      <c r="O77" s="1101"/>
      <c r="P77" s="1101"/>
      <c r="Q77" s="1101"/>
      <c r="R77" s="1101"/>
      <c r="S77" s="1101"/>
      <c r="T77" s="1101"/>
      <c r="U77" s="1101"/>
      <c r="V77" s="1101"/>
      <c r="W77" s="1101"/>
      <c r="X77" s="1101"/>
      <c r="Y77" s="1101"/>
      <c r="Z77" s="1101"/>
      <c r="AA77" s="1101"/>
      <c r="AB77" s="1101">
        <f>CF!AB67</f>
        <v>46.481999999999999</v>
      </c>
      <c r="AC77" s="1101">
        <f>CF!AC67</f>
        <v>41.88300000000001</v>
      </c>
      <c r="AD77" s="1101">
        <f>CF!AD67</f>
        <v>42.657999999999987</v>
      </c>
      <c r="AE77" s="1101">
        <f>CF!AE67</f>
        <v>39.512</v>
      </c>
      <c r="AF77" s="1101">
        <f>SUM(AB77:AE77)</f>
        <v>170.535</v>
      </c>
      <c r="AG77" s="1101">
        <f>CF!AG67</f>
        <v>31.905999999999999</v>
      </c>
      <c r="AH77" s="1101">
        <f>CF!AH67</f>
        <v>39.615000000000002</v>
      </c>
      <c r="AI77" s="1101">
        <f>CF!AI67</f>
        <v>38.569000000000003</v>
      </c>
      <c r="AJ77" s="1101">
        <f>149.987-AI77-AH77-AG77</f>
        <v>39.896999999999998</v>
      </c>
      <c r="AK77" s="1101">
        <f>SUM(AG77:AJ77)</f>
        <v>149.98699999999999</v>
      </c>
      <c r="AL77" s="1101">
        <f>CF!AL67</f>
        <v>43.033999999999999</v>
      </c>
      <c r="AM77" s="1101">
        <f>CF!AM67</f>
        <v>48.387000000000008</v>
      </c>
      <c r="AN77" s="1101">
        <f>CF!AN67</f>
        <v>46.191999999999993</v>
      </c>
      <c r="AO77" s="1101">
        <f>CF!AO67</f>
        <v>34.86099999999999</v>
      </c>
      <c r="AP77" s="1101">
        <f>SUM(AL77:AO77)</f>
        <v>172.47399999999999</v>
      </c>
      <c r="AQ77" s="1101">
        <f>CF!AQ67</f>
        <v>45.618000000000002</v>
      </c>
      <c r="AR77" s="1101">
        <f>CF!AR67</f>
        <v>40.958999999999996</v>
      </c>
      <c r="AS77" s="1101">
        <f>CF!AS67</f>
        <v>39.653999999999996</v>
      </c>
      <c r="AT77" s="1101">
        <f>167.581-AS77-AR77-AQ77</f>
        <v>41.349999999999987</v>
      </c>
      <c r="AU77" s="1104">
        <f>SUM(AQ77:AT77)</f>
        <v>167.58099999999999</v>
      </c>
      <c r="AV77" s="1101">
        <f>CF!AV67</f>
        <v>64.48</v>
      </c>
      <c r="AW77" s="1101">
        <f>CF!AW67</f>
        <v>60.096999999999994</v>
      </c>
      <c r="AX77" s="1101">
        <f>CF!AX67</f>
        <v>47.224999999999994</v>
      </c>
      <c r="AY77" s="1101">
        <f>CF!AY67</f>
        <v>23.703000000000003</v>
      </c>
      <c r="AZ77" s="1104">
        <f>SUM(AV77:AY77)</f>
        <v>195.505</v>
      </c>
      <c r="BA77" s="1101">
        <f>CF!BA67</f>
        <v>70.992000000000004</v>
      </c>
      <c r="BB77" s="1101">
        <f>CF!BB67</f>
        <v>74.858999999999995</v>
      </c>
      <c r="BC77" s="1101">
        <f>CF!BC67</f>
        <v>65.117999999999995</v>
      </c>
      <c r="BD77" s="1101">
        <f>CF!BD67</f>
        <v>75.134000000000015</v>
      </c>
      <c r="BE77" s="1104">
        <f>SUM(BA77:BD77)</f>
        <v>286.10300000000001</v>
      </c>
      <c r="BF77" s="1101">
        <f>CF!BF67</f>
        <v>71.581999999999994</v>
      </c>
      <c r="BG77" s="1101">
        <f>CF!BG67</f>
        <v>71.397999999999996</v>
      </c>
      <c r="BH77" s="1101">
        <f>CF!BH67</f>
        <v>79.669000000000011</v>
      </c>
      <c r="BI77" s="1101">
        <f>CF!BI67</f>
        <v>75.853000000000009</v>
      </c>
      <c r="BJ77" s="1552">
        <f>SUM(BF77:BI77)</f>
        <v>298.50200000000001</v>
      </c>
      <c r="BK77" s="1101">
        <f>CF!BK67</f>
        <v>84.195999999999998</v>
      </c>
      <c r="BL77" s="1101">
        <f>CF!BL67</f>
        <v>78.87</v>
      </c>
      <c r="BM77" s="1101">
        <f>CF!BM67</f>
        <v>81.024000000000001</v>
      </c>
      <c r="BN77" s="1101">
        <f>CF!BN67</f>
        <v>84.89700000000002</v>
      </c>
      <c r="BO77" s="1552">
        <f>SUM(BK77:BN77)</f>
        <v>328.98700000000002</v>
      </c>
      <c r="BP77" s="1101">
        <f>CF!BP67</f>
        <v>82.787999999999997</v>
      </c>
      <c r="BQ77" s="1101">
        <f>CF!BQ67</f>
        <v>83.01</v>
      </c>
      <c r="BR77" s="1101">
        <f>CF!BR67</f>
        <v>83.013000000000005</v>
      </c>
      <c r="BS77" s="1101">
        <f>CF!BS67</f>
        <v>84.890000000000015</v>
      </c>
      <c r="BT77" s="1552">
        <f>SUM(BP77:BS77)</f>
        <v>333.70100000000002</v>
      </c>
      <c r="BU77" s="1101">
        <f>CF!BU67</f>
        <v>84.207999999999998</v>
      </c>
      <c r="BV77" s="1101">
        <f>CF!BV67</f>
        <v>84.652000000000015</v>
      </c>
      <c r="BW77" s="1101">
        <f>CF!BW67</f>
        <v>85.975999999999999</v>
      </c>
      <c r="BX77" s="1101">
        <f>CF!BX67</f>
        <v>81.022999999999968</v>
      </c>
      <c r="BY77" s="1552">
        <f>SUM(BU77:BX77)</f>
        <v>335.85899999999998</v>
      </c>
      <c r="BZ77" s="1101">
        <f>CF!BZ67</f>
        <v>92.31</v>
      </c>
      <c r="CA77" s="1101">
        <f>CF!CA67</f>
        <v>85.568999999999988</v>
      </c>
      <c r="CB77" s="1101">
        <f>CF!CB67</f>
        <v>84.503000000000014</v>
      </c>
      <c r="CC77" s="1101">
        <f>CF!CC67</f>
        <v>87.529999999999973</v>
      </c>
      <c r="CD77" s="1552">
        <f>SUM(BZ77:CC77)</f>
        <v>349.91199999999998</v>
      </c>
      <c r="CE77" s="1101">
        <f>CF!CE67</f>
        <v>98.31</v>
      </c>
      <c r="CF77" s="1101">
        <f>CF!CF67</f>
        <v>116.04900000000001</v>
      </c>
      <c r="CG77" s="1101">
        <f>CF!CG67</f>
        <v>117.042</v>
      </c>
      <c r="CH77" s="1101">
        <f>CF!CH67</f>
        <v>120.05000000000001</v>
      </c>
      <c r="CI77" s="1552">
        <f>SUM(CE77:CH77)</f>
        <v>451.45100000000002</v>
      </c>
      <c r="CJ77" s="1101">
        <f>CF!CJ67</f>
        <v>130.488</v>
      </c>
      <c r="CK77" s="1101">
        <f>CF!CK67</f>
        <v>160.09784999999999</v>
      </c>
      <c r="CL77" s="1101">
        <f>CF!CL67</f>
        <v>159.25680000000006</v>
      </c>
      <c r="CM77" s="1101">
        <f>CF!CM67</f>
        <v>164.94299999999998</v>
      </c>
      <c r="CN77" s="1565">
        <f>SUM(CJ77:CM77)</f>
        <v>614.78565000000003</v>
      </c>
      <c r="CO77" s="1101">
        <f>CF!CO67</f>
        <v>162.82461600000002</v>
      </c>
      <c r="CP77" s="1101">
        <f>CF!CP67</f>
        <v>192.11742000000001</v>
      </c>
      <c r="CQ77" s="1101">
        <f>CF!CQ67</f>
        <v>191.10816</v>
      </c>
      <c r="CR77" s="1101">
        <f>CF!CR67</f>
        <v>197.9316</v>
      </c>
      <c r="CS77" s="1565">
        <f>SUM(CO77:CR77)</f>
        <v>743.98179600000003</v>
      </c>
      <c r="CT77" s="1101">
        <f>CF!CT67</f>
        <v>195.38953920000003</v>
      </c>
      <c r="CU77" s="1101">
        <f>CF!CU67</f>
        <v>230.54090399999998</v>
      </c>
      <c r="CV77" s="1101">
        <f>CF!CV67</f>
        <v>229.329792</v>
      </c>
      <c r="CW77" s="1101">
        <f>CF!CW67</f>
        <v>237.51792</v>
      </c>
      <c r="CX77" s="1565">
        <f>SUM(CT77:CW77)</f>
        <v>892.77815520000001</v>
      </c>
      <c r="CY77"/>
      <c r="CZ77"/>
      <c r="DA77"/>
      <c r="DB77" s="1105"/>
      <c r="DC77" s="1503"/>
      <c r="DD77" s="1009"/>
      <c r="DE77" s="1503"/>
      <c r="DF77"/>
      <c r="DG77"/>
      <c r="DH77"/>
      <c r="DI77"/>
      <c r="DJ77"/>
      <c r="DK77"/>
    </row>
    <row r="78" spans="1:115" s="47" customFormat="1" ht="12" hidden="1" customHeight="1" outlineLevel="1">
      <c r="A78" s="1581" t="s">
        <v>400</v>
      </c>
      <c r="B78" s="1581"/>
      <c r="C78" s="1585"/>
      <c r="D78" s="1585"/>
      <c r="E78" s="1585"/>
      <c r="F78" s="1585"/>
      <c r="G78" s="1588"/>
      <c r="H78" s="1585"/>
      <c r="I78" s="1585"/>
      <c r="J78" s="1585"/>
      <c r="K78" s="1585"/>
      <c r="L78" s="1585"/>
      <c r="M78" s="1585"/>
      <c r="N78" s="1585"/>
      <c r="O78" s="1585"/>
      <c r="P78" s="1585"/>
      <c r="Q78" s="1585"/>
      <c r="R78" s="1585"/>
      <c r="S78" s="1585"/>
      <c r="T78" s="1585"/>
      <c r="U78" s="1585"/>
      <c r="V78" s="1585"/>
      <c r="W78" s="1585"/>
      <c r="X78" s="1585"/>
      <c r="Y78" s="1585"/>
      <c r="Z78" s="1585"/>
      <c r="AA78" s="1585"/>
      <c r="AB78" s="1585">
        <f>AB79-SUM(AB73:AB77)</f>
        <v>1063.4770000000001</v>
      </c>
      <c r="AC78" s="1585">
        <f>AC79-SUM(AC73:AC77)</f>
        <v>-38.632999999999811</v>
      </c>
      <c r="AD78" s="1585">
        <f>AD79-SUM(AD73:AD77)</f>
        <v>42.268000000000029</v>
      </c>
      <c r="AE78" s="1585">
        <f>AE79-SUM(AE73:AE77)</f>
        <v>192.66799999999967</v>
      </c>
      <c r="AF78" s="1585">
        <f>SUM(AB78:AE78)</f>
        <v>1259.78</v>
      </c>
      <c r="AG78" s="1585">
        <f>AG79-SUM(AG73:AG77)</f>
        <v>-52.550999999999476</v>
      </c>
      <c r="AH78" s="1585">
        <f>AH79-SUM(AH73:AH77)</f>
        <v>22.586999999999989</v>
      </c>
      <c r="AI78" s="1585">
        <f>AI79-SUM(AI73:AI77)</f>
        <v>-7.4760000000001128</v>
      </c>
      <c r="AJ78" s="1585">
        <f>AJ79-SUM(AJ73:AJ77)</f>
        <v>-48.729000000000269</v>
      </c>
      <c r="AK78" s="1585">
        <f>SUM(AG78:AJ78)</f>
        <v>-86.168999999999869</v>
      </c>
      <c r="AL78" s="1585">
        <f>AL79-SUM(AL73:AL77)</f>
        <v>-2.1000000000185537E-2</v>
      </c>
      <c r="AM78" s="1585">
        <f>AM79-SUM(AM73:AM77)</f>
        <v>-4.400000000032378E-2</v>
      </c>
      <c r="AN78" s="1585">
        <f>AN79-SUM(AN73:AN77)</f>
        <v>3.1999999999698048E-2</v>
      </c>
      <c r="AO78" s="1585">
        <f>AO79-SUM(AO73:AO77)</f>
        <v>3.3000000000356522E-2</v>
      </c>
      <c r="AP78" s="1585">
        <f>SUM(AL78:AO78)</f>
        <v>-4.5474735088646412E-13</v>
      </c>
      <c r="AQ78" s="1585">
        <f>AQ79-SUM(AQ73:AQ77)</f>
        <v>0.11900000000014188</v>
      </c>
      <c r="AR78" s="1585">
        <f>AR79-SUM(AR73:AR77)</f>
        <v>0.38200000000051659</v>
      </c>
      <c r="AS78" s="1585">
        <f>AS79-SUM(AS73:AS77)</f>
        <v>-3.6000000000058208E-2</v>
      </c>
      <c r="AT78" s="1585">
        <f>AT79-SUM(AT73:AT77)</f>
        <v>87.943999999999505</v>
      </c>
      <c r="AU78" s="1586">
        <f>SUM(AQ78:AT78)</f>
        <v>88.409000000000106</v>
      </c>
      <c r="AV78" s="1585">
        <f>AV79-SUM(AV73:AV77)</f>
        <v>-95.216999999999643</v>
      </c>
      <c r="AW78" s="1585">
        <f>AW79-SUM(AW73:AW77)</f>
        <v>-25.287000000000262</v>
      </c>
      <c r="AX78" s="1585">
        <f>AX79-SUM(AX73:AX77)</f>
        <v>-3.0999999999949068E-2</v>
      </c>
      <c r="AY78" s="1585">
        <f>AY79-SUM(AY73:AY77)</f>
        <v>5.3819999999996071</v>
      </c>
      <c r="AZ78" s="1586">
        <f>SUM(AV78:AY78)</f>
        <v>-115.15300000000025</v>
      </c>
      <c r="BA78" s="1585">
        <f>BA79-SUM(BA73:BA77)</f>
        <v>0.51900000000023283</v>
      </c>
      <c r="BB78" s="1585">
        <f>BB79-SUM(BB73:BB77)</f>
        <v>7.3489999999997053</v>
      </c>
      <c r="BC78" s="1585">
        <f>BC79-SUM(BC73:BC77)</f>
        <v>2.9740000000001601</v>
      </c>
      <c r="BD78" s="1585">
        <f>BD79-SUM(BD73:BD77)</f>
        <v>-2.4980000000000473</v>
      </c>
      <c r="BE78" s="1586">
        <f>SUM(BA78:BD78)</f>
        <v>8.3440000000000509</v>
      </c>
      <c r="BF78" s="1585">
        <f>BF79-SUM(BF73:BF77)</f>
        <v>-6.4359999999996944</v>
      </c>
      <c r="BG78" s="1585">
        <f>BG79-SUM(BG73:BG77)</f>
        <v>-8.8410000000003492</v>
      </c>
      <c r="BH78" s="1585">
        <f>BH79-SUM(BH73:BH77)</f>
        <v>-5.9949999999998909</v>
      </c>
      <c r="BI78" s="1585">
        <f>BI79-SUM(BI73:BI77)</f>
        <v>-2.4639999999999418</v>
      </c>
      <c r="BJ78" s="1555">
        <f>SUM(BF78:BI78)</f>
        <v>-23.735999999999876</v>
      </c>
      <c r="BK78" s="1585">
        <f>BK79-SUM(BK73:BK77)</f>
        <v>-6.3900000000003274</v>
      </c>
      <c r="BL78" s="1585">
        <f>BL79-SUM(BL73:BL77)</f>
        <v>-5.4580000000000837</v>
      </c>
      <c r="BM78" s="1585">
        <f>BM79-SUM(BM73:BM77)</f>
        <v>-4.7369999999996253</v>
      </c>
      <c r="BN78" s="1585">
        <f>BN79-SUM(BN73:BN77)</f>
        <v>1.0099999999997635</v>
      </c>
      <c r="BO78" s="1555">
        <f>SUM(BK78:BN78)</f>
        <v>-15.575000000000273</v>
      </c>
      <c r="BP78" s="1585">
        <f>BP79-SUM(BP73:BP77)</f>
        <v>-0.29799999999977445</v>
      </c>
      <c r="BQ78" s="1585">
        <f>BQ79-SUM(BQ73:BQ77)</f>
        <v>-0.38900000000057844</v>
      </c>
      <c r="BR78" s="1585">
        <f>BR79-SUM(BR73:BR77)</f>
        <v>2.8560000000002219</v>
      </c>
      <c r="BS78" s="1585">
        <f>BS79-SUM(BS73:BS77)</f>
        <v>-3.30600000000004</v>
      </c>
      <c r="BT78" s="1555">
        <f>SUM(BP78:BS78)</f>
        <v>-1.137000000000171</v>
      </c>
      <c r="BU78" s="1585">
        <f>BU79-SUM(BU73:BU77)</f>
        <v>1.5360000000000582</v>
      </c>
      <c r="BV78" s="1585">
        <f>BV79-SUM(BV73:BV77)</f>
        <v>1.0219999999999345</v>
      </c>
      <c r="BW78" s="1585">
        <f>BW79-SUM(BW73:BW77)</f>
        <v>-0.10100000000056752</v>
      </c>
      <c r="BX78" s="1585">
        <f>BX79-SUM(BX73:BX77)</f>
        <v>-8.1000000000130967E-2</v>
      </c>
      <c r="BY78" s="1555">
        <f>SUM(BU78:BX78)</f>
        <v>2.3759999999992942</v>
      </c>
      <c r="BZ78" s="1585">
        <f>BZ79-SUM(BZ73:BZ77)</f>
        <v>0.43400000000019645</v>
      </c>
      <c r="CA78" s="1585">
        <f>CA79-SUM(CA73:CA77)</f>
        <v>-0.21500000000014552</v>
      </c>
      <c r="CB78" s="1585">
        <f>CB79-SUM(CB73:CB77)</f>
        <v>25.045000000000073</v>
      </c>
      <c r="CC78" s="1558">
        <f>CC79-SUM(CC73:CC77)</f>
        <v>-18.832999999999629</v>
      </c>
      <c r="CD78" s="1555">
        <f>SUM(BZ78:CC78)</f>
        <v>6.4310000000004948</v>
      </c>
      <c r="CE78" s="1585">
        <f>CE79-SUM(CE73:CE77)</f>
        <v>5.3249999999998181</v>
      </c>
      <c r="CF78" s="1585">
        <f>CF79-SUM(CF73:CF77)</f>
        <v>0.77099999999973079</v>
      </c>
      <c r="CG78" s="1585">
        <f>CG79-SUM(CG73:CG77)</f>
        <v>255.24299999999948</v>
      </c>
      <c r="CH78" s="1585">
        <f>CH79-SUM(CH73:CH77)</f>
        <v>-6.8000000000001819</v>
      </c>
      <c r="CI78" s="1555">
        <f>SUM(CE78:CH78)</f>
        <v>254.53899999999885</v>
      </c>
      <c r="CJ78" s="1585">
        <f>CJ79-SUM(CJ73:CJ77)</f>
        <v>236.87400000000071</v>
      </c>
      <c r="CK78" s="1587"/>
      <c r="CL78" s="1587"/>
      <c r="CM78" s="1587"/>
      <c r="CN78" s="1592">
        <f>SUM(CJ78:CM78)</f>
        <v>236.87400000000071</v>
      </c>
      <c r="CO78" s="1587"/>
      <c r="CP78" s="1587"/>
      <c r="CQ78" s="1587"/>
      <c r="CR78" s="1587"/>
      <c r="CS78" s="1592">
        <f>SUM(CO78:CR78)</f>
        <v>0</v>
      </c>
      <c r="CT78" s="1587"/>
      <c r="CU78" s="1587"/>
      <c r="CV78" s="1587"/>
      <c r="CW78" s="1587"/>
      <c r="CX78" s="1592">
        <f>SUM(CT78:CW78)</f>
        <v>0</v>
      </c>
      <c r="CY78"/>
      <c r="CZ78"/>
      <c r="DA78"/>
      <c r="DB78" s="1105"/>
      <c r="DC78" s="1503"/>
      <c r="DD78" s="1009"/>
      <c r="DE78" s="1503"/>
      <c r="DF78"/>
      <c r="DG78"/>
      <c r="DH78"/>
      <c r="DI78"/>
      <c r="DJ78"/>
      <c r="DK78"/>
    </row>
    <row r="79" spans="1:115" s="47" customFormat="1" ht="12" hidden="1" customHeight="1" outlineLevel="1">
      <c r="A79" s="1503" t="s">
        <v>395</v>
      </c>
      <c r="B79" s="1503"/>
      <c r="C79" s="1101">
        <f>C45</f>
        <v>0</v>
      </c>
      <c r="D79" s="1101">
        <f>D45</f>
        <v>0</v>
      </c>
      <c r="E79" s="1101">
        <f>E45</f>
        <v>0</v>
      </c>
      <c r="F79" s="1101">
        <f>F45</f>
        <v>595.80999999999995</v>
      </c>
      <c r="G79" s="1101">
        <f>F79</f>
        <v>595.80999999999995</v>
      </c>
      <c r="H79" s="1101">
        <f>H45</f>
        <v>620.04200000000003</v>
      </c>
      <c r="I79" s="1101">
        <f>I45</f>
        <v>695.78099999999995</v>
      </c>
      <c r="J79" s="1101">
        <f>J45</f>
        <v>706.95499999999993</v>
      </c>
      <c r="K79" s="1101">
        <f>K45</f>
        <v>710.27300000000002</v>
      </c>
      <c r="L79" s="1101">
        <f>K79</f>
        <v>710.27300000000002</v>
      </c>
      <c r="M79" s="1101">
        <f t="shared" ref="M79:U79" si="101">M45</f>
        <v>718.28599999999994</v>
      </c>
      <c r="N79" s="1101">
        <f t="shared" si="101"/>
        <v>746.00800000000004</v>
      </c>
      <c r="O79" s="1101">
        <f t="shared" si="101"/>
        <v>764.32299999999998</v>
      </c>
      <c r="P79" s="1101">
        <f t="shared" si="101"/>
        <v>874.12599999999998</v>
      </c>
      <c r="Q79" s="1101">
        <f t="shared" si="101"/>
        <v>874.12599999999998</v>
      </c>
      <c r="R79" s="1101">
        <f t="shared" si="101"/>
        <v>901.83100000000002</v>
      </c>
      <c r="S79" s="1101">
        <f t="shared" si="101"/>
        <v>953.19500000000005</v>
      </c>
      <c r="T79" s="1101">
        <f t="shared" si="101"/>
        <v>1006.431</v>
      </c>
      <c r="U79" s="1101">
        <f t="shared" si="101"/>
        <v>1164.643</v>
      </c>
      <c r="V79" s="1101">
        <f>U79</f>
        <v>1164.643</v>
      </c>
      <c r="W79" s="1101">
        <f>W45</f>
        <v>1228.9269999999999</v>
      </c>
      <c r="X79" s="1101">
        <f>X45</f>
        <v>1264.712</v>
      </c>
      <c r="Y79" s="1101">
        <f>Y45</f>
        <v>1290.905</v>
      </c>
      <c r="Z79" s="1101">
        <f>Z45</f>
        <v>1321.146</v>
      </c>
      <c r="AA79" s="1101">
        <f>Z79</f>
        <v>1321.146</v>
      </c>
      <c r="AB79" s="1101">
        <f>AB45</f>
        <v>2407.6849999999999</v>
      </c>
      <c r="AC79" s="1101">
        <f>AC45</f>
        <v>2388.203</v>
      </c>
      <c r="AD79" s="1101">
        <f>AD45</f>
        <v>2437.694</v>
      </c>
      <c r="AE79" s="1101">
        <f>AE45</f>
        <v>2508.9609999999998</v>
      </c>
      <c r="AF79" s="1101">
        <f>AE79</f>
        <v>2508.9609999999998</v>
      </c>
      <c r="AG79" s="1101">
        <f>AG45</f>
        <v>2429.2510000000002</v>
      </c>
      <c r="AH79" s="1101">
        <f>AH45</f>
        <v>2452.6390000000001</v>
      </c>
      <c r="AI79" s="1101">
        <f>AI45</f>
        <v>2432.489</v>
      </c>
      <c r="AJ79" s="1101">
        <f>AJ45</f>
        <v>2340.9690000000001</v>
      </c>
      <c r="AK79" s="1101">
        <f>AJ79</f>
        <v>2340.9690000000001</v>
      </c>
      <c r="AL79" s="1101">
        <f>AL45</f>
        <v>2317.5819999999999</v>
      </c>
      <c r="AM79" s="1101">
        <f>AM45</f>
        <v>2308.0540000000001</v>
      </c>
      <c r="AN79" s="1101">
        <f>AN45</f>
        <v>2369.6889999999999</v>
      </c>
      <c r="AO79" s="1101">
        <f>AO45</f>
        <v>2396.819</v>
      </c>
      <c r="AP79" s="1101">
        <f>AO79</f>
        <v>2396.819</v>
      </c>
      <c r="AQ79" s="1101">
        <f>AQ45</f>
        <v>2352.3829999999998</v>
      </c>
      <c r="AR79" s="1101">
        <f>AR45</f>
        <v>2361.2240000000002</v>
      </c>
      <c r="AS79" s="1101">
        <f>AS45</f>
        <v>2303.3420000000001</v>
      </c>
      <c r="AT79" s="1101">
        <f>AT45</f>
        <v>2363.6439999999998</v>
      </c>
      <c r="AU79" s="1104">
        <f>SUM(AU73:AU78)</f>
        <v>2363.6440000000002</v>
      </c>
      <c r="AV79" s="1101">
        <f>AV45</f>
        <v>2339.9650000000001</v>
      </c>
      <c r="AW79" s="1101">
        <f>AW45</f>
        <v>2376.2020000000002</v>
      </c>
      <c r="AX79" s="1101">
        <f>AX45</f>
        <v>2425.0830000000001</v>
      </c>
      <c r="AY79" s="1101">
        <f>AY45</f>
        <v>2458.2779999999998</v>
      </c>
      <c r="AZ79" s="1104">
        <f>SUM(AZ73:AZ78)</f>
        <v>2458.2779999999998</v>
      </c>
      <c r="BA79" s="1101">
        <f>BA45</f>
        <v>2529.7890000000002</v>
      </c>
      <c r="BB79" s="1101">
        <f>BB45</f>
        <v>2611.9969999999998</v>
      </c>
      <c r="BC79" s="1101">
        <f>BC45</f>
        <v>2680.4070000000002</v>
      </c>
      <c r="BD79" s="1101">
        <f>BD45</f>
        <v>2753.8960000000002</v>
      </c>
      <c r="BE79" s="1104">
        <f>SUM(BE73:BE78)</f>
        <v>2753.8959999999997</v>
      </c>
      <c r="BF79" s="1101">
        <f>BF45</f>
        <v>2821.712</v>
      </c>
      <c r="BG79" s="1101">
        <f>BG45</f>
        <v>2886.953</v>
      </c>
      <c r="BH79" s="1101">
        <f>BH45</f>
        <v>2961.799</v>
      </c>
      <c r="BI79" s="1101">
        <f>BI45</f>
        <v>3038.665</v>
      </c>
      <c r="BJ79" s="1552">
        <f>SUM(BJ73:BJ78)</f>
        <v>3038.6650000000004</v>
      </c>
      <c r="BK79" s="1101">
        <f>BK45</f>
        <v>3116.471</v>
      </c>
      <c r="BL79" s="1101">
        <f>BL45</f>
        <v>3189.8829999999998</v>
      </c>
      <c r="BM79" s="1101">
        <f>BM45</f>
        <v>3266.17</v>
      </c>
      <c r="BN79" s="1101">
        <f>BN45</f>
        <v>3392.6959999999999</v>
      </c>
      <c r="BO79" s="1552">
        <f>SUM(BO73:BO78)</f>
        <v>3392.6959999999999</v>
      </c>
      <c r="BP79" s="1101">
        <f>BP45</f>
        <v>3475.1860000000001</v>
      </c>
      <c r="BQ79" s="1101">
        <f>BQ45</f>
        <v>3562.6819999999998</v>
      </c>
      <c r="BR79" s="1101">
        <f>BR45</f>
        <v>3675.6289999999999</v>
      </c>
      <c r="BS79" s="1101">
        <f>BS45</f>
        <v>3778.4949999999999</v>
      </c>
      <c r="BT79" s="1552">
        <f>SUM(BT73:BT78)</f>
        <v>3778.4949999999999</v>
      </c>
      <c r="BU79" s="1101">
        <f>BU45</f>
        <v>3897.8380000000002</v>
      </c>
      <c r="BV79" s="1101">
        <f>BV45</f>
        <v>3994.652</v>
      </c>
      <c r="BW79" s="1101">
        <f>BW45</f>
        <v>4094.1329999999998</v>
      </c>
      <c r="BX79" s="1101">
        <f>BX45</f>
        <v>4184.8829999999998</v>
      </c>
      <c r="BY79" s="1552">
        <f>SUM(BY73:BY78)</f>
        <v>4184.8829999999989</v>
      </c>
      <c r="BZ79" s="1101">
        <f>BZ45</f>
        <v>4292.4859999999999</v>
      </c>
      <c r="CA79" s="1101">
        <f>CA45</f>
        <v>4428.2700000000004</v>
      </c>
      <c r="CB79" s="1101">
        <f>CB45</f>
        <v>4541.7979999999998</v>
      </c>
      <c r="CC79" s="1101">
        <f>CC45</f>
        <v>4616.3310000000001</v>
      </c>
      <c r="CD79" s="1552">
        <f t="shared" ref="CD79:CN79" si="102">SUM(CD73:CD78)</f>
        <v>4616.3310000000001</v>
      </c>
      <c r="CE79" s="1101">
        <f>CE45</f>
        <v>4719.9660000000003</v>
      </c>
      <c r="CF79" s="1101">
        <f>CF45</f>
        <v>4836.7860000000001</v>
      </c>
      <c r="CG79" s="1101">
        <f>CG45</f>
        <v>4988.491</v>
      </c>
      <c r="CH79" s="1101">
        <f>CH45</f>
        <v>5082.1949999999997</v>
      </c>
      <c r="CI79" s="1552">
        <f t="shared" si="102"/>
        <v>5082.1949999999988</v>
      </c>
      <c r="CJ79" s="1101">
        <f>CJ45</f>
        <v>5208.5879999999997</v>
      </c>
      <c r="CK79" s="1523">
        <f t="shared" si="102"/>
        <v>5609.6548499999999</v>
      </c>
      <c r="CL79" s="1523">
        <f t="shared" si="102"/>
        <v>5768.91165</v>
      </c>
      <c r="CM79" s="1523">
        <f t="shared" si="102"/>
        <v>5933.8546500000002</v>
      </c>
      <c r="CN79" s="1565">
        <f t="shared" si="102"/>
        <v>5933.8546500000002</v>
      </c>
      <c r="CO79" s="1523">
        <f t="shared" ref="CO79:CX79" si="103">SUM(CO73:CO78)</f>
        <v>6096.6792660000001</v>
      </c>
      <c r="CP79" s="1523">
        <f t="shared" si="103"/>
        <v>6288.7966859999997</v>
      </c>
      <c r="CQ79" s="1523">
        <f t="shared" si="103"/>
        <v>6479.9048459999995</v>
      </c>
      <c r="CR79" s="1523">
        <f t="shared" si="103"/>
        <v>6677.8364459999993</v>
      </c>
      <c r="CS79" s="1565">
        <f t="shared" si="103"/>
        <v>6677.8364460000003</v>
      </c>
      <c r="CT79" s="1523">
        <f t="shared" si="103"/>
        <v>6873.2259851999997</v>
      </c>
      <c r="CU79" s="1523">
        <f t="shared" si="103"/>
        <v>7103.7668892000002</v>
      </c>
      <c r="CV79" s="1523">
        <f t="shared" si="103"/>
        <v>7333.0966812000006</v>
      </c>
      <c r="CW79" s="1523">
        <f t="shared" si="103"/>
        <v>7570.6146012000008</v>
      </c>
      <c r="CX79" s="1565">
        <f t="shared" si="103"/>
        <v>7570.614601199999</v>
      </c>
      <c r="CY79"/>
      <c r="CZ79"/>
      <c r="DA79"/>
      <c r="DB79" s="1105"/>
      <c r="DC79" s="1503"/>
      <c r="DD79" s="1009"/>
      <c r="DE79" s="1503"/>
      <c r="DF79"/>
      <c r="DG79"/>
      <c r="DH79"/>
      <c r="DI79"/>
      <c r="DJ79"/>
      <c r="DK79"/>
    </row>
    <row r="80" spans="1:115" ht="12" hidden="1" customHeight="1" outlineLevel="1">
      <c r="A80" s="760"/>
      <c r="B80" s="760"/>
      <c r="C80" s="1108"/>
      <c r="D80" s="1108"/>
      <c r="E80" s="1108"/>
      <c r="F80" s="1108"/>
      <c r="G80" s="1109"/>
      <c r="H80" s="1108"/>
      <c r="I80" s="1108"/>
      <c r="J80" s="1108"/>
      <c r="K80" s="1108"/>
      <c r="L80" s="1109"/>
      <c r="M80" s="1108"/>
      <c r="N80" s="1108"/>
      <c r="O80" s="1108"/>
      <c r="P80" s="1108"/>
      <c r="Q80" s="1109"/>
      <c r="R80" s="1110"/>
      <c r="S80" s="1110"/>
      <c r="T80" s="1110"/>
      <c r="U80" s="1110"/>
      <c r="V80" s="1109"/>
      <c r="W80" s="1110"/>
      <c r="X80" s="1110"/>
      <c r="Y80" s="1110"/>
      <c r="Z80" s="1109"/>
      <c r="AA80" s="1111"/>
      <c r="AB80" s="1111"/>
      <c r="AC80" s="1111"/>
      <c r="AD80" s="1111"/>
      <c r="AE80" s="1111"/>
      <c r="AF80" s="1111"/>
      <c r="AG80" s="1111"/>
      <c r="AH80" s="1111"/>
      <c r="AI80" s="1111"/>
      <c r="AJ80" s="1111"/>
      <c r="AK80" s="1111"/>
      <c r="AL80" s="1111"/>
      <c r="AM80" s="1111"/>
      <c r="AN80" s="1111"/>
      <c r="AO80" s="1111"/>
      <c r="AP80" s="1111"/>
      <c r="AQ80" s="1111"/>
      <c r="AR80" s="1111"/>
      <c r="AS80" s="1103"/>
      <c r="AT80" s="1103"/>
      <c r="AU80" s="1112"/>
      <c r="AV80" s="1111"/>
      <c r="AW80" s="1111"/>
      <c r="AX80" s="1111"/>
      <c r="AY80" s="1103"/>
      <c r="AZ80" s="1112"/>
      <c r="BA80" s="1111"/>
      <c r="BB80" s="1111"/>
      <c r="BC80" s="1322"/>
      <c r="BD80" s="1103"/>
      <c r="BE80" s="1112"/>
      <c r="BF80" s="1111"/>
      <c r="BG80" s="1111"/>
      <c r="BH80" s="1111"/>
      <c r="BI80" s="1103"/>
      <c r="BJ80" s="1551"/>
      <c r="BK80" s="1111"/>
      <c r="BL80" s="1111"/>
      <c r="BM80" s="1111"/>
      <c r="BN80" s="1111"/>
      <c r="BO80" s="1551"/>
      <c r="BP80" s="1111"/>
      <c r="BQ80" s="1103"/>
      <c r="BR80" s="1111"/>
      <c r="BS80" s="1111"/>
      <c r="BT80" s="1551"/>
      <c r="BU80" s="1111"/>
      <c r="BV80" s="1322"/>
      <c r="BW80" s="1111"/>
      <c r="BX80" s="1111"/>
      <c r="BY80" s="1551"/>
      <c r="BZ80" s="1111"/>
      <c r="CA80" s="1322"/>
      <c r="CB80" s="1322"/>
      <c r="CC80" s="1322"/>
      <c r="CD80" s="1551"/>
      <c r="CE80" s="1111"/>
      <c r="CF80" s="1103"/>
      <c r="CG80" s="1103"/>
      <c r="CH80" s="1103"/>
      <c r="CI80" s="1551"/>
      <c r="CJ80" s="1103"/>
      <c r="CK80" s="1103"/>
      <c r="CL80" s="1103"/>
      <c r="CM80" s="1103"/>
      <c r="CN80" s="1563"/>
      <c r="CO80" s="1103"/>
      <c r="CP80" s="1103"/>
      <c r="CQ80" s="1103"/>
      <c r="CR80" s="1103"/>
      <c r="CS80" s="1563"/>
      <c r="CT80" s="1103"/>
      <c r="CU80" s="1103"/>
      <c r="CV80" s="1103"/>
      <c r="CW80" s="1103"/>
      <c r="CX80" s="1563"/>
      <c r="DB80" s="1105"/>
      <c r="DC80" s="760"/>
      <c r="DD80" s="1009"/>
      <c r="DE80" s="760"/>
    </row>
    <row r="81" spans="1:115" s="47" customFormat="1" ht="12" hidden="1" customHeight="1" outlineLevel="1">
      <c r="A81" s="1503" t="s">
        <v>122</v>
      </c>
      <c r="B81" s="1503"/>
      <c r="C81" s="1108"/>
      <c r="D81" s="1108"/>
      <c r="E81" s="1108"/>
      <c r="F81" s="1108"/>
      <c r="G81" s="1522"/>
      <c r="H81" s="1108"/>
      <c r="I81" s="1108"/>
      <c r="J81" s="1108"/>
      <c r="K81" s="1108"/>
      <c r="L81" s="1522"/>
      <c r="M81" s="1101">
        <f>K85</f>
        <v>0</v>
      </c>
      <c r="N81" s="1101">
        <f>M85</f>
        <v>-1643.8789999999999</v>
      </c>
      <c r="O81" s="1101">
        <f>N85</f>
        <v>-1626.575</v>
      </c>
      <c r="P81" s="1101">
        <f>O85</f>
        <v>-1650.0329999999999</v>
      </c>
      <c r="Q81" s="1101">
        <f>O85</f>
        <v>-1650.0329999999999</v>
      </c>
      <c r="R81" s="1101">
        <f>P85</f>
        <v>-1602.3009999999999</v>
      </c>
      <c r="S81" s="1101">
        <f>R85</f>
        <v>-1639.9490000000001</v>
      </c>
      <c r="T81" s="1101">
        <f>S85</f>
        <v>-1742.9659999999999</v>
      </c>
      <c r="U81" s="1101">
        <f>T85</f>
        <v>-1938.046</v>
      </c>
      <c r="V81" s="1101">
        <f>R81</f>
        <v>-1602.3009999999999</v>
      </c>
      <c r="W81" s="1101">
        <f>U85</f>
        <v>-2007.26</v>
      </c>
      <c r="X81" s="1101">
        <f>W85</f>
        <v>-2018.3720000000001</v>
      </c>
      <c r="Y81" s="1101">
        <f>X85</f>
        <v>-1962.3309999999999</v>
      </c>
      <c r="Z81" s="1101">
        <f>Y85</f>
        <v>-1919.8579999999999</v>
      </c>
      <c r="AA81" s="1101">
        <f>W81</f>
        <v>-2007.26</v>
      </c>
      <c r="AB81" s="1101">
        <f>Z85</f>
        <v>-2324.0720000000001</v>
      </c>
      <c r="AC81" s="1101">
        <f>AB85</f>
        <v>-299.58499999999998</v>
      </c>
      <c r="AD81" s="1101">
        <f>AC85</f>
        <v>-713.34699999999998</v>
      </c>
      <c r="AE81" s="1101">
        <f>AD85</f>
        <v>-686.82399999999996</v>
      </c>
      <c r="AF81" s="1101">
        <f>AB81</f>
        <v>-2324.0720000000001</v>
      </c>
      <c r="AG81" s="1101">
        <f>AE85</f>
        <v>-623.92399999999998</v>
      </c>
      <c r="AH81" s="1101">
        <f>AG85</f>
        <v>-789.97699999999998</v>
      </c>
      <c r="AI81" s="1101">
        <f>AH85</f>
        <v>-887.88499999999999</v>
      </c>
      <c r="AJ81" s="1101">
        <f>AI85</f>
        <v>-1532.634</v>
      </c>
      <c r="AK81" s="1101">
        <f>AG81</f>
        <v>-623.92399999999998</v>
      </c>
      <c r="AL81" s="1101">
        <f>AJ85</f>
        <v>-1760.588</v>
      </c>
      <c r="AM81" s="1101">
        <f>AL85</f>
        <v>-2790.6779999999999</v>
      </c>
      <c r="AN81" s="1101">
        <f>AM85</f>
        <v>-2764.6390000000001</v>
      </c>
      <c r="AO81" s="1101">
        <f>AN85</f>
        <v>-2689.2359999999999</v>
      </c>
      <c r="AP81" s="1101">
        <f>AL81</f>
        <v>-1760.588</v>
      </c>
      <c r="AQ81" s="1101">
        <f>AO85</f>
        <v>-2957.154</v>
      </c>
      <c r="AR81" s="1101">
        <f>AQ85</f>
        <v>-2836.2190000000001</v>
      </c>
      <c r="AS81" s="1101">
        <f>AR85</f>
        <v>-2783.4650000000001</v>
      </c>
      <c r="AT81" s="1104">
        <f>AS85</f>
        <v>-2962.53</v>
      </c>
      <c r="AU81" s="1104">
        <f>AP85</f>
        <v>-2957.154</v>
      </c>
      <c r="AV81" s="1101">
        <f>AT85</f>
        <v>-2823.9140000000002</v>
      </c>
      <c r="AW81" s="1101">
        <f>AV85</f>
        <v>-2624.7829999999999</v>
      </c>
      <c r="AX81" s="1101">
        <f>AW85</f>
        <v>-2807.6</v>
      </c>
      <c r="AY81" s="1101">
        <f>AX85</f>
        <v>-3100.721</v>
      </c>
      <c r="AZ81" s="1104">
        <f>AU85</f>
        <v>-2823.9140000000002</v>
      </c>
      <c r="BA81" s="1101">
        <f>AY85</f>
        <v>-3264.2939999999999</v>
      </c>
      <c r="BB81" s="1101">
        <f>BA85</f>
        <v>-3178.7689999999998</v>
      </c>
      <c r="BC81" s="1101">
        <f>BB85</f>
        <v>-3505.5590000000002</v>
      </c>
      <c r="BD81" s="1101">
        <f>BC85</f>
        <v>-3557.2339999999999</v>
      </c>
      <c r="BE81" s="1104">
        <f>AZ85</f>
        <v>-3264.2939999999999</v>
      </c>
      <c r="BF81" s="1101">
        <f>BD85</f>
        <v>-3529.529</v>
      </c>
      <c r="BG81" s="1101">
        <f>BF85</f>
        <v>-3379.2890000000002</v>
      </c>
      <c r="BH81" s="1101">
        <f>BG85</f>
        <v>-3479.2130000000002</v>
      </c>
      <c r="BI81" s="1101">
        <f>BH85</f>
        <v>-3361.0529999999999</v>
      </c>
      <c r="BJ81" s="1552">
        <f>BE85</f>
        <v>-3529.529</v>
      </c>
      <c r="BK81" s="1101">
        <f>BI85</f>
        <v>-3407.259</v>
      </c>
      <c r="BL81" s="1101">
        <f>BK85</f>
        <v>-3159.7930000000001</v>
      </c>
      <c r="BM81" s="1101">
        <f>BL85</f>
        <v>-3145.5659999999998</v>
      </c>
      <c r="BN81" s="1101">
        <f>BM85</f>
        <v>-3322.654</v>
      </c>
      <c r="BO81" s="1552">
        <f>BJ85</f>
        <v>-3407.259</v>
      </c>
      <c r="BP81" s="1101">
        <f>BN85</f>
        <v>-3643.19</v>
      </c>
      <c r="BQ81" s="1101">
        <f>BP85</f>
        <v>-3655.6570000000002</v>
      </c>
      <c r="BR81" s="1101">
        <f>BQ85</f>
        <v>-3778.6010000000001</v>
      </c>
      <c r="BS81" s="1101">
        <f>BR85</f>
        <v>-3815.2869999999998</v>
      </c>
      <c r="BT81" s="1552">
        <f>BO85</f>
        <v>-3643.19</v>
      </c>
      <c r="BU81" s="1101">
        <f>BS85</f>
        <v>-3918.8510000000001</v>
      </c>
      <c r="BV81" s="1101">
        <f>BU85</f>
        <v>-3961.8719999999998</v>
      </c>
      <c r="BW81" s="1101">
        <f>BV85</f>
        <v>-4134.5810000000001</v>
      </c>
      <c r="BX81" s="1101">
        <f>BW85</f>
        <v>-4161.66</v>
      </c>
      <c r="BY81" s="1552">
        <f>BT85</f>
        <v>-3918.8510000000001</v>
      </c>
      <c r="BZ81" s="1101">
        <f>BX85</f>
        <v>-4267.7150000000001</v>
      </c>
      <c r="CA81" s="1101">
        <f>BZ85</f>
        <v>-4280.7489999999998</v>
      </c>
      <c r="CB81" s="1101">
        <f>CA85</f>
        <v>-4490.7879999999996</v>
      </c>
      <c r="CC81" s="1101">
        <f>CB85</f>
        <v>-4844.7060000000001</v>
      </c>
      <c r="CD81" s="1552">
        <f>BY85</f>
        <v>-4267.7150000000001</v>
      </c>
      <c r="CE81" s="1101">
        <f>CC85</f>
        <v>-5132.4719999999998</v>
      </c>
      <c r="CF81" s="1101">
        <f>CE85</f>
        <v>-5245.29</v>
      </c>
      <c r="CG81" s="1101">
        <f>CF85</f>
        <v>-5538.8490000000002</v>
      </c>
      <c r="CH81" s="1101">
        <f>CG85</f>
        <v>-5791.8090000000002</v>
      </c>
      <c r="CI81" s="1552">
        <f>CD85</f>
        <v>-5132.4719999999998</v>
      </c>
      <c r="CJ81" s="1101">
        <f>CH85</f>
        <v>-6084.4359999999997</v>
      </c>
      <c r="CK81" s="1104">
        <f>CJ85</f>
        <v>-6295.0810000000001</v>
      </c>
      <c r="CL81" s="1104">
        <f>CK85</f>
        <v>-6593.4687871017632</v>
      </c>
      <c r="CM81" s="1104">
        <f>CL85</f>
        <v>-6903.9512445701957</v>
      </c>
      <c r="CN81" s="1565">
        <f>CI85</f>
        <v>-6084.4359999999997</v>
      </c>
      <c r="CO81" s="1523">
        <f>CM85</f>
        <v>-7226.9483266555226</v>
      </c>
      <c r="CP81" s="1104">
        <f>CO85</f>
        <v>-7562.894571911077</v>
      </c>
      <c r="CQ81" s="1104">
        <f>CP85</f>
        <v>-7912.2396097686351</v>
      </c>
      <c r="CR81" s="1104">
        <f>CQ85</f>
        <v>-8275.4486847122789</v>
      </c>
      <c r="CS81" s="1565">
        <f>CN85</f>
        <v>-7226.9483266555226</v>
      </c>
      <c r="CT81" s="1523">
        <f>CR85</f>
        <v>-8653.0031986622853</v>
      </c>
      <c r="CU81" s="1104">
        <f>CT85</f>
        <v>-9045.4012722016505</v>
      </c>
      <c r="CV81" s="1104">
        <f>CU85</f>
        <v>-9453.1583253001481</v>
      </c>
      <c r="CW81" s="1104">
        <f>CV85</f>
        <v>-9876.8076782131866</v>
      </c>
      <c r="CX81" s="1565">
        <f>CS85</f>
        <v>-8653.0031986622853</v>
      </c>
      <c r="CY81"/>
      <c r="CZ81"/>
      <c r="DA81"/>
      <c r="DB81" s="1105"/>
      <c r="DC81" s="1503"/>
      <c r="DD81" s="1009"/>
      <c r="DE81" s="1503"/>
      <c r="DF81"/>
      <c r="DG81"/>
      <c r="DH81"/>
      <c r="DI81"/>
      <c r="DJ81"/>
      <c r="DK81"/>
    </row>
    <row r="82" spans="1:115" s="47" customFormat="1" ht="12" hidden="1" customHeight="1" outlineLevel="1">
      <c r="A82" s="1529" t="s">
        <v>124</v>
      </c>
      <c r="B82" s="1503"/>
      <c r="C82" s="1108"/>
      <c r="D82" s="1108"/>
      <c r="E82" s="1108"/>
      <c r="F82" s="1108"/>
      <c r="G82" s="1522"/>
      <c r="H82" s="1108"/>
      <c r="I82" s="1108"/>
      <c r="J82" s="1108"/>
      <c r="K82" s="1108"/>
      <c r="L82" s="1522"/>
      <c r="M82" s="1101">
        <f>CF!M97-BS!M74</f>
        <v>0</v>
      </c>
      <c r="N82" s="1101">
        <f>CF!N97-BS!N74</f>
        <v>0</v>
      </c>
      <c r="O82" s="1101">
        <f>CF!O97-BS!O74</f>
        <v>0</v>
      </c>
      <c r="P82" s="1101">
        <f>CF!P97-BS!P74</f>
        <v>0</v>
      </c>
      <c r="Q82" s="1101">
        <f>CF!Q97-BS!Q74</f>
        <v>0</v>
      </c>
      <c r="R82" s="1101">
        <f>CF!R97-BS!R74</f>
        <v>0</v>
      </c>
      <c r="S82" s="1101">
        <f>CF!S97-BS!S74</f>
        <v>0</v>
      </c>
      <c r="T82" s="1101">
        <f>CF!T97-BS!T74</f>
        <v>0</v>
      </c>
      <c r="U82" s="1101">
        <f>CF!U97-BS!U74</f>
        <v>0</v>
      </c>
      <c r="V82" s="1101">
        <f>SUM(R82:U82)</f>
        <v>0</v>
      </c>
      <c r="W82" s="1101">
        <f>CF!W97-BS!W74</f>
        <v>0</v>
      </c>
      <c r="X82" s="1101">
        <f>CF!X97-BS!X74</f>
        <v>0</v>
      </c>
      <c r="Y82" s="1101">
        <f>CF!Y97-BS!Y74</f>
        <v>0</v>
      </c>
      <c r="Z82" s="1101">
        <f>CF!Z97-BS!Z74</f>
        <v>0</v>
      </c>
      <c r="AA82" s="1101">
        <f>SUM(W82:Z82)</f>
        <v>0</v>
      </c>
      <c r="AB82" s="1101">
        <f>CF!AB97-BS!AB74</f>
        <v>0</v>
      </c>
      <c r="AC82" s="1101">
        <f>CF!AC97-BS!AC74</f>
        <v>0</v>
      </c>
      <c r="AD82" s="1101">
        <f>CF!AD97-BS!AD74</f>
        <v>0</v>
      </c>
      <c r="AE82" s="1101">
        <f>CF!AE97-BS!AE74</f>
        <v>385.61799999999999</v>
      </c>
      <c r="AF82" s="1101">
        <f>SUM(AB82:AE82)</f>
        <v>385.61799999999999</v>
      </c>
      <c r="AG82" s="1101">
        <f>CF!AG97-BS!AG74</f>
        <v>75</v>
      </c>
      <c r="AH82" s="1101">
        <f>CF!AH97-BS!AH74</f>
        <v>75</v>
      </c>
      <c r="AI82" s="1101">
        <f>CF!AI97-BS!AI74</f>
        <v>75</v>
      </c>
      <c r="AJ82" s="1101">
        <f>CF!AJ97-BS!AJ74</f>
        <v>73.77600000000001</v>
      </c>
      <c r="AK82" s="1101">
        <f>SUM(AG82:AJ82)</f>
        <v>298.77600000000001</v>
      </c>
      <c r="AL82" s="1101">
        <f>CF!AL97-BS!AL74</f>
        <v>119.91</v>
      </c>
      <c r="AM82" s="1101">
        <f>CF!AM97-BS!AM74</f>
        <v>176.15699999999998</v>
      </c>
      <c r="AN82" s="1101">
        <f>CF!AN97-BS!AN74</f>
        <v>197.98699999999997</v>
      </c>
      <c r="AO82" s="1101">
        <f>CF!AO97-BS!AO74</f>
        <v>32.09500000000007</v>
      </c>
      <c r="AP82" s="1101">
        <f>SUM(AL82:AO82)</f>
        <v>526.149</v>
      </c>
      <c r="AQ82" s="1101">
        <f>CF!AQ97-BS!AQ74</f>
        <v>121.404</v>
      </c>
      <c r="AR82" s="1101">
        <f>CF!AR97-BS!AR74</f>
        <v>52.715000000000003</v>
      </c>
      <c r="AS82" s="1101">
        <f>CF!AS97-BS!AS74</f>
        <v>170.9</v>
      </c>
      <c r="AT82" s="1101">
        <f>CF!AT97-BS!AT74</f>
        <v>138.23499999999999</v>
      </c>
      <c r="AU82" s="1104">
        <f>SUM(AQ82:AT82)</f>
        <v>483.25400000000002</v>
      </c>
      <c r="AV82" s="1101">
        <f>CF!AV97-BS!AV74</f>
        <v>49.823999999999998</v>
      </c>
      <c r="AW82" s="1101">
        <f>CF!AW97-BS!AW74</f>
        <v>34.236000000000004</v>
      </c>
      <c r="AX82" s="1101">
        <f>CF!AX97-BS!AX74</f>
        <v>45.579999999999984</v>
      </c>
      <c r="AY82" s="1101">
        <f>CF!AY97-BS!AY74</f>
        <v>0</v>
      </c>
      <c r="AZ82" s="1104">
        <f>SUM(AV82:AY82)</f>
        <v>129.63999999999999</v>
      </c>
      <c r="BA82" s="1101">
        <f>CF!BA97-BS!BA74</f>
        <v>40.651000000000003</v>
      </c>
      <c r="BB82" s="1101">
        <f>CF!BB97-BS!BB74</f>
        <v>46.732000000000006</v>
      </c>
      <c r="BC82" s="1101">
        <f>CF!BC97-BS!BC74</f>
        <v>56.180000000000007</v>
      </c>
      <c r="BD82" s="1101">
        <f>CF!BD97-BS!BD74</f>
        <v>1.1910000000000025</v>
      </c>
      <c r="BE82" s="1104">
        <f>SUM(BA82:BD82)</f>
        <v>144.75400000000002</v>
      </c>
      <c r="BF82" s="1101">
        <f>CF!BF97-BS!BF74</f>
        <v>13.366</v>
      </c>
      <c r="BG82" s="1101">
        <f>CF!BG97-BS!BG74</f>
        <v>0</v>
      </c>
      <c r="BH82" s="1101">
        <f>CF!BH97-BS!BH74</f>
        <v>0</v>
      </c>
      <c r="BI82" s="1101">
        <f>CF!BI97-BS!BI74</f>
        <v>19.088999999999999</v>
      </c>
      <c r="BJ82" s="1552">
        <f>SUM(BF82:BI82)</f>
        <v>32.454999999999998</v>
      </c>
      <c r="BK82" s="1101">
        <f>CF!BK97-BS!BK74</f>
        <v>88.566000000000003</v>
      </c>
      <c r="BL82" s="1101">
        <f>CF!BL97-BS!BL74</f>
        <v>184.655</v>
      </c>
      <c r="BM82" s="1101">
        <f>CF!BM97-BS!BM74</f>
        <v>162.66300000000001</v>
      </c>
      <c r="BN82" s="1101">
        <f>CF!BN97-BS!BN74</f>
        <v>0</v>
      </c>
      <c r="BO82" s="1552">
        <f>SUM(BK82:BN82)</f>
        <v>435.88400000000001</v>
      </c>
      <c r="BP82" s="1101">
        <f>CF!BP97-BS!BP74</f>
        <v>-53.776000000000003</v>
      </c>
      <c r="BQ82" s="1101">
        <f>CF!BQ97-BS!BQ74</f>
        <v>12.824000000000005</v>
      </c>
      <c r="BR82" s="1101">
        <f>CF!BR97-BS!BR74</f>
        <v>91.5</v>
      </c>
      <c r="BS82" s="1101">
        <f>CF!BS97-BS!BS74</f>
        <v>3.617999999999995</v>
      </c>
      <c r="BT82" s="1552">
        <f>SUM(BP82:BS82)</f>
        <v>54.165999999999997</v>
      </c>
      <c r="BU82" s="1101">
        <f>CF!BU97-BS!BU74</f>
        <v>-93.697000000000003</v>
      </c>
      <c r="BV82" s="1101">
        <f>CF!BV97-BS!BV74</f>
        <v>2.9110000000000014</v>
      </c>
      <c r="BW82" s="1101">
        <f>CF!BW97-BS!BW74</f>
        <v>68.640999999999991</v>
      </c>
      <c r="BX82" s="1101">
        <f>CF!BX97-BS!BX74</f>
        <v>4.2000000000030013E-2</v>
      </c>
      <c r="BY82" s="1552">
        <f>SUM(BU82:BX82)</f>
        <v>-22.10299999999998</v>
      </c>
      <c r="BZ82" s="1101">
        <f>CF!BZ97-BS!BZ74</f>
        <v>0</v>
      </c>
      <c r="CA82" s="1101">
        <f>CF!CA97-BS!CA74</f>
        <v>0</v>
      </c>
      <c r="CB82" s="1101">
        <f>CF!CB97-BS!CB74</f>
        <v>0</v>
      </c>
      <c r="CC82" s="1101">
        <f>CF!CC97-BS!CC74</f>
        <v>0</v>
      </c>
      <c r="CD82" s="1552">
        <f>SUM(BZ82:CC82)</f>
        <v>0</v>
      </c>
      <c r="CE82" s="1101">
        <f>CF!CE97-BS!CE74</f>
        <v>0</v>
      </c>
      <c r="CF82" s="1101">
        <f>CF!CF97-BS!CF74</f>
        <v>0</v>
      </c>
      <c r="CG82" s="1101">
        <f>CF!CG97-BS!CG74</f>
        <v>0</v>
      </c>
      <c r="CH82" s="1101">
        <f>CF!CH97-BS!CH74</f>
        <v>0</v>
      </c>
      <c r="CI82" s="1552">
        <f>SUM(CE82:CH82)</f>
        <v>0</v>
      </c>
      <c r="CJ82" s="1101">
        <f>CF!CJ97-BS!CJ74</f>
        <v>0</v>
      </c>
      <c r="CK82" s="1107">
        <v>50</v>
      </c>
      <c r="CL82" s="1107">
        <v>50</v>
      </c>
      <c r="CM82" s="1107">
        <v>50</v>
      </c>
      <c r="CN82" s="1565">
        <f>SUM(CJ82:CM82)</f>
        <v>150</v>
      </c>
      <c r="CO82" s="1107">
        <v>50</v>
      </c>
      <c r="CP82" s="1107">
        <v>50</v>
      </c>
      <c r="CQ82" s="1107">
        <v>50</v>
      </c>
      <c r="CR82" s="1107">
        <v>50</v>
      </c>
      <c r="CS82" s="1565">
        <f>SUM(CO82:CR82)</f>
        <v>200</v>
      </c>
      <c r="CT82" s="1107">
        <v>50</v>
      </c>
      <c r="CU82" s="1107">
        <v>50</v>
      </c>
      <c r="CV82" s="1107">
        <v>50</v>
      </c>
      <c r="CW82" s="1107">
        <v>50</v>
      </c>
      <c r="CX82" s="1565">
        <f>SUM(CT82:CW82)</f>
        <v>200</v>
      </c>
      <c r="CY82"/>
      <c r="CZ82"/>
      <c r="DA82"/>
      <c r="DB82" s="1105"/>
      <c r="DC82" s="1503"/>
      <c r="DD82" s="1617"/>
      <c r="DE82" s="1503"/>
      <c r="DF82"/>
      <c r="DG82"/>
      <c r="DH82"/>
      <c r="DI82"/>
      <c r="DJ82"/>
      <c r="DK82"/>
    </row>
    <row r="83" spans="1:115" s="47" customFormat="1" ht="12" hidden="1" customHeight="1" outlineLevel="1">
      <c r="A83" s="1529" t="s">
        <v>125</v>
      </c>
      <c r="B83" s="1503"/>
      <c r="C83" s="1108"/>
      <c r="D83" s="1108"/>
      <c r="E83" s="1108"/>
      <c r="F83" s="1108"/>
      <c r="G83" s="1522"/>
      <c r="H83" s="1108"/>
      <c r="I83" s="1108"/>
      <c r="J83" s="1108"/>
      <c r="K83" s="1108"/>
      <c r="L83" s="1522"/>
      <c r="M83" s="1101">
        <f>CF!M100</f>
        <v>-31.478000000000002</v>
      </c>
      <c r="N83" s="1101">
        <f>CF!N100</f>
        <v>36.088000000000001</v>
      </c>
      <c r="O83" s="1101">
        <f>CF!O100</f>
        <v>-8.0470000000000113</v>
      </c>
      <c r="P83" s="1101">
        <f>CF!P100</f>
        <v>3.4370000000000118</v>
      </c>
      <c r="Q83" s="1101">
        <f>CF!Q100</f>
        <v>0</v>
      </c>
      <c r="R83" s="1101">
        <f>CF!R100</f>
        <v>-15.250999999999998</v>
      </c>
      <c r="S83" s="1101">
        <f>CF!S100</f>
        <v>-65.019000000000005</v>
      </c>
      <c r="T83" s="1101">
        <f>CF!T100</f>
        <v>-153.43599999999998</v>
      </c>
      <c r="U83" s="1101">
        <f>CF!U100</f>
        <v>21.129999999999967</v>
      </c>
      <c r="V83" s="1101">
        <f>SUM(R83:U83)</f>
        <v>-212.57600000000002</v>
      </c>
      <c r="W83" s="1101">
        <f>CF!W100</f>
        <v>25.899000000000001</v>
      </c>
      <c r="X83" s="1101">
        <f>CF!X100</f>
        <v>71.375999999999991</v>
      </c>
      <c r="Y83" s="1101">
        <f>CF!Y100</f>
        <v>52.297999999999988</v>
      </c>
      <c r="Z83" s="1101">
        <f>CF!Z100</f>
        <v>-393.125</v>
      </c>
      <c r="AA83" s="1101">
        <f>SUM(W83:Z83)</f>
        <v>-243.55200000000002</v>
      </c>
      <c r="AB83" s="1101">
        <f>CF!AB100</f>
        <v>-270.10400000000004</v>
      </c>
      <c r="AC83" s="1101">
        <f>CF!AC100</f>
        <v>-497.86</v>
      </c>
      <c r="AD83" s="1101">
        <f>CF!AD100</f>
        <v>-35.29099999999994</v>
      </c>
      <c r="AE83" s="1101">
        <f>CF!AE100</f>
        <v>-51.650999999999954</v>
      </c>
      <c r="AF83" s="1101">
        <f>SUM(AB83:AE83)</f>
        <v>-854.90599999999995</v>
      </c>
      <c r="AG83" s="1101">
        <f>CF!AG100</f>
        <v>-207.435</v>
      </c>
      <c r="AH83" s="1101">
        <f>CF!AH100</f>
        <v>-162.21300000000002</v>
      </c>
      <c r="AI83" s="1101">
        <f>CF!AI100</f>
        <v>-727.22500000000002</v>
      </c>
      <c r="AJ83" s="1101">
        <f>CF!AJ100</f>
        <v>-338.37799999999993</v>
      </c>
      <c r="AK83" s="1101">
        <f>SUM(AG83:AJ83)</f>
        <v>-1435.251</v>
      </c>
      <c r="AL83" s="1101">
        <f>CF!AL100</f>
        <v>-1150.0219999999999</v>
      </c>
      <c r="AM83" s="1101">
        <f>CF!AM100</f>
        <v>-150.16100000000006</v>
      </c>
      <c r="AN83" s="1101">
        <f>CF!AN100</f>
        <v>-122.55199999999991</v>
      </c>
      <c r="AO83" s="1101">
        <f>CF!AO100</f>
        <v>-299.98</v>
      </c>
      <c r="AP83" s="1101">
        <f>SUM(AL83:AO83)</f>
        <v>-1722.7149999999999</v>
      </c>
      <c r="AQ83" s="1101">
        <f>CF!AQ100</f>
        <v>-1.2999999999999999E-2</v>
      </c>
      <c r="AR83" s="1101">
        <f>CF!AR100</f>
        <v>0</v>
      </c>
      <c r="AS83" s="1101">
        <f>CF!AS100</f>
        <v>-350</v>
      </c>
      <c r="AT83" s="1101">
        <f>CF!AT100</f>
        <v>0</v>
      </c>
      <c r="AU83" s="1104">
        <f>SUM(AQ83:AT83)</f>
        <v>-350.01299999999998</v>
      </c>
      <c r="AV83" s="1101">
        <f>CF!AV100</f>
        <v>-0.02</v>
      </c>
      <c r="AW83" s="1101">
        <f>CF!AW100</f>
        <v>-250</v>
      </c>
      <c r="AX83" s="1101">
        <f>CF!AX100</f>
        <v>-400</v>
      </c>
      <c r="AY83" s="1101">
        <f>CF!AY100</f>
        <v>-190.37199999999996</v>
      </c>
      <c r="AZ83" s="1104">
        <f>SUM(AV83:AY83)</f>
        <v>-840.39199999999994</v>
      </c>
      <c r="BA83" s="1101">
        <f>CF!BA100</f>
        <v>-125</v>
      </c>
      <c r="BB83" s="1101">
        <f>CF!BB100</f>
        <v>-420.01499999999999</v>
      </c>
      <c r="BC83" s="1101">
        <f>CF!BC100</f>
        <v>-150</v>
      </c>
      <c r="BD83" s="1101">
        <f>CF!BD100</f>
        <v>0</v>
      </c>
      <c r="BE83" s="1104">
        <f>SUM(BA83:BD83)</f>
        <v>-695.01499999999999</v>
      </c>
      <c r="BF83" s="1101">
        <f>CF!BF100</f>
        <v>-80</v>
      </c>
      <c r="BG83" s="1101">
        <f>CF!BG100</f>
        <v>-149.12900000000002</v>
      </c>
      <c r="BH83" s="1101">
        <f>CF!BH100</f>
        <v>60.948000000000008</v>
      </c>
      <c r="BI83" s="1101">
        <f>CF!BI100</f>
        <v>-100.00000000000003</v>
      </c>
      <c r="BJ83" s="1552">
        <f>SUM(BF83:BI83)</f>
        <v>-268.18100000000004</v>
      </c>
      <c r="BK83" s="1101">
        <f>CF!BK100</f>
        <v>-100</v>
      </c>
      <c r="BL83" s="1101">
        <f>CF!BL100</f>
        <v>-200</v>
      </c>
      <c r="BM83" s="1101">
        <f>CF!BM100</f>
        <v>-400</v>
      </c>
      <c r="BN83" s="1101">
        <f>CF!BN100</f>
        <v>-335.10799999999995</v>
      </c>
      <c r="BO83" s="1552">
        <f>SUM(BK83:BN83)</f>
        <v>-1035.1079999999999</v>
      </c>
      <c r="BP83" s="1101">
        <f>CF!BP100</f>
        <v>-200</v>
      </c>
      <c r="BQ83" s="1101">
        <f>CF!BQ100</f>
        <v>-150</v>
      </c>
      <c r="BR83" s="1101">
        <f>CF!BR100</f>
        <v>-125</v>
      </c>
      <c r="BS83" s="1101">
        <f>CF!BS100</f>
        <v>-125</v>
      </c>
      <c r="BT83" s="1552">
        <f>SUM(BP83:BS83)</f>
        <v>-600</v>
      </c>
      <c r="BU83" s="1101">
        <f>CF!BU100</f>
        <v>-200</v>
      </c>
      <c r="BV83" s="1101">
        <f>CF!BV100</f>
        <v>-200</v>
      </c>
      <c r="BW83" s="1101">
        <f>CF!BW100</f>
        <v>-100</v>
      </c>
      <c r="BX83" s="1101">
        <f>CF!BX100</f>
        <v>-125</v>
      </c>
      <c r="BY83" s="1552">
        <f>SUM(BU83:BX83)</f>
        <v>-625</v>
      </c>
      <c r="BZ83" s="1101">
        <f>CF!BZ100</f>
        <v>-299.25099999999998</v>
      </c>
      <c r="CA83" s="1101">
        <f>CF!CA100</f>
        <v>-231.29700000000003</v>
      </c>
      <c r="CB83" s="1101">
        <f>CF!CB100</f>
        <v>-328.87200000000007</v>
      </c>
      <c r="CC83" s="1101">
        <f>-CC70</f>
        <v>-331</v>
      </c>
      <c r="CD83" s="1552">
        <f>SUM(BZ83:CC83)</f>
        <v>-1190.42</v>
      </c>
      <c r="CE83" s="1101">
        <f>CF!CE100</f>
        <v>-331.22699999999998</v>
      </c>
      <c r="CF83" s="1101">
        <f>CF!CF100</f>
        <v>-313.78800000000001</v>
      </c>
      <c r="CG83" s="1101">
        <f>CF!CG100</f>
        <v>2.6970000000000027</v>
      </c>
      <c r="CH83" s="1101">
        <f>CF!CH100</f>
        <v>-299.33100000000002</v>
      </c>
      <c r="CI83" s="1552">
        <f>SUM(CE83:CH83)</f>
        <v>-941.649</v>
      </c>
      <c r="CJ83" s="1101">
        <f>CF!CJ100</f>
        <v>-300</v>
      </c>
      <c r="CK83" s="1104">
        <f>-CK70</f>
        <v>-348.38778710176302</v>
      </c>
      <c r="CL83" s="1104">
        <f>-CL70</f>
        <v>-360.48245746843276</v>
      </c>
      <c r="CM83" s="1104">
        <f>-CM70</f>
        <v>-372.9970820853265</v>
      </c>
      <c r="CN83" s="1565">
        <f>SUM(CJ83:CM83)</f>
        <v>-1381.8673266555224</v>
      </c>
      <c r="CO83" s="1104">
        <f>-CO70</f>
        <v>-385.94624525555463</v>
      </c>
      <c r="CP83" s="1104">
        <f>-CP70</f>
        <v>-399.34503785755771</v>
      </c>
      <c r="CQ83" s="1104">
        <f>-CQ70</f>
        <v>-413.20907494364343</v>
      </c>
      <c r="CR83" s="1104">
        <f>-CR70</f>
        <v>-427.5545139500058</v>
      </c>
      <c r="CS83" s="1565">
        <f>SUM(CO83:CR83)</f>
        <v>-1626.0548720067613</v>
      </c>
      <c r="CT83" s="1104">
        <f>-CT70</f>
        <v>-442.39807353936556</v>
      </c>
      <c r="CU83" s="1104">
        <f>-CU70</f>
        <v>-457.75705309849803</v>
      </c>
      <c r="CV83" s="1104">
        <f>-CV70</f>
        <v>-473.6493529130388</v>
      </c>
      <c r="CW83" s="1104">
        <f>-CW70</f>
        <v>-490.09349504349933</v>
      </c>
      <c r="CX83" s="1565">
        <f>SUM(CT83:CW83)</f>
        <v>-1863.8979745944016</v>
      </c>
      <c r="CY83"/>
      <c r="CZ83"/>
      <c r="DA83"/>
      <c r="DB83" s="1105"/>
      <c r="DC83" s="1503"/>
      <c r="DD83" s="1009"/>
      <c r="DE83" s="1503"/>
      <c r="DF83"/>
      <c r="DG83"/>
      <c r="DH83"/>
      <c r="DI83"/>
      <c r="DJ83"/>
      <c r="DK83"/>
    </row>
    <row r="84" spans="1:115" s="47" customFormat="1" ht="12" hidden="1" customHeight="1" outlineLevel="1">
      <c r="A84" s="1581" t="s">
        <v>631</v>
      </c>
      <c r="B84" s="1582"/>
      <c r="C84" s="1583"/>
      <c r="D84" s="1583"/>
      <c r="E84" s="1583"/>
      <c r="F84" s="1583"/>
      <c r="G84" s="1584"/>
      <c r="H84" s="1583"/>
      <c r="I84" s="1583"/>
      <c r="J84" s="1583"/>
      <c r="K84" s="1583"/>
      <c r="L84" s="1584"/>
      <c r="M84" s="1585">
        <f t="shared" ref="M84:U84" si="104">M85-SUM(M81:M83)</f>
        <v>-1612.4009999999998</v>
      </c>
      <c r="N84" s="1585">
        <f t="shared" si="104"/>
        <v>-18.784000000000106</v>
      </c>
      <c r="O84" s="1585">
        <f t="shared" si="104"/>
        <v>-15.410999999999831</v>
      </c>
      <c r="P84" s="1585">
        <f t="shared" si="104"/>
        <v>44.295000000000073</v>
      </c>
      <c r="Q84" s="1585">
        <f t="shared" si="104"/>
        <v>47.731999999999971</v>
      </c>
      <c r="R84" s="1585">
        <f t="shared" si="104"/>
        <v>-22.397000000000162</v>
      </c>
      <c r="S84" s="1585">
        <f t="shared" si="104"/>
        <v>-37.99799999999982</v>
      </c>
      <c r="T84" s="1585">
        <f t="shared" si="104"/>
        <v>-41.644000000000233</v>
      </c>
      <c r="U84" s="1585">
        <f t="shared" si="104"/>
        <v>-90.343999999999824</v>
      </c>
      <c r="V84" s="1585">
        <f>SUM(R84:U84)</f>
        <v>-192.38300000000004</v>
      </c>
      <c r="W84" s="1585">
        <f>W85-SUM(W81:W83)</f>
        <v>-37.011000000000195</v>
      </c>
      <c r="X84" s="1585">
        <f>X85-SUM(X81:X83)</f>
        <v>-15.334999999999809</v>
      </c>
      <c r="Y84" s="1585">
        <f>Y85-SUM(Y81:Y83)</f>
        <v>-9.8250000000000455</v>
      </c>
      <c r="Z84" s="1585">
        <f>Z85-SUM(Z81:Z83)</f>
        <v>-11.088999999999942</v>
      </c>
      <c r="AA84" s="1585">
        <f>SUM(W84:Z84)</f>
        <v>-73.259999999999991</v>
      </c>
      <c r="AB84" s="1585">
        <f>AB85-SUM(AB81:AB83)</f>
        <v>2294.5910000000003</v>
      </c>
      <c r="AC84" s="1585">
        <f>AC85-SUM(AC81:AC83)</f>
        <v>84.097999999999956</v>
      </c>
      <c r="AD84" s="1585">
        <f>AD85-SUM(AD81:AD83)</f>
        <v>61.813999999999965</v>
      </c>
      <c r="AE84" s="1585">
        <f>AE85-SUM(AE81:AE83)</f>
        <v>-271.06700000000006</v>
      </c>
      <c r="AF84" s="1585">
        <f>SUM(AB84:AE84)</f>
        <v>2169.4360000000001</v>
      </c>
      <c r="AG84" s="1585">
        <f>AG85-SUM(AG81:AG83)</f>
        <v>-33.618000000000052</v>
      </c>
      <c r="AH84" s="1585">
        <f>AH85-SUM(AH81:AH83)</f>
        <v>-10.694999999999936</v>
      </c>
      <c r="AI84" s="1585">
        <f>AI85-SUM(AI81:AI83)</f>
        <v>7.4760000000001128</v>
      </c>
      <c r="AJ84" s="1585">
        <f>AJ85-SUM(AJ81:AJ83)</f>
        <v>36.647999999999911</v>
      </c>
      <c r="AK84" s="1585">
        <f>SUM(AG84:AJ84)</f>
        <v>-0.18899999999996453</v>
      </c>
      <c r="AL84" s="1585">
        <f>AL85-SUM(AL81:AL83)</f>
        <v>2.1999999999934516E-2</v>
      </c>
      <c r="AM84" s="1585">
        <f>AM85-SUM(AM81:AM83)</f>
        <v>4.2999999999665306E-2</v>
      </c>
      <c r="AN84" s="1585">
        <f>AN85-SUM(AN81:AN83)</f>
        <v>-3.2000000000152795E-2</v>
      </c>
      <c r="AO84" s="1585">
        <f>AO85-SUM(AO81:AO83)</f>
        <v>-3.3000000000356522E-2</v>
      </c>
      <c r="AP84" s="1585">
        <f>SUM(AL84:AO84)</f>
        <v>-9.0949470177292824E-13</v>
      </c>
      <c r="AQ84" s="1585">
        <f>AQ85-SUM(AQ81:AQ83)</f>
        <v>-0.45600000000013097</v>
      </c>
      <c r="AR84" s="1585">
        <f>AR85-SUM(AR81:AR83)</f>
        <v>3.8999999999759893E-2</v>
      </c>
      <c r="AS84" s="1585">
        <f>AS85-SUM(AS81:AS83)</f>
        <v>3.4999999999854481E-2</v>
      </c>
      <c r="AT84" s="1585">
        <f>AT85-SUM(AT81:AT83)</f>
        <v>0.38099999999985812</v>
      </c>
      <c r="AU84" s="1586">
        <f>SUM(AQ84:AT84)</f>
        <v>-1.0000000006584742E-3</v>
      </c>
      <c r="AV84" s="1585">
        <f>AV85-SUM(AV81:AV83)</f>
        <v>149.32700000000023</v>
      </c>
      <c r="AW84" s="1585">
        <f>AW85-SUM(AW81:AW83)</f>
        <v>32.947000000000116</v>
      </c>
      <c r="AX84" s="1585">
        <f>AX85-SUM(AX81:AX83)</f>
        <v>61.298999999999978</v>
      </c>
      <c r="AY84" s="1585">
        <f>AY85-SUM(AY81:AY83)</f>
        <v>26.798999999999978</v>
      </c>
      <c r="AZ84" s="1586">
        <f>SUM(AV84:AY84)</f>
        <v>270.3720000000003</v>
      </c>
      <c r="BA84" s="1585">
        <f>BA85-SUM(BA81:BA83)</f>
        <v>169.87400000000025</v>
      </c>
      <c r="BB84" s="1585">
        <f>BB85-SUM(BB81:BB83)</f>
        <v>46.492999999999483</v>
      </c>
      <c r="BC84" s="1585">
        <f>BC85-SUM(BC81:BC83)</f>
        <v>42.145000000000437</v>
      </c>
      <c r="BD84" s="1585">
        <f>BD85-SUM(BD81:BD83)</f>
        <v>26.514000000000124</v>
      </c>
      <c r="BE84" s="1586">
        <f>SUM(BA84:BD84)</f>
        <v>285.02600000000029</v>
      </c>
      <c r="BF84" s="1585">
        <f>BF85-SUM(BF81:BF83)</f>
        <v>216.8739999999998</v>
      </c>
      <c r="BG84" s="1585">
        <f>BG85-SUM(BG81:BG83)</f>
        <v>49.204999999999927</v>
      </c>
      <c r="BH84" s="1585">
        <f>BH85-SUM(BH81:BH83)</f>
        <v>57.212000000000444</v>
      </c>
      <c r="BI84" s="1585">
        <f>BI85-SUM(BI81:BI83)</f>
        <v>34.704999999999927</v>
      </c>
      <c r="BJ84" s="1555">
        <f>SUM(BF84:BI84)</f>
        <v>357.99600000000009</v>
      </c>
      <c r="BK84" s="1585">
        <f>BK85-SUM(BK81:BK83)</f>
        <v>258.90000000000009</v>
      </c>
      <c r="BL84" s="1585">
        <f>BL85-SUM(BL81:BL83)</f>
        <v>29.572000000000116</v>
      </c>
      <c r="BM84" s="1585">
        <f>BM85-SUM(BM81:BM83)</f>
        <v>60.248999999999796</v>
      </c>
      <c r="BN84" s="1585">
        <f>BN85-SUM(BN81:BN83)</f>
        <v>14.571999999999662</v>
      </c>
      <c r="BO84" s="1555">
        <f>SUM(BK84:BN84)</f>
        <v>363.29299999999967</v>
      </c>
      <c r="BP84" s="1585">
        <f>BP85-SUM(BP81:BP83)</f>
        <v>241.30899999999974</v>
      </c>
      <c r="BQ84" s="1585">
        <f>BQ85-SUM(BQ81:BQ83)</f>
        <v>14.231999999999971</v>
      </c>
      <c r="BR84" s="1585">
        <f>BR85-SUM(BR81:BR83)</f>
        <v>-3.1859999999996944</v>
      </c>
      <c r="BS84" s="1585">
        <f>BS85-SUM(BS81:BS83)</f>
        <v>17.817999999999756</v>
      </c>
      <c r="BT84" s="1555">
        <f>SUM(BP84:BS84)</f>
        <v>270.17299999999977</v>
      </c>
      <c r="BU84" s="1585">
        <f>BU85-SUM(BU81:BU83)</f>
        <v>250.67600000000084</v>
      </c>
      <c r="BV84" s="1585">
        <f>BV85-SUM(BV81:BV83)</f>
        <v>24.3799999999992</v>
      </c>
      <c r="BW84" s="1585">
        <f>BW85-SUM(BW81:BW83)</f>
        <v>4.2800000000006548</v>
      </c>
      <c r="BX84" s="1585">
        <f>BX85-SUM(BX81:BX83)</f>
        <v>18.902999999999338</v>
      </c>
      <c r="BY84" s="1555">
        <f>SUM(BU84:BX84)</f>
        <v>298.23900000000003</v>
      </c>
      <c r="BZ84" s="1585">
        <f>BZ85-SUM(BZ81:BZ83)</f>
        <v>286.21700000000055</v>
      </c>
      <c r="CA84" s="1585">
        <f>CA85-SUM(CA81:CA83)</f>
        <v>21.25800000000072</v>
      </c>
      <c r="CB84" s="1585">
        <f>CB85-SUM(CB81:CB83)</f>
        <v>-25.046000000000276</v>
      </c>
      <c r="CC84" s="1585">
        <f>CC85-SUM(CC81:CC83)</f>
        <v>43.234000000000378</v>
      </c>
      <c r="CD84" s="1555">
        <f>SUM(BZ84:CC84)</f>
        <v>325.66300000000138</v>
      </c>
      <c r="CE84" s="1585">
        <f>CE85-SUM(CE81:CE83)</f>
        <v>218.40899999999965</v>
      </c>
      <c r="CF84" s="1585">
        <f>CF85-SUM(CF81:CF83)</f>
        <v>20.22899999999936</v>
      </c>
      <c r="CG84" s="1585">
        <f>CG85-SUM(CG81:CG83)</f>
        <v>-255.65700000000015</v>
      </c>
      <c r="CH84" s="1585">
        <f>CH85-SUM(CH81:CH83)</f>
        <v>6.704000000000633</v>
      </c>
      <c r="CI84" s="1555">
        <f>SUM(CE84:CH84)</f>
        <v>-10.315000000000509</v>
      </c>
      <c r="CJ84" s="1585">
        <f>CJ85-SUM(CJ81:CJ83)</f>
        <v>89.354999999999563</v>
      </c>
      <c r="CK84" s="1587"/>
      <c r="CL84" s="1586"/>
      <c r="CM84" s="1586"/>
      <c r="CN84" s="1592">
        <f>SUM(CJ84:CM84)</f>
        <v>89.354999999999563</v>
      </c>
      <c r="CO84" s="1587"/>
      <c r="CP84" s="1587"/>
      <c r="CQ84" s="1586"/>
      <c r="CR84" s="1586"/>
      <c r="CS84" s="1592">
        <f>SUM(CO84:CR84)</f>
        <v>0</v>
      </c>
      <c r="CT84" s="1587"/>
      <c r="CU84" s="1587"/>
      <c r="CV84" s="1586"/>
      <c r="CW84" s="1586"/>
      <c r="CX84" s="1592">
        <f>SUM(CT84:CW84)</f>
        <v>0</v>
      </c>
      <c r="CY84"/>
      <c r="CZ84"/>
      <c r="DA84"/>
      <c r="DB84" s="1105"/>
      <c r="DC84" s="1503"/>
      <c r="DD84" s="1009"/>
      <c r="DE84" s="1503"/>
      <c r="DF84"/>
      <c r="DG84"/>
      <c r="DH84"/>
      <c r="DI84"/>
      <c r="DJ84"/>
      <c r="DK84"/>
    </row>
    <row r="85" spans="1:115" s="47" customFormat="1" ht="12" hidden="1" customHeight="1" outlineLevel="1">
      <c r="A85" s="1503" t="s">
        <v>123</v>
      </c>
      <c r="B85" s="1503"/>
      <c r="C85" s="1108"/>
      <c r="D85" s="1108"/>
      <c r="E85" s="1108"/>
      <c r="F85" s="1108"/>
      <c r="G85" s="1522"/>
      <c r="H85" s="1108"/>
      <c r="I85" s="1108"/>
      <c r="J85" s="1108"/>
      <c r="K85" s="1108"/>
      <c r="L85" s="1522"/>
      <c r="M85" s="1101">
        <f t="shared" ref="M85:U85" si="105">M47</f>
        <v>-1643.8789999999999</v>
      </c>
      <c r="N85" s="1101">
        <f t="shared" si="105"/>
        <v>-1626.575</v>
      </c>
      <c r="O85" s="1101">
        <f t="shared" si="105"/>
        <v>-1650.0329999999999</v>
      </c>
      <c r="P85" s="1101">
        <f t="shared" si="105"/>
        <v>-1602.3009999999999</v>
      </c>
      <c r="Q85" s="1101">
        <f t="shared" si="105"/>
        <v>-1602.3009999999999</v>
      </c>
      <c r="R85" s="1101">
        <f t="shared" si="105"/>
        <v>-1639.9490000000001</v>
      </c>
      <c r="S85" s="1101">
        <f t="shared" si="105"/>
        <v>-1742.9659999999999</v>
      </c>
      <c r="T85" s="1101">
        <f t="shared" si="105"/>
        <v>-1938.046</v>
      </c>
      <c r="U85" s="1101">
        <f t="shared" si="105"/>
        <v>-2007.26</v>
      </c>
      <c r="V85" s="1101">
        <f>U85</f>
        <v>-2007.26</v>
      </c>
      <c r="W85" s="1101">
        <f>W47</f>
        <v>-2018.3720000000001</v>
      </c>
      <c r="X85" s="1101">
        <f>X47</f>
        <v>-1962.3309999999999</v>
      </c>
      <c r="Y85" s="1101">
        <f>Y47</f>
        <v>-1919.8579999999999</v>
      </c>
      <c r="Z85" s="1101">
        <f>Z47</f>
        <v>-2324.0720000000001</v>
      </c>
      <c r="AA85" s="1101">
        <f>Z85</f>
        <v>-2324.0720000000001</v>
      </c>
      <c r="AB85" s="1101">
        <f>AB47</f>
        <v>-299.58499999999998</v>
      </c>
      <c r="AC85" s="1101">
        <f>AC47</f>
        <v>-713.34699999999998</v>
      </c>
      <c r="AD85" s="1101">
        <f>AD47</f>
        <v>-686.82399999999996</v>
      </c>
      <c r="AE85" s="1101">
        <f>AE47</f>
        <v>-623.92399999999998</v>
      </c>
      <c r="AF85" s="1101">
        <f>AE85</f>
        <v>-623.92399999999998</v>
      </c>
      <c r="AG85" s="1101">
        <f>AG47</f>
        <v>-789.97699999999998</v>
      </c>
      <c r="AH85" s="1101">
        <f>AH47</f>
        <v>-887.88499999999999</v>
      </c>
      <c r="AI85" s="1101">
        <f>AI47</f>
        <v>-1532.634</v>
      </c>
      <c r="AJ85" s="1101">
        <f>AJ47</f>
        <v>-1760.588</v>
      </c>
      <c r="AK85" s="1101">
        <f>AJ85</f>
        <v>-1760.588</v>
      </c>
      <c r="AL85" s="1101">
        <f>AL47</f>
        <v>-2790.6779999999999</v>
      </c>
      <c r="AM85" s="1101">
        <f>AM47</f>
        <v>-2764.6390000000001</v>
      </c>
      <c r="AN85" s="1101">
        <f>AN47</f>
        <v>-2689.2359999999999</v>
      </c>
      <c r="AO85" s="1101">
        <f>AO47</f>
        <v>-2957.154</v>
      </c>
      <c r="AP85" s="1101">
        <f>AO85</f>
        <v>-2957.154</v>
      </c>
      <c r="AQ85" s="1101">
        <f>AQ47</f>
        <v>-2836.2190000000001</v>
      </c>
      <c r="AR85" s="1101">
        <f>AR47</f>
        <v>-2783.4650000000001</v>
      </c>
      <c r="AS85" s="1101">
        <f>AS47</f>
        <v>-2962.53</v>
      </c>
      <c r="AT85" s="1101">
        <f>AT47</f>
        <v>-2823.9140000000002</v>
      </c>
      <c r="AU85" s="1104">
        <f>AT85</f>
        <v>-2823.9140000000002</v>
      </c>
      <c r="AV85" s="1101">
        <f>AV47</f>
        <v>-2624.7829999999999</v>
      </c>
      <c r="AW85" s="1101">
        <f>AW47</f>
        <v>-2807.6</v>
      </c>
      <c r="AX85" s="1101">
        <f>AX47</f>
        <v>-3100.721</v>
      </c>
      <c r="AY85" s="1101">
        <f>AY47</f>
        <v>-3264.2939999999999</v>
      </c>
      <c r="AZ85" s="1104">
        <f>AY85</f>
        <v>-3264.2939999999999</v>
      </c>
      <c r="BA85" s="1101">
        <f>BA47</f>
        <v>-3178.7689999999998</v>
      </c>
      <c r="BB85" s="1101">
        <f>BB47</f>
        <v>-3505.5590000000002</v>
      </c>
      <c r="BC85" s="1101">
        <f>BC47</f>
        <v>-3557.2339999999999</v>
      </c>
      <c r="BD85" s="1101">
        <f>BD47</f>
        <v>-3529.529</v>
      </c>
      <c r="BE85" s="1104">
        <f>BD85</f>
        <v>-3529.529</v>
      </c>
      <c r="BF85" s="1101">
        <f>BF47</f>
        <v>-3379.2890000000002</v>
      </c>
      <c r="BG85" s="1101">
        <f>BG47</f>
        <v>-3479.2130000000002</v>
      </c>
      <c r="BH85" s="1101">
        <f>BH47</f>
        <v>-3361.0529999999999</v>
      </c>
      <c r="BI85" s="1101">
        <f>BI47</f>
        <v>-3407.259</v>
      </c>
      <c r="BJ85" s="1552">
        <f>BI85</f>
        <v>-3407.259</v>
      </c>
      <c r="BK85" s="1101">
        <f>BK47</f>
        <v>-3159.7930000000001</v>
      </c>
      <c r="BL85" s="1101">
        <f>BL47</f>
        <v>-3145.5659999999998</v>
      </c>
      <c r="BM85" s="1101">
        <f>BM47</f>
        <v>-3322.654</v>
      </c>
      <c r="BN85" s="1101">
        <f>BN47</f>
        <v>-3643.19</v>
      </c>
      <c r="BO85" s="1552">
        <f>BN85</f>
        <v>-3643.19</v>
      </c>
      <c r="BP85" s="1101">
        <f>BP47</f>
        <v>-3655.6570000000002</v>
      </c>
      <c r="BQ85" s="1101">
        <f>BQ47</f>
        <v>-3778.6010000000001</v>
      </c>
      <c r="BR85" s="1101">
        <f>BR47</f>
        <v>-3815.2869999999998</v>
      </c>
      <c r="BS85" s="1101">
        <f>BS47</f>
        <v>-3918.8510000000001</v>
      </c>
      <c r="BT85" s="1552">
        <f>BS85</f>
        <v>-3918.8510000000001</v>
      </c>
      <c r="BU85" s="1101">
        <f>BU47</f>
        <v>-3961.8719999999998</v>
      </c>
      <c r="BV85" s="1101">
        <f>BV47</f>
        <v>-4134.5810000000001</v>
      </c>
      <c r="BW85" s="1101">
        <f>BW47</f>
        <v>-4161.66</v>
      </c>
      <c r="BX85" s="1101">
        <f>BX47</f>
        <v>-4267.7150000000001</v>
      </c>
      <c r="BY85" s="1552">
        <f>BX85</f>
        <v>-4267.7150000000001</v>
      </c>
      <c r="BZ85" s="1101">
        <f>BZ47</f>
        <v>-4280.7489999999998</v>
      </c>
      <c r="CA85" s="1101">
        <f>CA47</f>
        <v>-4490.7879999999996</v>
      </c>
      <c r="CB85" s="1101">
        <f>CB47</f>
        <v>-4844.7060000000001</v>
      </c>
      <c r="CC85" s="1101">
        <f>CC47</f>
        <v>-5132.4719999999998</v>
      </c>
      <c r="CD85" s="1552">
        <f>CC85</f>
        <v>-5132.4719999999998</v>
      </c>
      <c r="CE85" s="1101">
        <f>CE47</f>
        <v>-5245.29</v>
      </c>
      <c r="CF85" s="1101">
        <f>CF47</f>
        <v>-5538.8490000000002</v>
      </c>
      <c r="CG85" s="1101">
        <f>CG47</f>
        <v>-5791.8090000000002</v>
      </c>
      <c r="CH85" s="1101">
        <f>CH47</f>
        <v>-6084.4359999999997</v>
      </c>
      <c r="CI85" s="1552">
        <f>CH85</f>
        <v>-6084.4359999999997</v>
      </c>
      <c r="CJ85" s="1101">
        <f>CJ47</f>
        <v>-6295.0810000000001</v>
      </c>
      <c r="CK85" s="1104">
        <f>SUM(CK81:CK84)</f>
        <v>-6593.4687871017632</v>
      </c>
      <c r="CL85" s="1104">
        <f>SUM(CL81:CL84)</f>
        <v>-6903.9512445701957</v>
      </c>
      <c r="CM85" s="1104">
        <f>SUM(CM81:CM84)</f>
        <v>-7226.9483266555226</v>
      </c>
      <c r="CN85" s="1565">
        <f>CM85</f>
        <v>-7226.9483266555226</v>
      </c>
      <c r="CO85" s="1104">
        <f>SUM(CO81:CO84)</f>
        <v>-7562.894571911077</v>
      </c>
      <c r="CP85" s="1104">
        <f>SUM(CP81:CP84)</f>
        <v>-7912.2396097686351</v>
      </c>
      <c r="CQ85" s="1104">
        <f>SUM(CQ81:CQ84)</f>
        <v>-8275.4486847122789</v>
      </c>
      <c r="CR85" s="1104">
        <f>SUM(CR81:CR84)</f>
        <v>-8653.0031986622853</v>
      </c>
      <c r="CS85" s="1565">
        <f>CR85</f>
        <v>-8653.0031986622853</v>
      </c>
      <c r="CT85" s="1104">
        <f>SUM(CT81:CT84)</f>
        <v>-9045.4012722016505</v>
      </c>
      <c r="CU85" s="1104">
        <f>SUM(CU81:CU84)</f>
        <v>-9453.1583253001481</v>
      </c>
      <c r="CV85" s="1104">
        <f>SUM(CV81:CV84)</f>
        <v>-9876.8076782131866</v>
      </c>
      <c r="CW85" s="1104">
        <f>SUM(CW81:CW84)</f>
        <v>-10316.901173256685</v>
      </c>
      <c r="CX85" s="1565">
        <f>CW85</f>
        <v>-10316.901173256685</v>
      </c>
      <c r="CY85"/>
      <c r="CZ85"/>
      <c r="DA85"/>
      <c r="DB85" s="1105"/>
      <c r="DC85" s="1503"/>
      <c r="DD85" s="1009"/>
      <c r="DE85" s="1503"/>
      <c r="DF85"/>
      <c r="DG85"/>
      <c r="DH85"/>
      <c r="DI85"/>
      <c r="DJ85"/>
      <c r="DK85"/>
    </row>
    <row r="86" spans="1:115" s="47" customFormat="1" ht="12" hidden="1" customHeight="1" outlineLevel="1">
      <c r="A86" s="1503"/>
      <c r="B86" s="1503"/>
      <c r="C86" s="1108"/>
      <c r="D86" s="1108"/>
      <c r="E86" s="1108"/>
      <c r="F86" s="1108"/>
      <c r="G86" s="1522"/>
      <c r="H86" s="1108"/>
      <c r="I86" s="1108"/>
      <c r="J86" s="1108"/>
      <c r="K86" s="1108"/>
      <c r="L86" s="1522"/>
      <c r="M86" s="1101"/>
      <c r="N86" s="1101"/>
      <c r="O86" s="1101"/>
      <c r="P86" s="1101"/>
      <c r="Q86" s="1101"/>
      <c r="R86" s="1101"/>
      <c r="S86" s="1101"/>
      <c r="T86" s="1101"/>
      <c r="U86" s="1101"/>
      <c r="V86" s="1101"/>
      <c r="W86" s="1101"/>
      <c r="X86" s="1101"/>
      <c r="Y86" s="1101"/>
      <c r="Z86" s="1101"/>
      <c r="AA86" s="1101"/>
      <c r="AB86" s="1101"/>
      <c r="AC86" s="1101"/>
      <c r="AD86" s="1101"/>
      <c r="AE86" s="1101"/>
      <c r="AF86" s="1101"/>
      <c r="AG86" s="1101"/>
      <c r="AH86" s="1101"/>
      <c r="AI86" s="1101"/>
      <c r="AJ86" s="1101"/>
      <c r="AK86" s="1101"/>
      <c r="AL86" s="1101"/>
      <c r="AM86" s="1101"/>
      <c r="AN86" s="1101"/>
      <c r="AO86" s="1101"/>
      <c r="AP86" s="1101"/>
      <c r="AQ86" s="1101"/>
      <c r="AR86" s="1101"/>
      <c r="AS86" s="1101"/>
      <c r="AT86" s="1101"/>
      <c r="AU86" s="1104"/>
      <c r="AV86" s="1101"/>
      <c r="AW86" s="1101"/>
      <c r="AX86" s="1101"/>
      <c r="AY86" s="1101"/>
      <c r="AZ86" s="1104"/>
      <c r="BA86" s="1101"/>
      <c r="BB86" s="1101"/>
      <c r="BC86" s="1101"/>
      <c r="BD86" s="1101"/>
      <c r="BE86" s="1104"/>
      <c r="BF86" s="1101"/>
      <c r="BG86" s="1101"/>
      <c r="BH86" s="1101"/>
      <c r="BI86" s="1101"/>
      <c r="BJ86" s="1552"/>
      <c r="BK86" s="1101"/>
      <c r="BL86" s="1101"/>
      <c r="BM86" s="1101"/>
      <c r="BN86" s="1101"/>
      <c r="BO86" s="1552"/>
      <c r="BP86" s="1101"/>
      <c r="BQ86" s="1101"/>
      <c r="BR86" s="1101"/>
      <c r="BS86" s="1101"/>
      <c r="BT86" s="1552"/>
      <c r="BU86" s="1101"/>
      <c r="BV86" s="1101"/>
      <c r="BW86" s="1101"/>
      <c r="BX86" s="1101"/>
      <c r="BY86" s="1552"/>
      <c r="BZ86" s="1101"/>
      <c r="CA86" s="1101"/>
      <c r="CB86" s="1101"/>
      <c r="CC86" s="1101"/>
      <c r="CD86" s="1552"/>
      <c r="CE86" s="1101"/>
      <c r="CF86" s="1101"/>
      <c r="CG86" s="1104"/>
      <c r="CH86" s="1104"/>
      <c r="CI86" s="1552"/>
      <c r="CJ86" s="1104"/>
      <c r="CK86" s="1104"/>
      <c r="CL86" s="1104"/>
      <c r="CM86" s="1104"/>
      <c r="CN86" s="1565"/>
      <c r="CO86" s="1104"/>
      <c r="CP86" s="1104"/>
      <c r="CQ86" s="1104"/>
      <c r="CR86" s="1104"/>
      <c r="CS86" s="1565"/>
      <c r="CT86" s="1104"/>
      <c r="CU86" s="1104"/>
      <c r="CV86" s="1104"/>
      <c r="CW86" s="1104"/>
      <c r="CX86" s="1565"/>
      <c r="CY86"/>
      <c r="CZ86"/>
      <c r="DA86"/>
      <c r="DB86" s="1105"/>
      <c r="DC86" s="1503"/>
      <c r="DD86" s="1009"/>
      <c r="DE86" s="1503"/>
      <c r="DF86"/>
      <c r="DG86"/>
      <c r="DH86"/>
      <c r="DI86"/>
      <c r="DJ86"/>
      <c r="DK86"/>
    </row>
    <row r="87" spans="1:115" s="47" customFormat="1" ht="12" hidden="1" customHeight="1" outlineLevel="1">
      <c r="A87" s="1503" t="s">
        <v>810</v>
      </c>
      <c r="B87" s="1503"/>
      <c r="C87" s="1108"/>
      <c r="D87" s="1108"/>
      <c r="E87" s="1108"/>
      <c r="F87" s="1108"/>
      <c r="G87" s="1522"/>
      <c r="H87" s="1108"/>
      <c r="I87" s="1108"/>
      <c r="J87" s="1108"/>
      <c r="K87" s="1108"/>
      <c r="L87" s="1522"/>
      <c r="M87" s="1101"/>
      <c r="N87" s="1101"/>
      <c r="O87" s="1101"/>
      <c r="P87" s="1101"/>
      <c r="Q87" s="1101"/>
      <c r="R87" s="1101"/>
      <c r="S87" s="1101"/>
      <c r="T87" s="1101"/>
      <c r="U87" s="1101"/>
      <c r="V87" s="1101"/>
      <c r="W87" s="1101"/>
      <c r="X87" s="1101"/>
      <c r="Y87" s="1101"/>
      <c r="Z87" s="1101"/>
      <c r="AA87" s="1101"/>
      <c r="AB87" s="1101"/>
      <c r="AC87" s="1101"/>
      <c r="AD87" s="1101"/>
      <c r="AE87" s="1101"/>
      <c r="AF87" s="1101"/>
      <c r="AG87" s="1101"/>
      <c r="AH87" s="1101"/>
      <c r="AI87" s="1101"/>
      <c r="AJ87" s="1101"/>
      <c r="AK87" s="1101"/>
      <c r="AL87" s="1101"/>
      <c r="AM87" s="1101"/>
      <c r="AN87" s="1101"/>
      <c r="AO87" s="1101"/>
      <c r="AP87" s="1101"/>
      <c r="AQ87" s="1101"/>
      <c r="AR87" s="1101"/>
      <c r="AS87" s="1101"/>
      <c r="AT87" s="1101"/>
      <c r="AU87" s="1104"/>
      <c r="AV87" s="1101"/>
      <c r="AW87" s="1101"/>
      <c r="AX87" s="1101"/>
      <c r="AY87" s="1101"/>
      <c r="AZ87" s="1104"/>
      <c r="BA87" s="1101">
        <f>AY48</f>
        <v>5980.9139999999998</v>
      </c>
      <c r="BB87" s="1101">
        <f>BA90</f>
        <v>6045.6310000000003</v>
      </c>
      <c r="BC87" s="1101">
        <f>BB90</f>
        <v>6228.5739999999996</v>
      </c>
      <c r="BD87" s="1101">
        <f>BC90</f>
        <v>6381.53</v>
      </c>
      <c r="BE87" s="1552">
        <f>BA87</f>
        <v>5980.9139999999998</v>
      </c>
      <c r="BF87" s="1101">
        <f>BD90</f>
        <v>6528.7349999999997</v>
      </c>
      <c r="BG87" s="1101">
        <f>BF90</f>
        <v>6497.07</v>
      </c>
      <c r="BH87" s="1101">
        <f>BG90</f>
        <v>6671.23</v>
      </c>
      <c r="BI87" s="1101">
        <f>BH90</f>
        <v>6815.375</v>
      </c>
      <c r="BJ87" s="1552">
        <f>BF87</f>
        <v>6528.7349999999997</v>
      </c>
      <c r="BK87" s="1101">
        <f>BI90</f>
        <v>7003.0029999999997</v>
      </c>
      <c r="BL87" s="1101">
        <f>BK90</f>
        <v>6808.4889999999996</v>
      </c>
      <c r="BM87" s="1101">
        <f>BL90</f>
        <v>6855.4629999999997</v>
      </c>
      <c r="BN87" s="1101">
        <f>BM90</f>
        <v>6878.2160000000003</v>
      </c>
      <c r="BO87" s="1552">
        <f>BK87</f>
        <v>7003.0029999999997</v>
      </c>
      <c r="BP87" s="1101">
        <f>BN90</f>
        <v>6928.9639999999999</v>
      </c>
      <c r="BQ87" s="1101">
        <f>BP90</f>
        <v>6734.701</v>
      </c>
      <c r="BR87" s="1101">
        <f>BQ90</f>
        <v>6806.1040000000003</v>
      </c>
      <c r="BS87" s="1101">
        <f>BR90</f>
        <v>6850.79</v>
      </c>
      <c r="BT87" s="1552">
        <f>BP87</f>
        <v>6928.9639999999999</v>
      </c>
      <c r="BU87" s="1101">
        <f>BS90</f>
        <v>6924.2939999999999</v>
      </c>
      <c r="BV87" s="1101">
        <f>BU90</f>
        <v>6756.8029999999999</v>
      </c>
      <c r="BW87" s="1101">
        <f>BV90</f>
        <v>6879.4440000000004</v>
      </c>
      <c r="BX87" s="1101">
        <f>BW90</f>
        <v>7049.6289999999999</v>
      </c>
      <c r="BY87" s="1552">
        <f>BU87</f>
        <v>6924.2939999999999</v>
      </c>
      <c r="BZ87" s="1101">
        <f>BX90</f>
        <v>7253.4309999999996</v>
      </c>
      <c r="CA87" s="1101">
        <f>BZ90</f>
        <v>7221.0829999999996</v>
      </c>
      <c r="CB87" s="1101">
        <f>CA90</f>
        <v>7444.1149999999998</v>
      </c>
      <c r="CC87" s="1101">
        <f>CB90</f>
        <v>7714.9040000000005</v>
      </c>
      <c r="CD87" s="1552">
        <f>BZ87</f>
        <v>7253.4309999999996</v>
      </c>
      <c r="CE87" s="1101">
        <f>CC90</f>
        <v>8114.5169999999998</v>
      </c>
      <c r="CF87" s="1101">
        <f>CE90</f>
        <v>8299.3619999999992</v>
      </c>
      <c r="CG87" s="1101">
        <f>CF90</f>
        <v>8652.7520000000004</v>
      </c>
      <c r="CH87" s="1101">
        <f>CG90</f>
        <v>9072.3209999999999</v>
      </c>
      <c r="CI87" s="1552">
        <f>CE87</f>
        <v>8114.5169999999998</v>
      </c>
      <c r="CJ87" s="1101">
        <f>CH90</f>
        <v>9573.8700000000008</v>
      </c>
      <c r="CK87" s="1104">
        <f>CJ90</f>
        <v>9830.3989999999994</v>
      </c>
      <c r="CL87" s="1104">
        <f>CK90</f>
        <v>10445.060535942914</v>
      </c>
      <c r="CM87" s="1104">
        <f>CL90</f>
        <v>11096.699296759052</v>
      </c>
      <c r="CN87" s="1552">
        <f>CJ87</f>
        <v>9573.8700000000008</v>
      </c>
      <c r="CO87" s="1104">
        <f>CM90</f>
        <v>11790.139281005477</v>
      </c>
      <c r="CP87" s="1104">
        <f>CO90</f>
        <v>12496.383233987599</v>
      </c>
      <c r="CQ87" s="1104">
        <f>CP90</f>
        <v>13208.879568366579</v>
      </c>
      <c r="CR87" s="1104">
        <f>CQ90</f>
        <v>13954.198771128416</v>
      </c>
      <c r="CS87" s="1552">
        <f>CO87</f>
        <v>11790.139281005477</v>
      </c>
      <c r="CT87" s="1104">
        <f>CR90</f>
        <v>14746.920521974689</v>
      </c>
      <c r="CU87" s="1104">
        <f>CT90</f>
        <v>15600.679541411917</v>
      </c>
      <c r="CV87" s="1104">
        <f>CU90</f>
        <v>16466.606523147657</v>
      </c>
      <c r="CW87" s="1104">
        <f>CV90</f>
        <v>17364.086616209413</v>
      </c>
      <c r="CX87" s="1552">
        <f>CT87</f>
        <v>14746.920521974689</v>
      </c>
      <c r="CY87"/>
      <c r="CZ87"/>
      <c r="DA87"/>
      <c r="DB87" s="1105"/>
      <c r="DC87" s="1503"/>
      <c r="DD87" s="1009"/>
      <c r="DE87" s="1503"/>
      <c r="DF87"/>
      <c r="DG87"/>
      <c r="DH87"/>
      <c r="DI87"/>
      <c r="DJ87"/>
      <c r="DK87"/>
    </row>
    <row r="88" spans="1:115" s="47" customFormat="1" ht="12" hidden="1" customHeight="1" outlineLevel="1">
      <c r="A88" s="1529" t="s">
        <v>538</v>
      </c>
      <c r="B88" s="1503"/>
      <c r="C88" s="1108"/>
      <c r="D88" s="1108"/>
      <c r="E88" s="1108"/>
      <c r="F88" s="1108"/>
      <c r="G88" s="1522"/>
      <c r="H88" s="1108"/>
      <c r="I88" s="1108"/>
      <c r="J88" s="1108"/>
      <c r="K88" s="1108"/>
      <c r="L88" s="1522"/>
      <c r="M88" s="1101"/>
      <c r="N88" s="1101"/>
      <c r="O88" s="1101"/>
      <c r="P88" s="1101"/>
      <c r="Q88" s="1101"/>
      <c r="R88" s="1101"/>
      <c r="S88" s="1101"/>
      <c r="T88" s="1101"/>
      <c r="U88" s="1101"/>
      <c r="V88" s="1101"/>
      <c r="W88" s="1101"/>
      <c r="X88" s="1101"/>
      <c r="Y88" s="1101"/>
      <c r="Z88" s="1101"/>
      <c r="AA88" s="1101"/>
      <c r="AB88" s="1101"/>
      <c r="AC88" s="1101"/>
      <c r="AD88" s="1101"/>
      <c r="AE88" s="1101"/>
      <c r="AF88" s="1101"/>
      <c r="AG88" s="1101"/>
      <c r="AH88" s="1101"/>
      <c r="AI88" s="1101"/>
      <c r="AJ88" s="1101"/>
      <c r="AK88" s="1101"/>
      <c r="AL88" s="1101"/>
      <c r="AM88" s="1101"/>
      <c r="AN88" s="1101"/>
      <c r="AO88" s="1101"/>
      <c r="AP88" s="1101"/>
      <c r="AQ88" s="1101"/>
      <c r="AR88" s="1101"/>
      <c r="AS88" s="1101"/>
      <c r="AT88" s="1101"/>
      <c r="AU88" s="1104"/>
      <c r="AV88" s="1101"/>
      <c r="AW88" s="1101"/>
      <c r="AX88" s="1101"/>
      <c r="AY88" s="1101"/>
      <c r="AZ88" s="1104"/>
      <c r="BA88" s="1101">
        <f>CF!BA62</f>
        <v>234.59100000000001</v>
      </c>
      <c r="BB88" s="1101">
        <f>CF!BB62</f>
        <v>229.43599999999998</v>
      </c>
      <c r="BC88" s="1101">
        <f>CF!BC62</f>
        <v>195.10100000000006</v>
      </c>
      <c r="BD88" s="1101">
        <f>CF!BD62</f>
        <v>173.71899999999994</v>
      </c>
      <c r="BE88" s="1552">
        <f>SUM(BA88:BD88)</f>
        <v>832.84699999999998</v>
      </c>
      <c r="BF88" s="1101">
        <f>CF!BF62</f>
        <v>185.209</v>
      </c>
      <c r="BG88" s="1101">
        <f>CF!BG62</f>
        <v>223.87599999999998</v>
      </c>
      <c r="BH88" s="1101">
        <f>CF!BH62</f>
        <v>201.35700000000003</v>
      </c>
      <c r="BI88" s="1101">
        <f>CF!BI62</f>
        <v>222.33299999999997</v>
      </c>
      <c r="BJ88" s="1552">
        <f>SUM(BF88:BI88)</f>
        <v>832.77499999999998</v>
      </c>
      <c r="BK88" s="1101">
        <f>CF!BK62</f>
        <v>65.117000000000004</v>
      </c>
      <c r="BL88" s="1101">
        <f>CF!BL62</f>
        <v>76.546000000000006</v>
      </c>
      <c r="BM88" s="1101">
        <f>CF!BM62</f>
        <v>83.001999999999981</v>
      </c>
      <c r="BN88" s="1101">
        <f>CF!BN62</f>
        <v>65.320000000000022</v>
      </c>
      <c r="BO88" s="1552">
        <f>SUM(BK88:BN88)</f>
        <v>289.98500000000001</v>
      </c>
      <c r="BP88" s="1101">
        <f>CF!BP62</f>
        <v>47.045999999999999</v>
      </c>
      <c r="BQ88" s="1101">
        <f>CF!BQ62</f>
        <v>88.527000000000015</v>
      </c>
      <c r="BR88" s="1101">
        <f>CF!BR62</f>
        <v>44.685999999999979</v>
      </c>
      <c r="BS88" s="1101">
        <f>CF!BS62</f>
        <v>88.135999999999996</v>
      </c>
      <c r="BT88" s="1552">
        <f>SUM(BP88:BS88)</f>
        <v>268.39499999999998</v>
      </c>
      <c r="BU88" s="1101">
        <f>CF!BU62</f>
        <v>84.888000000000048</v>
      </c>
      <c r="BV88" s="1101">
        <f>CF!BV62</f>
        <v>147.49299999999994</v>
      </c>
      <c r="BW88" s="1101">
        <f>CF!BW62</f>
        <v>174.465</v>
      </c>
      <c r="BX88" s="1101">
        <f>CF!BX62</f>
        <v>222.70500000000004</v>
      </c>
      <c r="BY88" s="1552">
        <f>SUM(BU88:BX88)</f>
        <v>629.55100000000004</v>
      </c>
      <c r="BZ88" s="1101">
        <f>CF!BZ62</f>
        <v>254.30699999999999</v>
      </c>
      <c r="CA88" s="1101">
        <f>CF!CA62</f>
        <v>244.07399999999998</v>
      </c>
      <c r="CB88" s="1101">
        <f>CF!CB62</f>
        <v>270.78800000000001</v>
      </c>
      <c r="CC88" s="1101">
        <f>CF!CC62</f>
        <v>399.61299999999994</v>
      </c>
      <c r="CD88" s="1552">
        <f>SUM(BZ88:CC88)</f>
        <v>1168.7819999999999</v>
      </c>
      <c r="CE88" s="1101">
        <f>CF!CE62</f>
        <v>398.44600000000003</v>
      </c>
      <c r="CF88" s="1101">
        <f>CF!CF62</f>
        <v>374.39</v>
      </c>
      <c r="CG88" s="1101">
        <f>CF!CG62</f>
        <v>419.56899999999996</v>
      </c>
      <c r="CH88" s="1101">
        <f>CF!CH62</f>
        <v>501.54899999999998</v>
      </c>
      <c r="CI88" s="1552">
        <f>SUM(CE88:CH88)</f>
        <v>1693.954</v>
      </c>
      <c r="CJ88" s="1101">
        <f>CF!CJ62</f>
        <v>583.07600000000002</v>
      </c>
      <c r="CK88" s="1101">
        <f>CF!CK62</f>
        <v>609.66153594291472</v>
      </c>
      <c r="CL88" s="1101">
        <f>CF!CL62</f>
        <v>646.63876081613944</v>
      </c>
      <c r="CM88" s="1101">
        <f>CF!CM62</f>
        <v>688.43998424642496</v>
      </c>
      <c r="CN88" s="1552">
        <f>SUM(CJ88:CM88)</f>
        <v>2527.8162810054791</v>
      </c>
      <c r="CO88" s="1101">
        <f>CF!CO62</f>
        <v>701.24395298212164</v>
      </c>
      <c r="CP88" s="1101">
        <f>CF!CP62</f>
        <v>707.49633437897967</v>
      </c>
      <c r="CQ88" s="1101">
        <f>CF!CQ62</f>
        <v>740.31920276183746</v>
      </c>
      <c r="CR88" s="1101">
        <f>CF!CR62</f>
        <v>787.7217508462727</v>
      </c>
      <c r="CS88" s="1552">
        <f>SUM(CO88:CR88)</f>
        <v>2936.7812409692115</v>
      </c>
      <c r="CT88" s="1101">
        <f>CF!CT62</f>
        <v>848.75901943722727</v>
      </c>
      <c r="CU88" s="1101">
        <f>CF!CU62</f>
        <v>860.92698173574001</v>
      </c>
      <c r="CV88" s="1101">
        <f>CF!CV62</f>
        <v>892.48009306175709</v>
      </c>
      <c r="CW88" s="1101">
        <f>CF!CW62</f>
        <v>940.22762505391893</v>
      </c>
      <c r="CX88" s="1552">
        <f>SUM(CT88:CW88)</f>
        <v>3542.3937192886433</v>
      </c>
      <c r="CY88"/>
      <c r="CZ88"/>
      <c r="DA88"/>
      <c r="DB88" s="1105"/>
      <c r="DC88" s="1503"/>
      <c r="DD88" s="1009"/>
      <c r="DE88" s="1503"/>
      <c r="DF88"/>
      <c r="DG88"/>
      <c r="DH88"/>
      <c r="DI88"/>
      <c r="DJ88"/>
      <c r="DK88"/>
    </row>
    <row r="89" spans="1:115" s="47" customFormat="1" ht="12" hidden="1" customHeight="1" outlineLevel="1">
      <c r="A89" s="1529" t="s">
        <v>631</v>
      </c>
      <c r="B89" s="1503"/>
      <c r="C89" s="1108"/>
      <c r="D89" s="1108"/>
      <c r="E89" s="1108"/>
      <c r="F89" s="1108"/>
      <c r="G89" s="1522"/>
      <c r="H89" s="1108"/>
      <c r="I89" s="1108"/>
      <c r="J89" s="1108"/>
      <c r="K89" s="1108"/>
      <c r="L89" s="1522"/>
      <c r="M89" s="1101"/>
      <c r="N89" s="1101"/>
      <c r="O89" s="1101"/>
      <c r="P89" s="1101"/>
      <c r="Q89" s="1101"/>
      <c r="R89" s="1101"/>
      <c r="S89" s="1101"/>
      <c r="T89" s="1101"/>
      <c r="U89" s="1101"/>
      <c r="V89" s="1101"/>
      <c r="W89" s="1101"/>
      <c r="X89" s="1101"/>
      <c r="Y89" s="1101"/>
      <c r="Z89" s="1101"/>
      <c r="AA89" s="1101"/>
      <c r="AB89" s="1101"/>
      <c r="AC89" s="1101"/>
      <c r="AD89" s="1101"/>
      <c r="AE89" s="1101"/>
      <c r="AF89" s="1101"/>
      <c r="AG89" s="1101"/>
      <c r="AH89" s="1101"/>
      <c r="AI89" s="1101"/>
      <c r="AJ89" s="1101"/>
      <c r="AK89" s="1101"/>
      <c r="AL89" s="1101"/>
      <c r="AM89" s="1101"/>
      <c r="AN89" s="1101"/>
      <c r="AO89" s="1101"/>
      <c r="AP89" s="1101"/>
      <c r="AQ89" s="1101"/>
      <c r="AR89" s="1101"/>
      <c r="AS89" s="1101"/>
      <c r="AT89" s="1101"/>
      <c r="AU89" s="1104"/>
      <c r="AV89" s="1101"/>
      <c r="AW89" s="1101"/>
      <c r="AX89" s="1101"/>
      <c r="AY89" s="1101"/>
      <c r="AZ89" s="1104"/>
      <c r="BA89" s="1597">
        <f>BA90-SUM(BA87:BA88)</f>
        <v>-169.8739999999998</v>
      </c>
      <c r="BB89" s="1585">
        <f>BB90-SUM(BB87:BB88)</f>
        <v>-46.493000000000393</v>
      </c>
      <c r="BC89" s="1585">
        <f>BC90-SUM(BC87:BC88)</f>
        <v>-42.144999999999527</v>
      </c>
      <c r="BD89" s="1585">
        <f>BD90-SUM(BD87:BD88)</f>
        <v>-26.514000000000124</v>
      </c>
      <c r="BE89" s="1555">
        <f>SUM(BA89:BD89)</f>
        <v>-285.02599999999984</v>
      </c>
      <c r="BF89" s="1597">
        <f>BF90-SUM(BF87:BF88)</f>
        <v>-216.8739999999998</v>
      </c>
      <c r="BG89" s="1585">
        <f>BG90-SUM(BG87:BG88)</f>
        <v>-49.716000000000349</v>
      </c>
      <c r="BH89" s="1585">
        <f>BH90-SUM(BH87:BH88)</f>
        <v>-57.211999999999534</v>
      </c>
      <c r="BI89" s="1585">
        <f>BI90-SUM(BI87:BI88)</f>
        <v>-34.704999999999927</v>
      </c>
      <c r="BJ89" s="1555">
        <f>SUM(BF89:BI89)</f>
        <v>-358.50699999999961</v>
      </c>
      <c r="BK89" s="1597">
        <f>BK90-SUM(BK87:BK88)</f>
        <v>-259.63100000000031</v>
      </c>
      <c r="BL89" s="1585">
        <f>BL90-SUM(BL87:BL88)</f>
        <v>-29.572000000000116</v>
      </c>
      <c r="BM89" s="1585">
        <f>BM90-SUM(BM87:BM88)</f>
        <v>-60.248999999999796</v>
      </c>
      <c r="BN89" s="1585">
        <f>BN90-SUM(BN87:BN88)</f>
        <v>-14.572000000000116</v>
      </c>
      <c r="BO89" s="1555">
        <f>SUM(BK89:BN89)</f>
        <v>-364.02400000000034</v>
      </c>
      <c r="BP89" s="1597">
        <f>BP90-SUM(BP87:BP88)</f>
        <v>-241.3090000000002</v>
      </c>
      <c r="BQ89" s="1585">
        <f>BQ90-SUM(BQ87:BQ88)</f>
        <v>-17.123999999999796</v>
      </c>
      <c r="BR89" s="1585">
        <f>BR90-SUM(BR87:BR88)</f>
        <v>0</v>
      </c>
      <c r="BS89" s="1585">
        <f>BS90-SUM(BS87:BS88)</f>
        <v>-14.632000000000517</v>
      </c>
      <c r="BT89" s="1555">
        <f>SUM(BP89:BS89)</f>
        <v>-273.06500000000051</v>
      </c>
      <c r="BU89" s="1585">
        <f>BU90-SUM(BU87:BU88)</f>
        <v>-252.37899999999991</v>
      </c>
      <c r="BV89" s="1585">
        <f>BV90-SUM(BV87:BV88)</f>
        <v>-24.851999999999862</v>
      </c>
      <c r="BW89" s="1585">
        <f>BW90-SUM(BW87:BW88)</f>
        <v>-4.2800000000006548</v>
      </c>
      <c r="BX89" s="1585">
        <f>BX90-SUM(BX87:BX88)</f>
        <v>-18.903000000000247</v>
      </c>
      <c r="BY89" s="1555">
        <f>SUM(BU89:BX89)</f>
        <v>-300.41400000000067</v>
      </c>
      <c r="BZ89" s="1585">
        <f>BZ90-SUM(BZ87:BZ88)</f>
        <v>-286.65499999999975</v>
      </c>
      <c r="CA89" s="1585">
        <f>CA90-SUM(CA87:CA88)</f>
        <v>-21.041999999999462</v>
      </c>
      <c r="CB89" s="1585">
        <f>CB90-SUM(CB87:CB88)</f>
        <v>1.0000000002037268E-3</v>
      </c>
      <c r="CC89" s="1585">
        <f>CC90-SUM(CC87:CC88)</f>
        <v>0</v>
      </c>
      <c r="CD89" s="1555">
        <f>SUM(BZ89:CC89)</f>
        <v>-307.695999999999</v>
      </c>
      <c r="CE89" s="1585">
        <f>CE90-SUM(CE87:CE88)</f>
        <v>-213.60100000000057</v>
      </c>
      <c r="CF89" s="1585">
        <f>CF90-SUM(CF87:CF88)</f>
        <v>-20.999999999998181</v>
      </c>
      <c r="CG89" s="1585">
        <f>CG90-SUM(CG87:CG88)</f>
        <v>0</v>
      </c>
      <c r="CH89" s="1585">
        <f>CH90-SUM(CH87:CH88)</f>
        <v>0</v>
      </c>
      <c r="CI89" s="1555">
        <f>SUM(CE89:CH89)</f>
        <v>-234.60099999999875</v>
      </c>
      <c r="CJ89" s="1585">
        <f>CJ90-SUM(CJ87:CJ88)</f>
        <v>-326.54700000000048</v>
      </c>
      <c r="CK89" s="1586">
        <f>-CK138</f>
        <v>5</v>
      </c>
      <c r="CL89" s="1586">
        <f>-CL138</f>
        <v>5</v>
      </c>
      <c r="CM89" s="1586">
        <f>-CM138</f>
        <v>5</v>
      </c>
      <c r="CN89" s="1555">
        <f>SUM(CJ89:CM89)</f>
        <v>-311.54700000000048</v>
      </c>
      <c r="CO89" s="1586">
        <f>-CO138</f>
        <v>5</v>
      </c>
      <c r="CP89" s="1586">
        <f>-CP138</f>
        <v>5</v>
      </c>
      <c r="CQ89" s="1586">
        <f>-CQ138</f>
        <v>5</v>
      </c>
      <c r="CR89" s="1586">
        <f>-CR138</f>
        <v>5</v>
      </c>
      <c r="CS89" s="1555">
        <f>SUM(CO89:CR89)</f>
        <v>20</v>
      </c>
      <c r="CT89" s="1586">
        <f>-CT138</f>
        <v>5</v>
      </c>
      <c r="CU89" s="1586">
        <f>-CU138</f>
        <v>5</v>
      </c>
      <c r="CV89" s="1586">
        <f>-CV138</f>
        <v>5</v>
      </c>
      <c r="CW89" s="1586">
        <f>-CW138</f>
        <v>5</v>
      </c>
      <c r="CX89" s="1555">
        <f>SUM(CT89:CW89)</f>
        <v>20</v>
      </c>
      <c r="CY89"/>
      <c r="CZ89"/>
      <c r="DA89"/>
      <c r="DB89" s="1105"/>
      <c r="DC89" s="1503"/>
      <c r="DD89" s="1614"/>
      <c r="DE89" s="1503"/>
      <c r="DF89"/>
      <c r="DG89"/>
      <c r="DH89"/>
      <c r="DI89"/>
      <c r="DJ89"/>
      <c r="DK89"/>
    </row>
    <row r="90" spans="1:115" s="47" customFormat="1" ht="12" hidden="1" customHeight="1" outlineLevel="1">
      <c r="A90" s="1503" t="s">
        <v>811</v>
      </c>
      <c r="B90" s="1503"/>
      <c r="C90" s="1108"/>
      <c r="D90" s="1108"/>
      <c r="E90" s="1108"/>
      <c r="F90" s="1108"/>
      <c r="G90" s="1522"/>
      <c r="H90" s="1108"/>
      <c r="I90" s="1108"/>
      <c r="J90" s="1108"/>
      <c r="K90" s="1108"/>
      <c r="L90" s="1522"/>
      <c r="M90" s="1101"/>
      <c r="N90" s="1101"/>
      <c r="O90" s="1101"/>
      <c r="P90" s="1101"/>
      <c r="Q90" s="1101"/>
      <c r="R90" s="1101"/>
      <c r="S90" s="1101"/>
      <c r="T90" s="1101"/>
      <c r="U90" s="1101"/>
      <c r="V90" s="1101"/>
      <c r="W90" s="1101"/>
      <c r="X90" s="1101"/>
      <c r="Y90" s="1101"/>
      <c r="Z90" s="1101"/>
      <c r="AA90" s="1101"/>
      <c r="AB90" s="1101"/>
      <c r="AC90" s="1101"/>
      <c r="AD90" s="1101"/>
      <c r="AE90" s="1101"/>
      <c r="AF90" s="1101"/>
      <c r="AG90" s="1101"/>
      <c r="AH90" s="1101"/>
      <c r="AI90" s="1101"/>
      <c r="AJ90" s="1101"/>
      <c r="AK90" s="1101"/>
      <c r="AL90" s="1101"/>
      <c r="AM90" s="1101"/>
      <c r="AN90" s="1101"/>
      <c r="AO90" s="1101"/>
      <c r="AP90" s="1101"/>
      <c r="AQ90" s="1101"/>
      <c r="AR90" s="1101"/>
      <c r="AS90" s="1101"/>
      <c r="AT90" s="1101"/>
      <c r="AU90" s="1104"/>
      <c r="AV90" s="1101"/>
      <c r="AW90" s="1101"/>
      <c r="AX90" s="1101"/>
      <c r="AY90" s="1101"/>
      <c r="AZ90" s="1104"/>
      <c r="BA90" s="1101">
        <f>BA48</f>
        <v>6045.6310000000003</v>
      </c>
      <c r="BB90" s="1101">
        <f>BB48</f>
        <v>6228.5739999999996</v>
      </c>
      <c r="BC90" s="1101">
        <f>BC48</f>
        <v>6381.53</v>
      </c>
      <c r="BD90" s="1101">
        <f>BD48</f>
        <v>6528.7349999999997</v>
      </c>
      <c r="BE90" s="1552">
        <f>SUM(BE87:BE89)</f>
        <v>6528.7349999999997</v>
      </c>
      <c r="BF90" s="1101">
        <f>BF48</f>
        <v>6497.07</v>
      </c>
      <c r="BG90" s="1101">
        <f>BG48</f>
        <v>6671.23</v>
      </c>
      <c r="BH90" s="1101">
        <f>BH48</f>
        <v>6815.375</v>
      </c>
      <c r="BI90" s="1101">
        <f>BI48</f>
        <v>7003.0029999999997</v>
      </c>
      <c r="BJ90" s="1552">
        <f>SUM(BJ87:BJ89)</f>
        <v>7003.0029999999997</v>
      </c>
      <c r="BK90" s="1101">
        <f>BK48</f>
        <v>6808.4889999999996</v>
      </c>
      <c r="BL90" s="1101">
        <f>BL48</f>
        <v>6855.4629999999997</v>
      </c>
      <c r="BM90" s="1101">
        <f>BM48</f>
        <v>6878.2160000000003</v>
      </c>
      <c r="BN90" s="1101">
        <f>BN48</f>
        <v>6928.9639999999999</v>
      </c>
      <c r="BO90" s="1552">
        <f>SUM(BO87:BO89)</f>
        <v>6928.963999999999</v>
      </c>
      <c r="BP90" s="1101">
        <f>BP48</f>
        <v>6734.701</v>
      </c>
      <c r="BQ90" s="1101">
        <f>BQ48</f>
        <v>6806.1040000000003</v>
      </c>
      <c r="BR90" s="1101">
        <f>BR48</f>
        <v>6850.79</v>
      </c>
      <c r="BS90" s="1101">
        <f>BS48</f>
        <v>6924.2939999999999</v>
      </c>
      <c r="BT90" s="1552">
        <f>SUM(BT87:BT89)</f>
        <v>6924.2939999999999</v>
      </c>
      <c r="BU90" s="1101">
        <f>BU48</f>
        <v>6756.8029999999999</v>
      </c>
      <c r="BV90" s="1101">
        <f>BV48</f>
        <v>6879.4440000000004</v>
      </c>
      <c r="BW90" s="1101">
        <f>BW48</f>
        <v>7049.6289999999999</v>
      </c>
      <c r="BX90" s="1101">
        <f>BX48</f>
        <v>7253.4309999999996</v>
      </c>
      <c r="BY90" s="1552">
        <f t="shared" ref="BY90:CN90" si="106">SUM(BY87:BY89)</f>
        <v>7253.4309999999996</v>
      </c>
      <c r="BZ90" s="1101">
        <f>BZ48</f>
        <v>7221.0829999999996</v>
      </c>
      <c r="CA90" s="1101">
        <f>CA48</f>
        <v>7444.1149999999998</v>
      </c>
      <c r="CB90" s="1101">
        <f>CB48</f>
        <v>7714.9040000000005</v>
      </c>
      <c r="CC90" s="1101">
        <f>CC48</f>
        <v>8114.5169999999998</v>
      </c>
      <c r="CD90" s="1552">
        <f t="shared" si="106"/>
        <v>8114.5170000000007</v>
      </c>
      <c r="CE90" s="1101">
        <f>CE48</f>
        <v>8299.3619999999992</v>
      </c>
      <c r="CF90" s="1101">
        <f>CF48</f>
        <v>8652.7520000000004</v>
      </c>
      <c r="CG90" s="1101">
        <f>CG48</f>
        <v>9072.3209999999999</v>
      </c>
      <c r="CH90" s="1101">
        <f>CH48</f>
        <v>9573.8700000000008</v>
      </c>
      <c r="CI90" s="1552">
        <f t="shared" si="106"/>
        <v>9573.8700000000008</v>
      </c>
      <c r="CJ90" s="1101">
        <f>CJ48</f>
        <v>9830.3989999999994</v>
      </c>
      <c r="CK90" s="1104">
        <f t="shared" si="106"/>
        <v>10445.060535942914</v>
      </c>
      <c r="CL90" s="1104">
        <f t="shared" si="106"/>
        <v>11096.699296759052</v>
      </c>
      <c r="CM90" s="1104">
        <f t="shared" si="106"/>
        <v>11790.139281005477</v>
      </c>
      <c r="CN90" s="1552">
        <f t="shared" si="106"/>
        <v>11790.13928100548</v>
      </c>
      <c r="CO90" s="1104">
        <f t="shared" ref="CO90:CX90" si="107">SUM(CO87:CO89)</f>
        <v>12496.383233987599</v>
      </c>
      <c r="CP90" s="1104">
        <f t="shared" si="107"/>
        <v>13208.879568366579</v>
      </c>
      <c r="CQ90" s="1104">
        <f t="shared" si="107"/>
        <v>13954.198771128416</v>
      </c>
      <c r="CR90" s="1104">
        <f t="shared" si="107"/>
        <v>14746.920521974689</v>
      </c>
      <c r="CS90" s="1552">
        <f t="shared" si="107"/>
        <v>14746.920521974687</v>
      </c>
      <c r="CT90" s="1104">
        <f t="shared" si="107"/>
        <v>15600.679541411917</v>
      </c>
      <c r="CU90" s="1104">
        <f t="shared" si="107"/>
        <v>16466.606523147657</v>
      </c>
      <c r="CV90" s="1104">
        <f t="shared" si="107"/>
        <v>17364.086616209413</v>
      </c>
      <c r="CW90" s="1104">
        <f t="shared" si="107"/>
        <v>18309.314241263331</v>
      </c>
      <c r="CX90" s="1552">
        <f t="shared" si="107"/>
        <v>18309.314241263331</v>
      </c>
      <c r="CY90"/>
      <c r="CZ90"/>
      <c r="DA90"/>
      <c r="DB90" s="1105"/>
      <c r="DC90" s="1503"/>
      <c r="DD90" s="1614"/>
      <c r="DE90" s="1503"/>
      <c r="DF90"/>
      <c r="DG90"/>
      <c r="DH90"/>
      <c r="DI90"/>
      <c r="DJ90"/>
      <c r="DK90"/>
    </row>
    <row r="91" spans="1:115" s="47" customFormat="1" ht="12" customHeight="1" collapsed="1" thickBot="1">
      <c r="A91" s="688"/>
      <c r="B91" s="688"/>
      <c r="C91" s="738"/>
      <c r="D91" s="738"/>
      <c r="E91" s="738"/>
      <c r="F91" s="738"/>
      <c r="G91" s="1524"/>
      <c r="H91" s="738"/>
      <c r="I91" s="738"/>
      <c r="J91" s="738"/>
      <c r="K91" s="738"/>
      <c r="L91" s="1524"/>
      <c r="M91" s="738"/>
      <c r="N91" s="738"/>
      <c r="O91" s="738"/>
      <c r="P91" s="738"/>
      <c r="Q91" s="1524"/>
      <c r="R91" s="738"/>
      <c r="S91" s="738"/>
      <c r="T91" s="738"/>
      <c r="U91" s="688"/>
      <c r="V91" s="688"/>
      <c r="W91" s="738"/>
      <c r="X91" s="738"/>
      <c r="Y91" s="738"/>
      <c r="Z91" s="1525"/>
      <c r="AA91" s="1526"/>
      <c r="AB91" s="738"/>
      <c r="AC91" s="738"/>
      <c r="AD91" s="738"/>
      <c r="AE91" s="1527"/>
      <c r="AF91" s="1526"/>
      <c r="AG91" s="738"/>
      <c r="AH91" s="738"/>
      <c r="AI91" s="738"/>
      <c r="AJ91" s="1527"/>
      <c r="AK91" s="1526"/>
      <c r="AL91" s="738"/>
      <c r="AM91" s="738"/>
      <c r="AN91" s="738"/>
      <c r="AO91" s="1527"/>
      <c r="AP91" s="1526"/>
      <c r="AQ91" s="738"/>
      <c r="AR91" s="1223"/>
      <c r="AS91" s="1223"/>
      <c r="AT91" s="1223"/>
      <c r="AU91" s="1528"/>
      <c r="AV91" s="738"/>
      <c r="AW91" s="1223"/>
      <c r="AX91" s="1223"/>
      <c r="AY91" s="1223"/>
      <c r="AZ91" s="1528"/>
      <c r="BA91" s="738"/>
      <c r="BB91" s="1223"/>
      <c r="BC91" s="738"/>
      <c r="BD91" s="1223"/>
      <c r="BE91" s="1528"/>
      <c r="BF91" s="738"/>
      <c r="BG91" s="1223"/>
      <c r="BH91" s="1223"/>
      <c r="BI91" s="1223"/>
      <c r="BJ91" s="1575"/>
      <c r="BK91" s="738"/>
      <c r="BL91" s="1223"/>
      <c r="BM91" s="1223"/>
      <c r="BN91" s="1223"/>
      <c r="BO91" s="1575"/>
      <c r="BP91" s="1223"/>
      <c r="BQ91" s="1223"/>
      <c r="BR91" s="1223"/>
      <c r="BS91" s="1223"/>
      <c r="BT91" s="1575"/>
      <c r="BU91" s="738"/>
      <c r="BV91" s="738"/>
      <c r="BW91" s="738"/>
      <c r="BX91" s="738"/>
      <c r="BY91" s="1575"/>
      <c r="BZ91" s="738"/>
      <c r="CA91" s="738"/>
      <c r="CB91" s="1223"/>
      <c r="CC91" s="1223"/>
      <c r="CD91" s="1593"/>
      <c r="CE91" s="1223"/>
      <c r="CF91" s="1223"/>
      <c r="CG91" s="1223"/>
      <c r="CH91" s="1223"/>
      <c r="CI91" s="1593"/>
      <c r="CJ91" s="1223"/>
      <c r="CK91" s="1223"/>
      <c r="CL91" s="1223"/>
      <c r="CM91" s="1223"/>
      <c r="CN91" s="1593"/>
      <c r="CO91" s="1223"/>
      <c r="CP91" s="1223"/>
      <c r="CQ91" s="1223"/>
      <c r="CR91" s="1223"/>
      <c r="CS91" s="1593"/>
      <c r="CT91" s="1223"/>
      <c r="CU91" s="1223"/>
      <c r="CV91" s="1223"/>
      <c r="CW91" s="1223"/>
      <c r="CX91" s="1593"/>
      <c r="CY91"/>
      <c r="CZ91"/>
      <c r="DA91"/>
      <c r="DB91" s="685"/>
      <c r="DC91" s="688"/>
      <c r="DD91" s="1614"/>
      <c r="DE91" s="688"/>
      <c r="DF91"/>
      <c r="DG91"/>
      <c r="DH91"/>
      <c r="DI91"/>
      <c r="DJ91"/>
      <c r="DK91"/>
    </row>
    <row r="92" spans="1:115" ht="13.5" thickBot="1">
      <c r="A92" s="746" t="s">
        <v>45</v>
      </c>
      <c r="B92" s="746"/>
      <c r="C92" s="747"/>
      <c r="D92" s="747"/>
      <c r="E92" s="747"/>
      <c r="F92" s="747"/>
      <c r="G92" s="747"/>
      <c r="H92" s="747"/>
      <c r="I92" s="747"/>
      <c r="J92" s="747"/>
      <c r="K92" s="747"/>
      <c r="L92" s="747"/>
      <c r="M92" s="747"/>
      <c r="N92" s="747"/>
      <c r="O92" s="747"/>
      <c r="P92" s="747"/>
      <c r="Q92" s="747"/>
      <c r="R92" s="747"/>
      <c r="S92" s="747"/>
      <c r="T92" s="747"/>
      <c r="U92" s="747"/>
      <c r="V92" s="747"/>
      <c r="W92" s="747"/>
      <c r="X92" s="747"/>
      <c r="Y92" s="747"/>
      <c r="Z92" s="747"/>
      <c r="AA92" s="747"/>
      <c r="AB92" s="747"/>
      <c r="AC92" s="747"/>
      <c r="AD92" s="747"/>
      <c r="AE92" s="747"/>
      <c r="AF92" s="747"/>
      <c r="AG92" s="747"/>
      <c r="AH92" s="747"/>
      <c r="AI92" s="747"/>
      <c r="AJ92" s="747"/>
      <c r="AK92" s="747"/>
      <c r="AL92" s="747"/>
      <c r="AM92" s="747"/>
      <c r="AN92" s="747"/>
      <c r="AO92" s="747"/>
      <c r="AP92" s="747"/>
      <c r="AQ92" s="747"/>
      <c r="AR92" s="748"/>
      <c r="AS92" s="748"/>
      <c r="AT92" s="748"/>
      <c r="AU92" s="748"/>
      <c r="AV92" s="747"/>
      <c r="AW92" s="748"/>
      <c r="AX92" s="748"/>
      <c r="AY92" s="748"/>
      <c r="AZ92" s="748"/>
      <c r="BA92" s="747"/>
      <c r="BB92" s="748"/>
      <c r="BC92" s="748"/>
      <c r="BD92" s="748"/>
      <c r="BE92" s="748"/>
      <c r="BF92" s="747"/>
      <c r="BG92" s="748"/>
      <c r="BH92" s="748"/>
      <c r="BI92" s="748"/>
      <c r="BJ92" s="1576"/>
      <c r="BK92" s="747"/>
      <c r="BL92" s="748"/>
      <c r="BM92" s="748"/>
      <c r="BN92" s="748"/>
      <c r="BO92" s="1576"/>
      <c r="BP92" s="748"/>
      <c r="BQ92" s="748"/>
      <c r="BR92" s="748"/>
      <c r="BS92" s="748"/>
      <c r="BT92" s="1576"/>
      <c r="BU92" s="747"/>
      <c r="BV92" s="747"/>
      <c r="BW92" s="747"/>
      <c r="BX92" s="747"/>
      <c r="BY92" s="1576"/>
      <c r="BZ92" s="747"/>
      <c r="CA92" s="747"/>
      <c r="CB92" s="748"/>
      <c r="CC92" s="748"/>
      <c r="CD92" s="1576"/>
      <c r="CE92" s="748"/>
      <c r="CF92" s="748"/>
      <c r="CG92" s="748"/>
      <c r="CH92" s="748"/>
      <c r="CI92" s="1576"/>
      <c r="CJ92" s="748"/>
      <c r="CK92" s="748"/>
      <c r="CL92" s="748"/>
      <c r="CM92" s="748"/>
      <c r="CN92" s="1576"/>
      <c r="CO92" s="748"/>
      <c r="CP92" s="748"/>
      <c r="CQ92" s="748"/>
      <c r="CR92" s="748"/>
      <c r="CS92" s="1576"/>
      <c r="CT92" s="748"/>
      <c r="CU92" s="748"/>
      <c r="CV92" s="748"/>
      <c r="CW92" s="748"/>
      <c r="CX92" s="1576"/>
      <c r="DB92" s="749" t="s">
        <v>378</v>
      </c>
      <c r="DC92" s="687"/>
      <c r="DD92" s="1618"/>
      <c r="DE92" s="687"/>
    </row>
    <row r="93" spans="1:115">
      <c r="A93" s="687"/>
      <c r="B93" s="687"/>
      <c r="C93" s="687"/>
      <c r="D93" s="687"/>
      <c r="E93" s="687"/>
      <c r="F93" s="687"/>
      <c r="G93" s="687"/>
      <c r="H93" s="687"/>
      <c r="I93" s="687"/>
      <c r="J93" s="687"/>
      <c r="K93" s="687"/>
      <c r="L93" s="687"/>
      <c r="M93" s="687"/>
      <c r="N93" s="687"/>
      <c r="O93" s="687"/>
      <c r="P93" s="687"/>
      <c r="Q93" s="687"/>
      <c r="R93" s="687"/>
      <c r="S93" s="687"/>
      <c r="T93" s="687"/>
      <c r="U93" s="687"/>
      <c r="V93" s="687"/>
      <c r="W93" s="687"/>
      <c r="X93" s="687"/>
      <c r="Y93" s="687"/>
      <c r="Z93" s="687"/>
      <c r="AA93" s="687"/>
      <c r="AB93" s="687"/>
      <c r="AC93" s="687"/>
      <c r="AD93" s="687"/>
      <c r="AE93" s="687"/>
      <c r="AF93" s="687"/>
      <c r="AG93" s="710"/>
      <c r="AH93" s="710"/>
      <c r="AI93" s="710"/>
      <c r="AJ93" s="710"/>
      <c r="AK93" s="710"/>
      <c r="AL93" s="710"/>
      <c r="AM93" s="710"/>
      <c r="AN93" s="710"/>
      <c r="AO93" s="710"/>
      <c r="AP93" s="710"/>
      <c r="AQ93" s="710"/>
      <c r="AR93" s="744"/>
      <c r="AS93" s="744"/>
      <c r="AT93" s="744"/>
      <c r="AU93" s="744"/>
      <c r="AV93" s="710"/>
      <c r="AW93" s="744"/>
      <c r="AX93" s="744"/>
      <c r="AY93" s="744"/>
      <c r="AZ93" s="744"/>
      <c r="BA93" s="710"/>
      <c r="BB93" s="744"/>
      <c r="BC93" s="744"/>
      <c r="BD93" s="744"/>
      <c r="BE93" s="744"/>
      <c r="BF93" s="710"/>
      <c r="BG93" s="744"/>
      <c r="BH93" s="744"/>
      <c r="BI93" s="744"/>
      <c r="BJ93" s="1519"/>
      <c r="BK93" s="710"/>
      <c r="BL93" s="744"/>
      <c r="BM93" s="744"/>
      <c r="BN93" s="744"/>
      <c r="BO93" s="1519"/>
      <c r="BP93" s="744"/>
      <c r="BQ93" s="744"/>
      <c r="BR93" s="744"/>
      <c r="BS93" s="744"/>
      <c r="BT93" s="1519"/>
      <c r="BU93" s="710"/>
      <c r="BV93" s="710"/>
      <c r="BW93" s="710"/>
      <c r="BX93" s="710"/>
      <c r="BY93" s="771"/>
      <c r="BZ93" s="710"/>
      <c r="CA93" s="710"/>
      <c r="CB93" s="744"/>
      <c r="CC93" s="744"/>
      <c r="CD93" s="1519"/>
      <c r="CE93" s="744"/>
      <c r="CF93" s="744"/>
      <c r="CG93" s="744"/>
      <c r="CH93" s="744"/>
      <c r="CI93" s="1519"/>
      <c r="CJ93" s="744"/>
      <c r="CK93" s="744"/>
      <c r="CL93" s="744"/>
      <c r="CM93" s="744"/>
      <c r="CN93" s="1519"/>
      <c r="CO93" s="744"/>
      <c r="CP93" s="744"/>
      <c r="CQ93" s="744"/>
      <c r="CR93" s="744"/>
      <c r="CS93" s="1519"/>
      <c r="CT93" s="744"/>
      <c r="CU93" s="744"/>
      <c r="CV93" s="744"/>
      <c r="CW93" s="744"/>
      <c r="CX93" s="1519"/>
      <c r="DB93" s="750"/>
      <c r="DC93" s="687"/>
      <c r="DD93" s="1614"/>
      <c r="DE93" s="687"/>
    </row>
    <row r="94" spans="1:115">
      <c r="A94" s="693" t="s">
        <v>740</v>
      </c>
      <c r="B94" s="693"/>
      <c r="C94" s="687"/>
      <c r="D94" s="687"/>
      <c r="E94" s="687"/>
      <c r="F94" s="687"/>
      <c r="G94" s="687"/>
      <c r="H94" s="687"/>
      <c r="I94" s="687"/>
      <c r="J94" s="687"/>
      <c r="K94" s="687"/>
      <c r="L94" s="687"/>
      <c r="M94" s="687"/>
      <c r="N94" s="687"/>
      <c r="O94" s="687"/>
      <c r="P94" s="687"/>
      <c r="Q94" s="687"/>
      <c r="R94" s="687"/>
      <c r="S94" s="687"/>
      <c r="T94" s="687"/>
      <c r="U94" s="687"/>
      <c r="V94" s="687"/>
      <c r="W94" s="687"/>
      <c r="X94" s="687"/>
      <c r="Y94" s="687"/>
      <c r="Z94" s="687"/>
      <c r="AA94" s="687"/>
      <c r="AB94" s="687"/>
      <c r="AC94" s="687"/>
      <c r="AD94" s="687"/>
      <c r="AE94" s="687"/>
      <c r="AF94" s="687"/>
      <c r="AG94" s="710"/>
      <c r="AH94" s="710"/>
      <c r="AI94" s="710"/>
      <c r="AJ94" s="710"/>
      <c r="AK94" s="710"/>
      <c r="AL94" s="710"/>
      <c r="AM94" s="710"/>
      <c r="AN94" s="710"/>
      <c r="AO94" s="710"/>
      <c r="AP94" s="710"/>
      <c r="AQ94" s="710"/>
      <c r="AR94" s="744"/>
      <c r="AS94" s="744"/>
      <c r="AT94" s="744"/>
      <c r="AU94" s="744"/>
      <c r="AV94" s="710"/>
      <c r="AW94" s="744"/>
      <c r="AX94" s="744"/>
      <c r="AY94" s="744"/>
      <c r="AZ94" s="744"/>
      <c r="BA94" s="710"/>
      <c r="BB94" s="744"/>
      <c r="BC94" s="744"/>
      <c r="BD94" s="744"/>
      <c r="BE94" s="744"/>
      <c r="BF94" s="710"/>
      <c r="BG94" s="744"/>
      <c r="BH94" s="744"/>
      <c r="BI94" s="744"/>
      <c r="BJ94" s="1519"/>
      <c r="BK94" s="710"/>
      <c r="BL94" s="744"/>
      <c r="BM94" s="744"/>
      <c r="BN94" s="744"/>
      <c r="BO94" s="1519"/>
      <c r="BP94" s="744"/>
      <c r="BQ94" s="744"/>
      <c r="BR94" s="744"/>
      <c r="BS94" s="744"/>
      <c r="BT94" s="1519"/>
      <c r="BU94" s="710"/>
      <c r="BV94" s="710"/>
      <c r="BW94" s="710"/>
      <c r="BX94" s="710"/>
      <c r="BY94" s="771"/>
      <c r="BZ94" s="710"/>
      <c r="CA94" s="710"/>
      <c r="CB94" s="744"/>
      <c r="CC94" s="744"/>
      <c r="CD94" s="1519"/>
      <c r="CE94" s="744"/>
      <c r="CF94" s="744"/>
      <c r="CG94" s="744"/>
      <c r="CH94" s="744"/>
      <c r="CI94" s="1519"/>
      <c r="CJ94" s="744"/>
      <c r="CK94" s="744"/>
      <c r="CL94" s="744"/>
      <c r="CM94" s="744"/>
      <c r="CN94" s="1519"/>
      <c r="CO94" s="744"/>
      <c r="CP94" s="744"/>
      <c r="CQ94" s="744"/>
      <c r="CR94" s="744"/>
      <c r="CS94" s="1519"/>
      <c r="CT94" s="744"/>
      <c r="CU94" s="744"/>
      <c r="CV94" s="744"/>
      <c r="CW94" s="744"/>
      <c r="CX94" s="1519"/>
      <c r="DB94" s="750"/>
      <c r="DC94" s="687"/>
      <c r="DD94" s="1614"/>
      <c r="DE94" s="687"/>
    </row>
    <row r="95" spans="1:115">
      <c r="A95" s="699" t="s">
        <v>665</v>
      </c>
      <c r="B95" s="699"/>
      <c r="C95" s="687"/>
      <c r="D95" s="687"/>
      <c r="E95" s="687"/>
      <c r="F95" s="687"/>
      <c r="G95" s="687"/>
      <c r="H95" s="710">
        <f>(BS!H10*91.25)/Model!H$24</f>
        <v>48.930690454504727</v>
      </c>
      <c r="I95" s="710">
        <f>(BS!I10*91.25)/Model!I$24</f>
        <v>38.492980347177799</v>
      </c>
      <c r="J95" s="710">
        <f>(BS!J10*91.25)/Model!J$24</f>
        <v>46.416009077538178</v>
      </c>
      <c r="K95" s="710">
        <f>(BS!K10*91.25)/Model!K$24</f>
        <v>36.080190664304574</v>
      </c>
      <c r="L95" s="710">
        <f>(BS!L10*365)/Model!L$24</f>
        <v>36.508523439458514</v>
      </c>
      <c r="M95" s="710">
        <f>(BS!M10*91.25)/Model!M$24</f>
        <v>41.684341265430547</v>
      </c>
      <c r="N95" s="710">
        <f>(BS!N10*91.25)/Model!N$24</f>
        <v>36.832796599051683</v>
      </c>
      <c r="O95" s="710">
        <f>(BS!O10*91.25)/Model!O$24</f>
        <v>31.083766553230429</v>
      </c>
      <c r="P95" s="710">
        <f>(BS!P10*91.25)/Model!P$24</f>
        <v>37.232013380332759</v>
      </c>
      <c r="Q95" s="710">
        <f>(BS!Q10*365)/Model!Q$24</f>
        <v>41.24622996426335</v>
      </c>
      <c r="R95" s="710">
        <f>(BS!R10*91.25)/Model!R$24</f>
        <v>26.506372244442815</v>
      </c>
      <c r="S95" s="710">
        <f>(BS!S10*91.25)/Model!S$24</f>
        <v>23.509583379055563</v>
      </c>
      <c r="T95" s="710">
        <f>(BS!T10*91.25)/Model!T$24</f>
        <v>24.99247299442921</v>
      </c>
      <c r="U95" s="710">
        <f>(BS!U10*91.25)/Model!U$24</f>
        <v>30.156975404072625</v>
      </c>
      <c r="V95" s="687">
        <f>(BS!V10*365)/Model!V$24</f>
        <v>31.087552900219066</v>
      </c>
      <c r="W95" s="710">
        <f>(BS!W10*91.25)/Model!W$24</f>
        <v>26.697188727843312</v>
      </c>
      <c r="X95" s="710">
        <f>(BS!X10*91.25)/Model!X$24</f>
        <v>31.673120422394661</v>
      </c>
      <c r="Y95" s="710">
        <f>(BS!Y10*91.25)/Model!Y$24</f>
        <v>29.459211685306517</v>
      </c>
      <c r="Z95" s="710">
        <f>(BS!Z10*91.25)/Model!Z$24</f>
        <v>30.974734555842705</v>
      </c>
      <c r="AA95" s="687">
        <f>(BS!AA10*365)/Model!AA$24</f>
        <v>32.158749766696282</v>
      </c>
      <c r="AB95" s="710">
        <f>(BS!AB10*91.25)/Model!AB$24</f>
        <v>39.192181125834885</v>
      </c>
      <c r="AC95" s="710">
        <f>(BS!AC10*91.25)/Model!AC$24</f>
        <v>39.667419931513749</v>
      </c>
      <c r="AD95" s="710">
        <f>(BS!AD10*91.25)/Model!AD$24</f>
        <v>43.123315526137063</v>
      </c>
      <c r="AE95" s="710">
        <f>(BS!AE10*91.25)/Model!AE$24</f>
        <v>47.72876278081138</v>
      </c>
      <c r="AF95" s="687">
        <f>(BS!AF10*365)/Model!AF$24</f>
        <v>50.571768337669404</v>
      </c>
      <c r="AG95" s="710">
        <f>(BS!AG10*91.25)/Model!AG$24</f>
        <v>42.820996693906899</v>
      </c>
      <c r="AH95" s="710">
        <f>(BS!AH10*91.25)/Model!AH$24</f>
        <v>38.930536349699629</v>
      </c>
      <c r="AI95" s="710">
        <f>(BS!AI10*91.25)/Model!AI$24</f>
        <v>27.958615323018105</v>
      </c>
      <c r="AJ95" s="710">
        <f>(BS!AJ10*91.25)/Model!AJ$24</f>
        <v>31.85950482380041</v>
      </c>
      <c r="AK95" s="687">
        <f>(BS!AK10*365)/Model!AK$24</f>
        <v>36.772419543358346</v>
      </c>
      <c r="AL95" s="710">
        <f>(BS!AL10*91.25)/Model!AL$24</f>
        <v>30.052976320828353</v>
      </c>
      <c r="AM95" s="710">
        <f>(BS!AM10*91.25)/Model!AM$24</f>
        <v>33.042507718015614</v>
      </c>
      <c r="AN95" s="710">
        <f>(BS!AN10*91.25)/Model!AN$24</f>
        <v>33.730094549831676</v>
      </c>
      <c r="AO95" s="710">
        <f>(BS!AO10*91.25)/Model!AO$24</f>
        <v>46.58041726164398</v>
      </c>
      <c r="AP95" s="687">
        <f>(BS!AP10*365)/Model!AP$24</f>
        <v>47.638463092012067</v>
      </c>
      <c r="AQ95" s="710">
        <f>(BS!AQ10*91.25)/Model!AQ$24</f>
        <v>34.816541410750396</v>
      </c>
      <c r="AR95" s="687">
        <f>(BS!AR10*91.25)/Model!AR$24</f>
        <v>34.004520536475788</v>
      </c>
      <c r="AS95" s="687">
        <f>(BS!AS10*91.25)/Model!AS$24</f>
        <v>36.866854024404056</v>
      </c>
      <c r="AT95" s="687">
        <f>(BS!AT10*91.25)/Model!AT$24</f>
        <v>49.509508004273179</v>
      </c>
      <c r="AU95" s="687">
        <f>(BS!AU10*365)/Model!AU$24</f>
        <v>50.909137353425322</v>
      </c>
      <c r="AV95" s="710">
        <f>(BS!AV10*91.25)/Model!AV$24</f>
        <v>37.254164725748218</v>
      </c>
      <c r="AW95" s="710">
        <f>(BS!AW10*91.25)/Model!AW$24</f>
        <v>42.493151102557171</v>
      </c>
      <c r="AX95" s="710">
        <f>(BS!AX10*91.25)/Model!AX$24</f>
        <v>44.647419164935741</v>
      </c>
      <c r="AY95" s="710">
        <f>(BS!AY10*91.25)/Model!AY$24</f>
        <v>50.18367055377967</v>
      </c>
      <c r="AZ95" s="687">
        <f>(BS!AZ10*365)/Model!AZ$24</f>
        <v>53.244663157894735</v>
      </c>
      <c r="BA95" s="710">
        <f>(BS!BA10*91.25)/Model!BA$24</f>
        <v>47.356404701344538</v>
      </c>
      <c r="BB95" s="710">
        <f>(BS!BB10*91.25)/Model!BB$24</f>
        <v>50.706682310719827</v>
      </c>
      <c r="BC95" s="710">
        <f>(BS!BC10*91.25)/Model!BC$24</f>
        <v>50.372429461948741</v>
      </c>
      <c r="BD95" s="710">
        <f>(BS!BD10*91.25)/Model!BD$24</f>
        <v>50.241707756120903</v>
      </c>
      <c r="BE95" s="687">
        <f>(BS!BE10*365)/Model!BE$24</f>
        <v>54.917451683459603</v>
      </c>
      <c r="BF95" s="710">
        <f>(BS!BF10*91.25)/Model!BF$24</f>
        <v>44.717144476760879</v>
      </c>
      <c r="BG95" s="710">
        <f>(BS!BG10*91.25)/Model!BG$24</f>
        <v>42.960533336772052</v>
      </c>
      <c r="BH95" s="710">
        <f>(BS!BH10*91.25)/Model!BH$24</f>
        <v>47.852753845157238</v>
      </c>
      <c r="BI95" s="710">
        <f>(BS!BI10*91.25)/Model!BI$24</f>
        <v>48.830539270765058</v>
      </c>
      <c r="BJ95" s="701">
        <f>(BS!BJ10*365)/Model!BJ$24</f>
        <v>51.159529865610033</v>
      </c>
      <c r="BK95" s="710">
        <f>(BS!BK10*91.25)/Model!BK$24</f>
        <v>43.983062598164651</v>
      </c>
      <c r="BL95" s="710">
        <f>(BS!BL10*91.25)/Model!BL$24</f>
        <v>42.444497990696149</v>
      </c>
      <c r="BM95" s="710">
        <f>(BS!BM10*91.25)/Model!BM$24</f>
        <v>47.90363891152716</v>
      </c>
      <c r="BN95" s="710">
        <f>(BS!BN10*91.25)/Model!BN$24</f>
        <v>52.54260107766256</v>
      </c>
      <c r="BO95" s="701">
        <f>(BS!BO10*365)/Model!BO$24</f>
        <v>53.988000710192253</v>
      </c>
      <c r="BP95" s="710">
        <f>(BS!BP10*91.25)/Model!BP$24</f>
        <v>46.578174369075711</v>
      </c>
      <c r="BQ95" s="710">
        <f>(BS!BQ10*91.25)/Model!BQ$24</f>
        <v>45.40742650307805</v>
      </c>
      <c r="BR95" s="710">
        <f>(BS!BR10*91.25)/Model!BR$24</f>
        <v>47.950837669048113</v>
      </c>
      <c r="BS95" s="710">
        <f>(BS!BS10*91.25)/Model!BS$24</f>
        <v>50.31243944069287</v>
      </c>
      <c r="BT95" s="701">
        <f>(BS!BT10*365)/Model!BT$24</f>
        <v>52.086716750280019</v>
      </c>
      <c r="BU95" s="710">
        <f>(BS!BU10*91.25)/Model!BU$24</f>
        <v>43.801655230300554</v>
      </c>
      <c r="BV95" s="710">
        <f>(BS!BV10*91.25)/Model!BV$24</f>
        <v>39.464342412993766</v>
      </c>
      <c r="BW95" s="710">
        <f>(BS!BW10*91.25)/Model!BW$24</f>
        <v>44.476289818750367</v>
      </c>
      <c r="BX95" s="710">
        <f>(BS!BX10*91.25)/Model!BX$24</f>
        <v>46.938426015229602</v>
      </c>
      <c r="BY95" s="701">
        <f>(BS!BY10*365)/Model!BY$24</f>
        <v>51.148290557565197</v>
      </c>
      <c r="BZ95" s="710">
        <f>(BS!BZ10*91.25)/Model!BZ$24</f>
        <v>39.52595629402856</v>
      </c>
      <c r="CA95" s="710">
        <f>(BS!CA10*91.25)/Model!CA$24</f>
        <v>43.497010457500444</v>
      </c>
      <c r="CB95" s="710">
        <f>(BS!CB10*91.25)/Model!CB$24</f>
        <v>45.574044701827297</v>
      </c>
      <c r="CC95" s="710">
        <f>(BS!CC10*91.25)/Model!CC$24</f>
        <v>47.260235827853315</v>
      </c>
      <c r="CD95" s="701">
        <f>(BS!CD10*365)/Model!CD$24</f>
        <v>51.936233758025971</v>
      </c>
      <c r="CE95" s="710">
        <f>(BS!CE10*91.25)/Model!CE$24</f>
        <v>46.168545579747466</v>
      </c>
      <c r="CF95" s="710">
        <f>(BS!CF10*91.25)/Model!CF$24</f>
        <v>46.415731383203827</v>
      </c>
      <c r="CG95" s="710">
        <f>(BS!CG10*91.25)/Model!CG$24</f>
        <v>49.870110462697319</v>
      </c>
      <c r="CH95" s="710">
        <f>(BS!CH10*91.25)/Model!CH$24</f>
        <v>55.387150870006153</v>
      </c>
      <c r="CI95" s="701">
        <f>(BS!CI10*365)/Model!CI$24</f>
        <v>60.88584750678114</v>
      </c>
      <c r="CJ95" s="710">
        <f>(BS!CJ10*91.25)/Model!CJ$24</f>
        <v>46.644028202739179</v>
      </c>
      <c r="CK95" s="745">
        <f t="shared" ref="CK95:CL95" si="108">CF95-2</f>
        <v>44.415731383203827</v>
      </c>
      <c r="CL95" s="745">
        <f t="shared" si="108"/>
        <v>47.870110462697319</v>
      </c>
      <c r="CM95" s="745">
        <f>CH95-5</f>
        <v>50.387150870006153</v>
      </c>
      <c r="CN95" s="1574">
        <f>(BS!CN10*365)/Model!CN$24</f>
        <v>53.92174507684279</v>
      </c>
      <c r="CO95" s="745">
        <f>CJ95</f>
        <v>46.644028202739179</v>
      </c>
      <c r="CP95" s="745">
        <f t="shared" ref="CP95" si="109">CK95</f>
        <v>44.415731383203827</v>
      </c>
      <c r="CQ95" s="745">
        <f t="shared" ref="CQ95" si="110">CL95</f>
        <v>47.870110462697319</v>
      </c>
      <c r="CR95" s="745">
        <f t="shared" ref="CR95" si="111">CM95</f>
        <v>50.387150870006153</v>
      </c>
      <c r="CS95" s="1574">
        <f>(BS!CS10*365)/Model!CS$24</f>
        <v>53.8911275926611</v>
      </c>
      <c r="CT95" s="745">
        <f>CO95</f>
        <v>46.644028202739179</v>
      </c>
      <c r="CU95" s="745">
        <f t="shared" ref="CU95" si="112">CP95</f>
        <v>44.415731383203827</v>
      </c>
      <c r="CV95" s="745">
        <f t="shared" ref="CV95" si="113">CQ95</f>
        <v>47.870110462697319</v>
      </c>
      <c r="CW95" s="745">
        <f t="shared" ref="CW95" si="114">CR95</f>
        <v>50.387150870006153</v>
      </c>
      <c r="CX95" s="1574">
        <f>(BS!CX10*365)/Model!CX$24</f>
        <v>53.312969801828785</v>
      </c>
      <c r="DB95" s="750"/>
      <c r="DC95" s="687"/>
      <c r="DD95" s="1614"/>
      <c r="DE95" s="687"/>
    </row>
    <row r="96" spans="1:115">
      <c r="A96" s="699" t="s">
        <v>87</v>
      </c>
      <c r="B96" s="699"/>
      <c r="C96" s="687"/>
      <c r="D96" s="687"/>
      <c r="E96" s="687"/>
      <c r="F96" s="687"/>
      <c r="G96" s="687"/>
      <c r="H96" s="710">
        <f>(Model!H24*4)/BS!H10</f>
        <v>7.4595309530605007</v>
      </c>
      <c r="I96" s="710">
        <f>(Model!I24*4)/BS!I10</f>
        <v>9.4822483660130725</v>
      </c>
      <c r="J96" s="710">
        <f>(Model!J24*4)/BS!J10</f>
        <v>7.863666162902236</v>
      </c>
      <c r="K96" s="710">
        <f>(Model!K24*4)/BS!K10</f>
        <v>10.116354522513863</v>
      </c>
      <c r="L96" s="710">
        <f>(Model!L24)/BS!L10</f>
        <v>9.9976653562906623</v>
      </c>
      <c r="M96" s="710">
        <f>(Model!M24*4)/BS!M10</f>
        <v>8.7562856679397747</v>
      </c>
      <c r="N96" s="710">
        <f>(Model!N24*4)/BS!N10</f>
        <v>9.909646665531703</v>
      </c>
      <c r="O96" s="710">
        <f>(Model!O24*4)/BS!O10</f>
        <v>11.742463686791098</v>
      </c>
      <c r="P96" s="710">
        <f>(Model!P24*4)/BS!P10</f>
        <v>9.8033914059776741</v>
      </c>
      <c r="Q96" s="710">
        <f>(Model!Q24)/BS!Q10</f>
        <v>8.8492936279568841</v>
      </c>
      <c r="R96" s="710">
        <f>(Model!R24*4)/BS!R10</f>
        <v>13.770273677361637</v>
      </c>
      <c r="S96" s="710">
        <f>(Model!S24*4)/BS!S10</f>
        <v>15.525583508433188</v>
      </c>
      <c r="T96" s="710">
        <f>(Model!T24*4)/BS!T10</f>
        <v>14.604397095131722</v>
      </c>
      <c r="U96" s="710">
        <f>(Model!U24*4)/BS!U10</f>
        <v>12.103335799077106</v>
      </c>
      <c r="V96" s="687">
        <f>(Model!V24)/BS!V10</f>
        <v>11.741033498890417</v>
      </c>
      <c r="W96" s="687">
        <f>(Model!W24*4)/BS!W10</f>
        <v>13.671851509193941</v>
      </c>
      <c r="X96" s="687">
        <f>(Model!X24*4)/BS!X10</f>
        <v>11.523967172553187</v>
      </c>
      <c r="Y96" s="687">
        <f>(Model!Y24*4)/BS!Y10</f>
        <v>12.390012465338726</v>
      </c>
      <c r="Z96" s="687">
        <f>(Model!Z24*4)/BS!Z10</f>
        <v>11.783797512193717</v>
      </c>
      <c r="AA96" s="687">
        <f>(Model!AA24)/BS!AA10</f>
        <v>11.349943721319518</v>
      </c>
      <c r="AB96" s="687">
        <f>(Model!AB24*4)/BS!AB10</f>
        <v>9.3130820871665563</v>
      </c>
      <c r="AC96" s="687">
        <f>(Model!AC24*4)/BS!AC10</f>
        <v>9.2015059368664929</v>
      </c>
      <c r="AD96" s="687">
        <f>(Model!AD24*4)/BS!AD10</f>
        <v>8.4640987258684532</v>
      </c>
      <c r="AE96" s="687">
        <f>(Model!AE24*4)/BS!AE10</f>
        <v>7.6473802951109118</v>
      </c>
      <c r="AF96" s="687">
        <f>(Model!AF24)/BS!AF10</f>
        <v>7.2174656334515079</v>
      </c>
      <c r="AG96" s="687">
        <f>(Model!AG24*4)/BS!AG10</f>
        <v>8.5238557759197775</v>
      </c>
      <c r="AH96" s="687">
        <f>(Model!AH24*4)/BS!AH10</f>
        <v>9.3756735515105802</v>
      </c>
      <c r="AI96" s="687">
        <f>(Model!AI24*4)/BS!AI10</f>
        <v>13.055009905998398</v>
      </c>
      <c r="AJ96" s="687">
        <f>(Model!AJ24*4)/BS!AJ10</f>
        <v>11.45654968646372</v>
      </c>
      <c r="AK96" s="687">
        <f>(Model!AK24)/BS!AK10</f>
        <v>9.9259174275880504</v>
      </c>
      <c r="AL96" s="687">
        <f>(Model!AL24*4)/BS!AL10</f>
        <v>12.145219698157984</v>
      </c>
      <c r="AM96" s="687">
        <f>(Model!AM24*4)/BS!AM10</f>
        <v>11.046377082360269</v>
      </c>
      <c r="AN96" s="687">
        <f>(Model!AN24*4)/BS!AN10</f>
        <v>10.821197060706771</v>
      </c>
      <c r="AO96" s="687">
        <f>(Model!AO24*4)/BS!AO10</f>
        <v>7.8359109140173882</v>
      </c>
      <c r="AP96" s="687">
        <f>(Model!AP24)/BS!AP10</f>
        <v>7.661876062101646</v>
      </c>
      <c r="AQ96" s="687">
        <f>(Model!AQ24*4)/BS!AQ10</f>
        <v>10.483522636378179</v>
      </c>
      <c r="AR96" s="687">
        <f>(Model!AR24*4)/BS!AR10</f>
        <v>10.733866975376811</v>
      </c>
      <c r="AS96" s="687">
        <f>(Model!AS24*4)/BS!AS10</f>
        <v>9.9004921808187873</v>
      </c>
      <c r="AT96" s="687">
        <f>(Model!AT24*4)/BS!AT10</f>
        <v>7.3723212916698104</v>
      </c>
      <c r="AU96" s="687">
        <f>(Model!AU24)/BS!AU10</f>
        <v>7.1696363162877619</v>
      </c>
      <c r="AV96" s="687">
        <f>(Model!AV24*4)/BS!AV10</f>
        <v>9.7975623044295546</v>
      </c>
      <c r="AW96" s="687">
        <f>(Model!AW24*4)/BS!AW10</f>
        <v>8.5896195158385158</v>
      </c>
      <c r="AX96" s="687">
        <f>(Model!AX24*4)/BS!AX10</f>
        <v>8.1751645856980701</v>
      </c>
      <c r="AY96" s="687">
        <f>(Model!AY24*4)/BS!AY10</f>
        <v>7.2732822444473308</v>
      </c>
      <c r="AZ96" s="687">
        <f>(Model!AZ24)/BS!AZ10</f>
        <v>6.8551471331053095</v>
      </c>
      <c r="BA96" s="687">
        <f>(Model!BA24*4)/BS!BA10</f>
        <v>7.7075107855397853</v>
      </c>
      <c r="BB96" s="687">
        <f>(Model!BB24*4)/BS!BB10</f>
        <v>7.198262307191726</v>
      </c>
      <c r="BC96" s="687">
        <f>(Model!BC24*4)/BS!BC10</f>
        <v>7.2460273188872195</v>
      </c>
      <c r="BD96" s="687">
        <f>(Model!BD24*4)/BS!BD10</f>
        <v>7.264880441002374</v>
      </c>
      <c r="BE96" s="687">
        <f>(Model!BE24)/BS!BE10</f>
        <v>6.6463389835317699</v>
      </c>
      <c r="BF96" s="687">
        <f>(Model!BF24*4)/BS!BF10</f>
        <v>8.1624174412497972</v>
      </c>
      <c r="BG96" s="687">
        <f>(Model!BG24*4)/BS!BG10</f>
        <v>8.4961701275616708</v>
      </c>
      <c r="BH96" s="687">
        <f>(Model!BH24*4)/BS!BH10</f>
        <v>7.6275652009719916</v>
      </c>
      <c r="BI96" s="687">
        <f>(Model!BI24*4)/BS!BI10</f>
        <v>7.4748304125022482</v>
      </c>
      <c r="BJ96" s="701">
        <f>(Model!BJ24)/BS!BJ10</f>
        <v>7.1345456253959201</v>
      </c>
      <c r="BK96" s="687">
        <f>(Model!BK24*4)/BS!BK10</f>
        <v>8.2986490353045799</v>
      </c>
      <c r="BL96" s="687">
        <f>(Model!BL24*4)/BS!BL10</f>
        <v>8.5994655910409907</v>
      </c>
      <c r="BM96" s="687">
        <f>(Model!BM24*4)/BS!BM10</f>
        <v>7.6194629112438728</v>
      </c>
      <c r="BN96" s="687">
        <f>(Model!BN24*4)/BS!BN10</f>
        <v>6.9467440232069606</v>
      </c>
      <c r="BO96" s="701">
        <f>(Model!BO24)/BS!BO10</f>
        <v>6.760761561801873</v>
      </c>
      <c r="BP96" s="687">
        <f>(Model!BP24*4)/BS!BP10</f>
        <v>7.8362882389467723</v>
      </c>
      <c r="BQ96" s="687">
        <f>(Model!BQ24*4)/BS!BQ10</f>
        <v>8.0383326717548638</v>
      </c>
      <c r="BR96" s="687">
        <f>(Model!BR24*4)/BS!BR10</f>
        <v>7.6119629550414425</v>
      </c>
      <c r="BS96" s="687">
        <f>(Model!BS24*4)/BS!BS10</f>
        <v>7.2546671172693484</v>
      </c>
      <c r="BT96" s="701">
        <f>(Model!BT24)/BS!BT10</f>
        <v>7.0075447786414324</v>
      </c>
      <c r="BU96" s="687">
        <f>(Model!BU24*4)/BS!BU10</f>
        <v>8.3330184231828959</v>
      </c>
      <c r="BV96" s="687">
        <f>(Model!BV24*4)/BS!BV10</f>
        <v>9.2488554903634359</v>
      </c>
      <c r="BW96" s="687">
        <f>(Model!BW24*4)/BS!BW10</f>
        <v>8.2066197852259446</v>
      </c>
      <c r="BX96" s="687">
        <f>(Model!BX24*4)/BS!BX10</f>
        <v>7.7761448558495001</v>
      </c>
      <c r="BY96" s="701">
        <f>(Model!BY24)/BS!BY10</f>
        <v>7.1361133680354039</v>
      </c>
      <c r="BZ96" s="687">
        <f>(Model!BZ24*4)/BS!BZ10</f>
        <v>9.2344381824644906</v>
      </c>
      <c r="CA96" s="687">
        <f>(Model!CA24*4)/BS!CA10</f>
        <v>8.3913812963451804</v>
      </c>
      <c r="CB96" s="687">
        <f>(Model!CB24*4)/BS!CB10</f>
        <v>8.0089446172278258</v>
      </c>
      <c r="CC96" s="687">
        <f>(Model!CC24*4)/BS!CC10</f>
        <v>7.7231946393480202</v>
      </c>
      <c r="CD96" s="701">
        <f>(Model!CD24)/BS!CD10</f>
        <v>7.0278488367207546</v>
      </c>
      <c r="CE96" s="687">
        <f>(Model!CE24*4)/BS!CE10</f>
        <v>7.905815429457947</v>
      </c>
      <c r="CF96" s="687">
        <f>(Model!CF24*4)/BS!CF10</f>
        <v>7.8637132093555735</v>
      </c>
      <c r="CG96" s="687">
        <f>(Model!CG24*4)/BS!CG10</f>
        <v>7.3190132649298789</v>
      </c>
      <c r="CH96" s="687">
        <f>(Model!CH24*4)/BS!CH10</f>
        <v>6.5899760913258802</v>
      </c>
      <c r="CI96" s="701">
        <f>(Model!CI24)/BS!CI10</f>
        <v>5.9948249871917811</v>
      </c>
      <c r="CJ96" s="687">
        <f>(Model!CJ24*4)/BS!CJ10</f>
        <v>7.8252246657068385</v>
      </c>
      <c r="CK96" s="745">
        <f>(Model!CK24*4)/BS!CK10</f>
        <v>8.2178090652364624</v>
      </c>
      <c r="CL96" s="745">
        <f>(Model!CL24*4)/BS!CL10</f>
        <v>7.6247996186352118</v>
      </c>
      <c r="CM96" s="745">
        <f>(Model!CM24*4)/BS!CM10</f>
        <v>7.2439102766827155</v>
      </c>
      <c r="CN96" s="1574">
        <f>(Model!CN24)/BS!CN10</f>
        <v>6.7690687584358757</v>
      </c>
      <c r="CO96" s="745">
        <f>(Model!CO24*4)/BS!CO10</f>
        <v>7.8252246657068376</v>
      </c>
      <c r="CP96" s="745">
        <f>(Model!CP24*4)/BS!CP10</f>
        <v>8.2178090652364606</v>
      </c>
      <c r="CQ96" s="745">
        <f>(Model!CQ24*4)/BS!CQ10</f>
        <v>7.6247996186352118</v>
      </c>
      <c r="CR96" s="745">
        <f>(Model!CR24*4)/BS!CR10</f>
        <v>7.2439102766827155</v>
      </c>
      <c r="CS96" s="1574">
        <f>(Model!CS24)/BS!CS10</f>
        <v>6.7729145093951555</v>
      </c>
      <c r="CT96" s="745">
        <f>(Model!CT24*4)/BS!CT10</f>
        <v>7.8252246657068367</v>
      </c>
      <c r="CU96" s="745">
        <f>(Model!CU24*4)/BS!CU10</f>
        <v>8.2178090652364606</v>
      </c>
      <c r="CV96" s="745">
        <f>(Model!CV24*4)/BS!CV10</f>
        <v>7.6247996186352118</v>
      </c>
      <c r="CW96" s="745">
        <f>(Model!CW24*4)/BS!CW10</f>
        <v>7.2439102766827146</v>
      </c>
      <c r="CX96" s="1574">
        <f>(Model!CX24)/BS!CX10</f>
        <v>6.8463640528140202</v>
      </c>
      <c r="DB96" s="750"/>
      <c r="DC96" s="687"/>
      <c r="DD96" s="1614"/>
      <c r="DE96" s="687"/>
    </row>
    <row r="97" spans="1:109">
      <c r="A97" s="699"/>
      <c r="B97" s="699"/>
      <c r="C97" s="687"/>
      <c r="D97" s="687"/>
      <c r="E97" s="687"/>
      <c r="F97" s="687"/>
      <c r="G97" s="687"/>
      <c r="H97" s="710"/>
      <c r="I97" s="710"/>
      <c r="J97" s="710"/>
      <c r="K97" s="710"/>
      <c r="L97" s="710"/>
      <c r="M97" s="710"/>
      <c r="N97" s="710"/>
      <c r="O97" s="710"/>
      <c r="P97" s="710"/>
      <c r="Q97" s="710"/>
      <c r="R97" s="710"/>
      <c r="S97" s="710"/>
      <c r="T97" s="710"/>
      <c r="U97" s="751"/>
      <c r="V97" s="687"/>
      <c r="W97" s="752"/>
      <c r="X97" s="752"/>
      <c r="Y97" s="752"/>
      <c r="Z97" s="752"/>
      <c r="AA97" s="687"/>
      <c r="AB97" s="687"/>
      <c r="AC97" s="687"/>
      <c r="AD97" s="687"/>
      <c r="AE97" s="687"/>
      <c r="AF97" s="687"/>
      <c r="AG97" s="687"/>
      <c r="AH97" s="687"/>
      <c r="AI97" s="687"/>
      <c r="AJ97" s="687"/>
      <c r="AK97" s="687"/>
      <c r="AL97" s="687"/>
      <c r="AM97" s="687"/>
      <c r="AN97" s="687"/>
      <c r="AO97" s="687"/>
      <c r="AP97" s="687"/>
      <c r="AQ97" s="687"/>
      <c r="AR97" s="710"/>
      <c r="AS97" s="710"/>
      <c r="AT97" s="710"/>
      <c r="AU97" s="687"/>
      <c r="AV97" s="687"/>
      <c r="AW97" s="687"/>
      <c r="AX97" s="687"/>
      <c r="AY97" s="687"/>
      <c r="AZ97" s="687"/>
      <c r="BA97" s="687"/>
      <c r="BB97" s="687"/>
      <c r="BC97" s="745"/>
      <c r="BD97" s="687"/>
      <c r="BE97" s="687"/>
      <c r="BF97" s="687"/>
      <c r="BG97" s="687"/>
      <c r="BH97" s="687"/>
      <c r="BI97" s="687"/>
      <c r="BJ97" s="701"/>
      <c r="BK97" s="687"/>
      <c r="BL97" s="687"/>
      <c r="BM97" s="687"/>
      <c r="BN97" s="687"/>
      <c r="BO97" s="701"/>
      <c r="BP97" s="687"/>
      <c r="BQ97" s="687"/>
      <c r="BR97" s="687"/>
      <c r="BS97" s="687"/>
      <c r="BT97" s="701"/>
      <c r="BU97" s="687"/>
      <c r="BV97" s="687"/>
      <c r="BW97" s="687"/>
      <c r="BX97" s="687"/>
      <c r="BY97" s="701"/>
      <c r="BZ97" s="687"/>
      <c r="CA97" s="687"/>
      <c r="CB97" s="687"/>
      <c r="CC97" s="687"/>
      <c r="CD97" s="701"/>
      <c r="CE97" s="687"/>
      <c r="CF97" s="687"/>
      <c r="CG97" s="687"/>
      <c r="CH97" s="687"/>
      <c r="CI97" s="701"/>
      <c r="CJ97" s="687"/>
      <c r="CK97" s="745"/>
      <c r="CL97" s="745"/>
      <c r="CM97" s="745"/>
      <c r="CN97" s="1574"/>
      <c r="CO97" s="745"/>
      <c r="CP97" s="745"/>
      <c r="CQ97" s="745"/>
      <c r="CR97" s="745"/>
      <c r="CS97" s="1574"/>
      <c r="CT97" s="745"/>
      <c r="CU97" s="745"/>
      <c r="CV97" s="745"/>
      <c r="CW97" s="745"/>
      <c r="CX97" s="1574"/>
      <c r="DB97" s="750"/>
      <c r="DC97" s="687"/>
      <c r="DD97" s="1614"/>
      <c r="DE97" s="687"/>
    </row>
    <row r="98" spans="1:109">
      <c r="A98" s="699" t="s">
        <v>354</v>
      </c>
      <c r="B98" s="699"/>
      <c r="C98" s="687"/>
      <c r="D98" s="687"/>
      <c r="E98" s="687"/>
      <c r="F98" s="687"/>
      <c r="G98" s="687"/>
      <c r="H98" s="710">
        <f>(91.25)/((Model!H32+Model!H65)/BS!H26)</f>
        <v>16.100136518946162</v>
      </c>
      <c r="I98" s="710">
        <f>(91.25)/((Model!I32+Model!I65)/BS!I26)</f>
        <v>13.92238238555362</v>
      </c>
      <c r="J98" s="710">
        <f>(91.25)/((Model!J32+Model!J65)/BS!J26)</f>
        <v>14.156007514112563</v>
      </c>
      <c r="K98" s="710">
        <f>(91.25)/((Model!K32+Model!K65)/BS!K26)</f>
        <v>16.344646575316478</v>
      </c>
      <c r="L98" s="710">
        <f>365/((Model!L32+Model!L44+Model!L48+Model!L52)/BS!L26)</f>
        <v>16.431876891679412</v>
      </c>
      <c r="M98" s="710">
        <f>(91.25)/((Model!M32+Model!M65)/BS!M26)</f>
        <v>14.418281828390802</v>
      </c>
      <c r="N98" s="710">
        <f>(91.25)/((Model!N32+Model!N65)/BS!N26)</f>
        <v>16.48194022345147</v>
      </c>
      <c r="O98" s="710">
        <f>(91.25)/((Model!O32+Model!O65)/BS!O26)</f>
        <v>12.871955081681667</v>
      </c>
      <c r="P98" s="710">
        <f>(91.25)/((Model!P32+Model!P65)/BS!P26)</f>
        <v>14.033415424684097</v>
      </c>
      <c r="Q98" s="710">
        <f>365/((Model!Q32+Model!Q44+Model!Q48+Model!Q52)/BS!Q26)</f>
        <v>14.920090277186338</v>
      </c>
      <c r="R98" s="710">
        <f>(91.25)/((Model!R32+Model!R65)/BS!R26)</f>
        <v>12.492615924220921</v>
      </c>
      <c r="S98" s="710">
        <f>(91.25)/((Model!S32+Model!S65)/BS!S26)</f>
        <v>11.270946258285305</v>
      </c>
      <c r="T98" s="710">
        <f>(91.25)/((Model!T32+Model!T65)/BS!T26)</f>
        <v>12.700565491896324</v>
      </c>
      <c r="U98" s="710">
        <f>(91.25)/((Model!U32+Model!U65)/BS!U26)</f>
        <v>13.920698777563111</v>
      </c>
      <c r="V98" s="687">
        <f>365/((Model!V32+Model!V44+Model!V48+Model!V52)/BS!V26)</f>
        <v>14.668097027597096</v>
      </c>
      <c r="W98" s="710">
        <f>(91.25)/((Model!W32+Model!W65)/BS!W26)</f>
        <v>11.648968295992322</v>
      </c>
      <c r="X98" s="710">
        <f>(91.25)/((Model!X32+Model!X65)/BS!X26)</f>
        <v>11.257631641838604</v>
      </c>
      <c r="Y98" s="710">
        <f>(91.25)/((Model!Y32+Model!Y65)/BS!Y26)</f>
        <v>11.254881348224259</v>
      </c>
      <c r="Z98" s="710">
        <f>(91.25)/((Model!Z32+Model!Z65)/BS!Z26)</f>
        <v>11.760679372317011</v>
      </c>
      <c r="AA98" s="687">
        <f>365/((Model!AA32+Model!AA44+Model!AA48+Model!AA52)/BS!AA26)</f>
        <v>12.10153269240246</v>
      </c>
      <c r="AB98" s="710">
        <f>(91.25)/((Model!AB32+Model!AB65)/BS!AB26)</f>
        <v>11.594912386467101</v>
      </c>
      <c r="AC98" s="710">
        <f>(91.25)/((Model!AC32+Model!AC65)/BS!AC26)</f>
        <v>11.506740088330265</v>
      </c>
      <c r="AD98" s="710">
        <f>(91.25)/((Model!AD32+Model!AD65)/BS!AD26)</f>
        <v>8.9239432625550084</v>
      </c>
      <c r="AE98" s="710">
        <f>(91.25)/((Model!AE32+Model!AE65)/BS!AE26)</f>
        <v>11.727016319248213</v>
      </c>
      <c r="AF98" s="687">
        <f>365/((Model!AF32+Model!AF44+Model!AF48+Model!AF52)/BS!AF26)</f>
        <v>12.409561625487452</v>
      </c>
      <c r="AG98" s="710">
        <f>(91.25)/((Model!AG32+Model!AG65)/BS!AG26)</f>
        <v>10.018257387287354</v>
      </c>
      <c r="AH98" s="710">
        <f>(91.25)/((Model!AH32+Model!AH65)/BS!AH26)</f>
        <v>10.834883058661598</v>
      </c>
      <c r="AI98" s="710">
        <f>(91.25)/((Model!AI32+Model!AI65)/BS!AI26)</f>
        <v>11.499205213486313</v>
      </c>
      <c r="AJ98" s="710">
        <f>(91.25)/((Model!AJ32+Model!AJ65)/BS!AJ26)</f>
        <v>11.113686163295192</v>
      </c>
      <c r="AK98" s="687">
        <f>365/((Model!AK32+Model!AK44+Model!AK48+Model!AK52)/BS!AK26)</f>
        <v>12.514513509023452</v>
      </c>
      <c r="AL98" s="710">
        <f>(91.25)/((Model!AL32+Model!AL65)/BS!AL26)</f>
        <v>10.647584496071524</v>
      </c>
      <c r="AM98" s="710">
        <f>(91.25)/((Model!AM32+Model!AM65)/BS!AM26)</f>
        <v>10.354028113593509</v>
      </c>
      <c r="AN98" s="710">
        <f>(91.25)/((Model!AN32+Model!AN65)/BS!AN26)</f>
        <v>9.5886664126215599</v>
      </c>
      <c r="AO98" s="710">
        <f>(91.25)/((Model!AO32+Model!AO65)/BS!AO26)</f>
        <v>9.4282785444398822</v>
      </c>
      <c r="AP98" s="687">
        <f>365/((Model!AP32+Model!AP44+Model!AP48+Model!AP52)/BS!AP26)</f>
        <v>9.5039983138488697</v>
      </c>
      <c r="AQ98" s="710">
        <f>(91.25)/((Model!AQ32+Model!AQ65)/BS!AQ26)</f>
        <v>7.6904652890123399</v>
      </c>
      <c r="AR98" s="687">
        <f>(91.25)/((Model!AR32+Model!AR65)/BS!AR26)</f>
        <v>8.2574570053771392</v>
      </c>
      <c r="AS98" s="687">
        <f>(91.25)/((Model!AS32+Model!AS65)/BS!AS26)</f>
        <v>9.5955414427759127</v>
      </c>
      <c r="AT98" s="687">
        <f>(91.25)/((Model!AT32+Model!AT65)/BS!AT26)</f>
        <v>10.922622978802961</v>
      </c>
      <c r="AU98" s="687">
        <f>365/((Model!AU32+Model!AU44+Model!AU48+Model!AU52)/BS!AU26)</f>
        <v>11.251180722034093</v>
      </c>
      <c r="AV98" s="710">
        <f>(91.25)/((Model!AV32+Model!AV65)/BS!AV26)</f>
        <v>7.0812361480399151</v>
      </c>
      <c r="AW98" s="710">
        <f>(91.25)/((Model!AW32+Model!AW65)/BS!AW26)</f>
        <v>7.5380297879122988</v>
      </c>
      <c r="AX98" s="710">
        <f>(91.25)/((Model!AX32+Model!AX65)/BS!AX26)</f>
        <v>8.5110835526174515</v>
      </c>
      <c r="AY98" s="710">
        <f>(91.25)/((Model!AY32+Model!AY65)/BS!AY26)</f>
        <v>7.6669957117308831</v>
      </c>
      <c r="AZ98" s="687">
        <f>365/((Model!AZ32+Model!AZ44+Model!AZ48+Model!AZ52)/BS!AZ26)</f>
        <v>7.9495553275539095</v>
      </c>
      <c r="BA98" s="710">
        <f>(91.25)/((Model!BA32+Model!BA65)/BS!BA26)</f>
        <v>7.9592723662993379</v>
      </c>
      <c r="BB98" s="710">
        <f>(91.25)/((Model!BB32+Model!BB65)/BS!BB26)</f>
        <v>8.5406181532557461</v>
      </c>
      <c r="BC98" s="710">
        <f>(91.25)/((Model!BC32+Model!BC65)/BS!BC26)</f>
        <v>9.1990310766330303</v>
      </c>
      <c r="BD98" s="710">
        <f>(91.25)/((Model!BD32+Model!BD65)/BS!BD26)</f>
        <v>11.175448489113876</v>
      </c>
      <c r="BE98" s="687">
        <f>365/((Model!BE32+Model!BE44+Model!BE48+Model!BE52)/BS!BE26)</f>
        <v>12.031290354359536</v>
      </c>
      <c r="BF98" s="710">
        <f>(91.25)/((Model!BF32+Model!BF65)/BS!BF26)</f>
        <v>9.7119126316924174</v>
      </c>
      <c r="BG98" s="710">
        <f>(91.25)/((Model!BG32+Model!BG65)/BS!BG26)</f>
        <v>8.7963899057342676</v>
      </c>
      <c r="BH98" s="710">
        <f>(91.25)/((Model!BH32+Model!BH65)/BS!BH26)</f>
        <v>7.7453123933479615</v>
      </c>
      <c r="BI98" s="710">
        <f>(91.25)/((Model!BI32+Model!BI65)/BS!BI26)</f>
        <v>6.145331289630577</v>
      </c>
      <c r="BJ98" s="701">
        <f>365/((Model!BJ32+Model!BJ44+Model!BJ48+Model!BJ52)/BS!BJ26)</f>
        <v>6.4722137586840365</v>
      </c>
      <c r="BK98" s="710">
        <f>(91.25)/((Model!BK32+Model!BK65)/BS!BK26)</f>
        <v>8.6497485036652364</v>
      </c>
      <c r="BL98" s="710">
        <f>(91.25)/((Model!BL32+Model!BL65)/BS!BL26)</f>
        <v>6.4182348386386741</v>
      </c>
      <c r="BM98" s="710">
        <f>(91.25)/((Model!BM32+Model!BM65)/BS!BM26)</f>
        <v>8.3994362070841291</v>
      </c>
      <c r="BN98" s="710">
        <f>(91.25)/((Model!BN32+Model!BN65)/BS!BN26)</f>
        <v>6.9328161896954645</v>
      </c>
      <c r="BO98" s="701">
        <f>365/((Model!BO32+Model!BO44+Model!BO48+Model!BO52)/BS!BO26)</f>
        <v>7.2647479090448108</v>
      </c>
      <c r="BP98" s="710">
        <f>(91.25)/((Model!BP32+Model!BP65)/BS!BP26)</f>
        <v>7.4027395778705882</v>
      </c>
      <c r="BQ98" s="710">
        <f>(91.25)/((Model!BQ32+Model!BQ65)/BS!BQ26)</f>
        <v>6.1205683340995574</v>
      </c>
      <c r="BR98" s="710">
        <f>(91.25)/((Model!BR32+Model!BR65)/BS!BR26)</f>
        <v>6.0187422442503218</v>
      </c>
      <c r="BS98" s="710">
        <f>(91.25)/((Model!BS32+Model!BS65)/BS!BS26)</f>
        <v>7.4936421034173799</v>
      </c>
      <c r="BT98" s="701">
        <f>365/((Model!BT32+Model!BT44+Model!BT48+Model!BT52)/BS!BT26)</f>
        <v>7.6529534005095696</v>
      </c>
      <c r="BU98" s="710">
        <f>(91.25)/((Model!BU32+Model!BU65)/BS!BU26)</f>
        <v>8.033973605362954</v>
      </c>
      <c r="BV98" s="710">
        <f>(91.25)/((Model!BV32+Model!BV65)/BS!BV26)</f>
        <v>6.1198394236951179</v>
      </c>
      <c r="BW98" s="710">
        <f>(91.25)/((Model!BW32+Model!BW65)/BS!BW26)</f>
        <v>7.434010867459925</v>
      </c>
      <c r="BX98" s="710">
        <f>(91.25)/((Model!BX32+Model!BX65)/BS!BX26)</f>
        <v>9.5004164811609932</v>
      </c>
      <c r="BY98" s="701">
        <f>365/((Model!BY32+Model!BY44+Model!BY48+Model!BY52)/BS!BY26)</f>
        <v>9.9865041515311805</v>
      </c>
      <c r="BZ98" s="710">
        <f>(91.25)/((Model!BZ32+Model!BZ65)/BS!BZ26)</f>
        <v>6.9020661348815722</v>
      </c>
      <c r="CA98" s="710">
        <f>(91.25)/((Model!CA32+Model!CA65)/BS!CA26)</f>
        <v>7.3751744381887292</v>
      </c>
      <c r="CB98" s="710">
        <f>(91.25)/((Model!CB32+Model!CB65)/BS!CB26)</f>
        <v>7.8269385749587803</v>
      </c>
      <c r="CC98" s="710">
        <f>(91.25)/((Model!CC32+Model!CC65)/BS!CC26)</f>
        <v>7.8845595077763955</v>
      </c>
      <c r="CD98" s="701">
        <f>365/((Model!CD32+Model!CD44+Model!CD48+Model!CD52)/BS!CD26)</f>
        <v>8.2919369994933803</v>
      </c>
      <c r="CE98" s="710">
        <f>(91.25)/((Model!CE32+Model!CE65)/BS!CE26)</f>
        <v>16.274781836014451</v>
      </c>
      <c r="CF98" s="710">
        <f>(91.25)/((Model!CF32+Model!CF65)/BS!CF26)</f>
        <v>6.3871589361250969</v>
      </c>
      <c r="CG98" s="710">
        <f>(91.25)/((Model!CG32+Model!CG65)/BS!CG26)</f>
        <v>7.2252288362617598</v>
      </c>
      <c r="CH98" s="710">
        <f>(91.25)/((Model!CH32+Model!CH65)/BS!CH26)</f>
        <v>8.6316838142116463</v>
      </c>
      <c r="CI98" s="701">
        <f>365/((Model!CI32+Model!CI44+Model!CI48+Model!CI52)/BS!CI26)</f>
        <v>9.152957562071963</v>
      </c>
      <c r="CJ98" s="710">
        <f>(91.25)/((Model!CJ32+Model!CJ65)/BS!CJ26)</f>
        <v>9.8941945660337396</v>
      </c>
      <c r="CK98" s="745">
        <f t="shared" ref="CK98:CL98" si="115">CF98+1</f>
        <v>7.3871589361250969</v>
      </c>
      <c r="CL98" s="745">
        <f t="shared" si="115"/>
        <v>8.2252288362617598</v>
      </c>
      <c r="CM98" s="745">
        <f>CH98+3</f>
        <v>11.631683814211646</v>
      </c>
      <c r="CN98" s="1574">
        <f>365/((Model!CN32+Model!CN44+Model!CN48+Model!CN52)/BS!CN26)</f>
        <v>12.477905614548117</v>
      </c>
      <c r="CO98" s="745">
        <f>CJ98</f>
        <v>9.8941945660337396</v>
      </c>
      <c r="CP98" s="745">
        <f t="shared" ref="CP98" si="116">CK98</f>
        <v>7.3871589361250969</v>
      </c>
      <c r="CQ98" s="745">
        <f t="shared" ref="CQ98" si="117">CL98</f>
        <v>8.2252288362617598</v>
      </c>
      <c r="CR98" s="745">
        <f t="shared" ref="CR98" si="118">CM98</f>
        <v>11.631683814211646</v>
      </c>
      <c r="CS98" s="1574">
        <f>365/((Model!CS32+Model!CS44+Model!CS48+Model!CS52)/BS!CS26)</f>
        <v>12.45458397849851</v>
      </c>
      <c r="CT98" s="745">
        <f>CO98</f>
        <v>9.8941945660337396</v>
      </c>
      <c r="CU98" s="745">
        <f t="shared" ref="CU98" si="119">CP98</f>
        <v>7.3871589361250969</v>
      </c>
      <c r="CV98" s="745">
        <f t="shared" ref="CV98" si="120">CQ98</f>
        <v>8.2252288362617598</v>
      </c>
      <c r="CW98" s="745">
        <f t="shared" ref="CW98" si="121">CR98</f>
        <v>11.631683814211646</v>
      </c>
      <c r="CX98" s="1574">
        <f>365/((Model!CX32+Model!CX44+Model!CX48+Model!CX52)/BS!CX26)</f>
        <v>12.294162475367292</v>
      </c>
      <c r="DB98" s="750"/>
      <c r="DC98" s="687"/>
      <c r="DD98" s="1614"/>
      <c r="DE98" s="687"/>
    </row>
    <row r="99" spans="1:109">
      <c r="A99" s="699" t="s">
        <v>88</v>
      </c>
      <c r="B99" s="699"/>
      <c r="C99" s="687"/>
      <c r="D99" s="687"/>
      <c r="E99" s="687"/>
      <c r="F99" s="687"/>
      <c r="G99" s="687"/>
      <c r="H99" s="710">
        <f>((Model!H32+Model!H65)*4)/BS!H26</f>
        <v>22.670615219347912</v>
      </c>
      <c r="I99" s="710">
        <f>((Model!I32+Model!I65)*4)/BS!I26</f>
        <v>26.216777408637874</v>
      </c>
      <c r="J99" s="710">
        <f>((Model!J32+Model!J65)*4)/BS!J26</f>
        <v>25.784106121455515</v>
      </c>
      <c r="K99" s="710">
        <f>((Model!K32+Model!K65)*4)/BS!K26</f>
        <v>22.331470938699852</v>
      </c>
      <c r="L99" s="710">
        <f>(Model!L32+Model!L65)/BS!L26</f>
        <v>22.212922017741295</v>
      </c>
      <c r="M99" s="710">
        <f>((Model!M32+Model!M65)*4)/BS!M26</f>
        <v>25.315082916556985</v>
      </c>
      <c r="N99" s="710">
        <f>((Model!N32+Model!N65)*4)/BS!N26</f>
        <v>22.145451024064304</v>
      </c>
      <c r="O99" s="710">
        <f>((Model!O32+Model!O65)*4)/BS!O26</f>
        <v>28.356220767072028</v>
      </c>
      <c r="P99" s="710">
        <f>((Model!P32+Model!P65)*4)/BS!P26</f>
        <v>26.00934903972006</v>
      </c>
      <c r="Q99" s="710">
        <f>(Model!Q32+Model!Q65)/BS!Q26</f>
        <v>24.463658947031014</v>
      </c>
      <c r="R99" s="710">
        <f>((Model!R32+Model!R65)*4)/BS!R26</f>
        <v>29.217259396595317</v>
      </c>
      <c r="S99" s="710">
        <f>((Model!S32+Model!S65)*4)/BS!S26</f>
        <v>32.384148733890683</v>
      </c>
      <c r="T99" s="710">
        <f>((Model!T32+Model!T65)*4)/BS!T26</f>
        <v>28.738877826573198</v>
      </c>
      <c r="U99" s="710">
        <f>((Model!U32+Model!U65)*4)/BS!U26</f>
        <v>26.219948138544172</v>
      </c>
      <c r="V99" s="687">
        <f>(Model!V32+Model!V65)/BS!V26</f>
        <v>24.883936840155584</v>
      </c>
      <c r="W99" s="687">
        <f>((Model!W32+Model!W65)*4)/BS!W26</f>
        <v>31.333246921581335</v>
      </c>
      <c r="X99" s="687">
        <f>((Model!X32+Model!X65)*4)/BS!X26</f>
        <v>32.422450086525302</v>
      </c>
      <c r="Y99" s="687">
        <f>((Model!Y32+Model!Y65)*4)/BS!Y26</f>
        <v>32.430372982793635</v>
      </c>
      <c r="Z99" s="687">
        <f>((Model!Z32+Model!Z65)*4)/BS!Z26</f>
        <v>31.035622045709264</v>
      </c>
      <c r="AA99" s="687">
        <f>(Model!AA32+Model!AA65)/BS!AA26</f>
        <v>30.161468739340187</v>
      </c>
      <c r="AB99" s="687">
        <f>((Model!AB32+Model!AB65)*4)/BS!AB26</f>
        <v>31.479323675270415</v>
      </c>
      <c r="AC99" s="687">
        <f>((Model!AC32+Model!AC65)*4)/BS!AC26</f>
        <v>31.720539196863438</v>
      </c>
      <c r="AD99" s="687">
        <f>((Model!AD32+Model!AD65)*4)/BS!AD26</f>
        <v>40.90120132560066</v>
      </c>
      <c r="AE99" s="687">
        <f>((Model!AE32+Model!AE65)*4)/BS!AE26</f>
        <v>31.124711526230669</v>
      </c>
      <c r="AF99" s="687">
        <f>(Model!AF32+Model!AF65)/BS!AF26</f>
        <v>29.412803692464248</v>
      </c>
      <c r="AG99" s="687">
        <f>((Model!AG32+Model!AG65)*4)/BS!AG26</f>
        <v>36.433481980924739</v>
      </c>
      <c r="AH99" s="687">
        <f>((Model!AH32+Model!AH65)*4)/BS!AH26</f>
        <v>33.687488644209459</v>
      </c>
      <c r="AI99" s="687">
        <f>((Model!AI32+Model!AI65)*4)/BS!AI26</f>
        <v>31.741324137073978</v>
      </c>
      <c r="AJ99" s="687">
        <f>((Model!AJ32+Model!AJ65)*4)/BS!AJ26</f>
        <v>32.84238862219032</v>
      </c>
      <c r="AK99" s="687">
        <f>(Model!AK32+Model!AK65)/BS!AK26</f>
        <v>29.166135762035083</v>
      </c>
      <c r="AL99" s="687">
        <f>((Model!AL32+Model!AL65)*4)/BS!AL26</f>
        <v>34.280075460745906</v>
      </c>
      <c r="AM99" s="687">
        <f>((Model!AM32+Model!AM65)*4)/BS!AM26</f>
        <v>35.251980774593598</v>
      </c>
      <c r="AN99" s="687">
        <f>((Model!AN32+Model!AN65)*4)/BS!AN26</f>
        <v>38.065773100579513</v>
      </c>
      <c r="AO99" s="687">
        <f>((Model!AO32+Model!AO65)*4)/BS!AO26</f>
        <v>38.713323782234951</v>
      </c>
      <c r="AP99" s="687">
        <f>(Model!AP32+Model!AP65)/BS!AP26</f>
        <v>38.404888968481373</v>
      </c>
      <c r="AQ99" s="687">
        <f>((Model!AQ32+Model!AQ65)*4)/BS!AQ26</f>
        <v>47.461367587405846</v>
      </c>
      <c r="AR99" s="687">
        <f>((Model!AR32+Model!AR65)*4)/BS!AR26</f>
        <v>44.202470538122952</v>
      </c>
      <c r="AS99" s="687">
        <f>((Model!AS32+Model!AS65)*4)/BS!AS26</f>
        <v>38.038499669530729</v>
      </c>
      <c r="AT99" s="687">
        <f>((Model!AT32+Model!AT65)*4)/BS!AT26</f>
        <v>33.416881705826427</v>
      </c>
      <c r="AU99" s="687">
        <f>(Model!AU32+Model!AU65)/BS!AU26</f>
        <v>32.441039657748199</v>
      </c>
      <c r="AV99" s="687">
        <f>((Model!AV32+Model!AV65)*4)/BS!AV26</f>
        <v>51.544672761835791</v>
      </c>
      <c r="AW99" s="687">
        <f>((Model!AW32+Model!AW65)*4)/BS!AW26</f>
        <v>48.421140572474293</v>
      </c>
      <c r="AX99" s="687">
        <f>((Model!AX32+Model!AX65)*4)/BS!AX26</f>
        <v>42.885256353493311</v>
      </c>
      <c r="AY99" s="687">
        <f>((Model!AY32+Model!AY65)*4)/BS!AY26</f>
        <v>47.606652425999393</v>
      </c>
      <c r="AZ99" s="687">
        <f>(Model!AZ32+Model!AZ65)/BS!AZ26</f>
        <v>45.914517851693617</v>
      </c>
      <c r="BA99" s="687">
        <f>((Model!BA32+Model!BA65)*4)/BS!BA26</f>
        <v>45.858463337108624</v>
      </c>
      <c r="BB99" s="687">
        <f>((Model!BB32+Model!BB65)*4)/BS!BB26</f>
        <v>42.73695339732047</v>
      </c>
      <c r="BC99" s="687">
        <f>((Model!BC32+Model!BC65)*4)/BS!BC26</f>
        <v>39.678091851125146</v>
      </c>
      <c r="BD99" s="687">
        <f>((Model!BD32+Model!BD65)*4)/BS!BD26</f>
        <v>32.660881606277407</v>
      </c>
      <c r="BE99" s="687">
        <f>(Model!BE32+Model!BE65)/BS!BE26</f>
        <v>30.337560581583205</v>
      </c>
      <c r="BF99" s="687">
        <f>((Model!BF32+Model!BF65)*4)/BS!BF26</f>
        <v>37.582710413694727</v>
      </c>
      <c r="BG99" s="687">
        <f>((Model!BG32+Model!BG65)*4)/BS!BG26</f>
        <v>41.494295263339865</v>
      </c>
      <c r="BH99" s="687">
        <f>((Model!BH32+Model!BH65)*4)/BS!BH26</f>
        <v>47.125278034424944</v>
      </c>
      <c r="BI99" s="687">
        <f>((Model!BI32+Model!BI65)*4)/BS!BI26</f>
        <v>59.394682369018668</v>
      </c>
      <c r="BJ99" s="701">
        <f>(Model!BJ32+Model!BJ65)/BS!BJ26</f>
        <v>56.394923531421455</v>
      </c>
      <c r="BK99" s="687">
        <f>((Model!BK32+Model!BK65)*4)/BS!BK26</f>
        <v>42.197758679958753</v>
      </c>
      <c r="BL99" s="687">
        <f>((Model!BL32+Model!BL65)*4)/BS!BL26</f>
        <v>56.869218589922703</v>
      </c>
      <c r="BM99" s="687">
        <f>((Model!BM32+Model!BM65)*4)/BS!BM26</f>
        <v>43.455297593921493</v>
      </c>
      <c r="BN99" s="687">
        <f>((Model!BN32+Model!BN65)*4)/BS!BN26</f>
        <v>52.648157691316669</v>
      </c>
      <c r="BO99" s="701">
        <f>(Model!BO32+Model!BO65)/BS!BO26</f>
        <v>50.242624323627936</v>
      </c>
      <c r="BP99" s="687">
        <f>((Model!BP32+Model!BP65)*4)/BS!BP26</f>
        <v>49.306070564891186</v>
      </c>
      <c r="BQ99" s="687">
        <f>((Model!BQ32+Model!BQ65)*4)/BS!BQ26</f>
        <v>59.63498487002807</v>
      </c>
      <c r="BR99" s="687">
        <f>((Model!BR32+Model!BR65)*4)/BS!BR26</f>
        <v>60.64389953709729</v>
      </c>
      <c r="BS99" s="687">
        <f>((Model!BS32+Model!BS65)*4)/BS!BS26</f>
        <v>48.707957354081053</v>
      </c>
      <c r="BT99" s="701">
        <f>(Model!BT32+Model!BT65)/BS!BT26</f>
        <v>47.69400529417787</v>
      </c>
      <c r="BU99" s="687">
        <f>((Model!BU32+Model!BU65)*4)/BS!BU26</f>
        <v>45.432063624947673</v>
      </c>
      <c r="BV99" s="687">
        <f>((Model!BV32+Model!BV65)*4)/BS!BV26</f>
        <v>59.642087762429469</v>
      </c>
      <c r="BW99" s="687">
        <f>((Model!BW32+Model!BW65)*4)/BS!BW26</f>
        <v>49.09866376408921</v>
      </c>
      <c r="BX99" s="687">
        <f>((Model!BX32+Model!BX65)*4)/BS!BX26</f>
        <v>38.419368321776496</v>
      </c>
      <c r="BY99" s="701">
        <f>(Model!BY32+Model!BY65)/BS!BY26</f>
        <v>36.549326417096246</v>
      </c>
      <c r="BZ99" s="687">
        <f>((Model!BZ32+Model!BZ65)*4)/BS!BZ26</f>
        <v>52.882715532870328</v>
      </c>
      <c r="CA99" s="687">
        <f>((Model!CA32+Model!CA65)*4)/BS!CA26</f>
        <v>49.490354846392002</v>
      </c>
      <c r="CB99" s="687">
        <f>((Model!CB32+Model!CB65)*4)/BS!CB26</f>
        <v>46.633814294616748</v>
      </c>
      <c r="CC99" s="687">
        <f>((Model!CC32+Model!CC65)*4)/BS!CC26</f>
        <v>46.293010997000813</v>
      </c>
      <c r="CD99" s="701">
        <f>(Model!CD32+Model!CD65)/BS!CD26</f>
        <v>44.018665363991644</v>
      </c>
      <c r="CE99" s="687">
        <f>((Model!CE32+Model!CE65)*4)/BS!CE26</f>
        <v>22.427335965407032</v>
      </c>
      <c r="CF99" s="687">
        <f>((Model!CF32+Model!CF65)*4)/BS!CF26</f>
        <v>57.145908478274826</v>
      </c>
      <c r="CG99" s="687">
        <f>((Model!CG32+Model!CG65)*4)/BS!CG26</f>
        <v>50.517431111406331</v>
      </c>
      <c r="CH99" s="687">
        <f>((Model!CH32+Model!CH65)*4)/BS!CH26</f>
        <v>42.286071623597394</v>
      </c>
      <c r="CI99" s="701">
        <f>(Model!CI32+Model!CI65)/BS!CI26</f>
        <v>39.877820641547324</v>
      </c>
      <c r="CJ99" s="687">
        <f>((Model!CJ32+Model!CJ65)*4)/BS!CJ26</f>
        <v>36.890319627736673</v>
      </c>
      <c r="CK99" s="745">
        <f>((Model!CK32+Model!CK65)*4)/BS!CK26</f>
        <v>49.410064566914443</v>
      </c>
      <c r="CL99" s="745">
        <f>((Model!CL32+Model!CL65)*4)/BS!CL26</f>
        <v>44.375665074612911</v>
      </c>
      <c r="CM99" s="745">
        <f>((Model!CM32+Model!CM65)*4)/BS!CM26</f>
        <v>31.379807586760677</v>
      </c>
      <c r="CN99" s="1574">
        <f>(Model!CN32+Model!CN65)/BS!CN26</f>
        <v>29.251703873640693</v>
      </c>
      <c r="CO99" s="745">
        <f>((Model!CO32+Model!CO65)*4)/BS!CO26</f>
        <v>36.890319627736673</v>
      </c>
      <c r="CP99" s="745">
        <f>((Model!CP32+Model!CP65)*4)/BS!CP26</f>
        <v>49.410064566914436</v>
      </c>
      <c r="CQ99" s="745">
        <f>((Model!CQ32+Model!CQ65)*4)/BS!CQ26</f>
        <v>44.375665074612918</v>
      </c>
      <c r="CR99" s="745">
        <f>((Model!CR32+Model!CR65)*4)/BS!CR26</f>
        <v>31.37980758676068</v>
      </c>
      <c r="CS99" s="1574">
        <f>(Model!CS32+Model!CS65)/BS!CS26</f>
        <v>29.306478693317494</v>
      </c>
      <c r="CT99" s="745">
        <f>((Model!CT32+Model!CT65)*4)/BS!CT26</f>
        <v>36.890319627736673</v>
      </c>
      <c r="CU99" s="745">
        <f>((Model!CU32+Model!CU65)*4)/BS!CU26</f>
        <v>49.410064566914443</v>
      </c>
      <c r="CV99" s="745">
        <f>((Model!CV32+Model!CV65)*4)/BS!CV26</f>
        <v>44.375665074612918</v>
      </c>
      <c r="CW99" s="745">
        <f>((Model!CW32+Model!CW65)*4)/BS!CW26</f>
        <v>31.379807586760677</v>
      </c>
      <c r="CX99" s="1574">
        <f>(Model!CX32+Model!CX65)/BS!CX26</f>
        <v>29.688886960077003</v>
      </c>
      <c r="DB99" s="750"/>
      <c r="DC99" s="687"/>
      <c r="DD99" s="1614"/>
      <c r="DE99" s="687"/>
    </row>
    <row r="100" spans="1:109">
      <c r="A100" s="688"/>
      <c r="B100" s="688"/>
      <c r="C100" s="687"/>
      <c r="D100" s="687"/>
      <c r="E100" s="687"/>
      <c r="F100" s="687"/>
      <c r="G100" s="687"/>
      <c r="H100" s="710"/>
      <c r="I100" s="710"/>
      <c r="J100" s="710"/>
      <c r="K100" s="710"/>
      <c r="L100" s="710"/>
      <c r="M100" s="710"/>
      <c r="N100" s="710"/>
      <c r="O100" s="710"/>
      <c r="P100" s="710"/>
      <c r="Q100" s="710"/>
      <c r="R100" s="710"/>
      <c r="S100" s="710"/>
      <c r="T100" s="710"/>
      <c r="U100" s="710"/>
      <c r="V100" s="687"/>
      <c r="W100" s="687"/>
      <c r="X100" s="687"/>
      <c r="Y100" s="687"/>
      <c r="Z100" s="687"/>
      <c r="AA100" s="687"/>
      <c r="AB100" s="687"/>
      <c r="AC100" s="687"/>
      <c r="AD100" s="687"/>
      <c r="AE100" s="687"/>
      <c r="AF100" s="687"/>
      <c r="AG100" s="687"/>
      <c r="AH100" s="687"/>
      <c r="AI100" s="687"/>
      <c r="AJ100" s="687"/>
      <c r="AK100" s="687"/>
      <c r="AL100" s="687"/>
      <c r="AM100" s="687"/>
      <c r="AN100" s="687"/>
      <c r="AO100" s="687"/>
      <c r="AP100" s="687"/>
      <c r="AQ100" s="687"/>
      <c r="AR100" s="687"/>
      <c r="AS100" s="687"/>
      <c r="AT100" s="687"/>
      <c r="AU100" s="687"/>
      <c r="AV100" s="687"/>
      <c r="AW100" s="687"/>
      <c r="AX100" s="687"/>
      <c r="AY100" s="687"/>
      <c r="AZ100" s="687"/>
      <c r="BA100" s="687"/>
      <c r="BB100" s="687"/>
      <c r="BC100" s="745"/>
      <c r="BD100" s="687"/>
      <c r="BE100" s="687"/>
      <c r="BF100" s="687"/>
      <c r="BG100" s="687"/>
      <c r="BH100" s="687"/>
      <c r="BI100" s="687"/>
      <c r="BJ100" s="701"/>
      <c r="BK100" s="687"/>
      <c r="BL100" s="687"/>
      <c r="BM100" s="687"/>
      <c r="BN100" s="687"/>
      <c r="BO100" s="701"/>
      <c r="BP100" s="687"/>
      <c r="BQ100" s="687"/>
      <c r="BR100" s="687"/>
      <c r="BS100" s="687"/>
      <c r="BT100" s="701"/>
      <c r="BU100" s="687"/>
      <c r="BV100" s="687"/>
      <c r="BW100" s="687"/>
      <c r="BX100" s="687"/>
      <c r="BY100" s="701"/>
      <c r="BZ100" s="687"/>
      <c r="CA100" s="687"/>
      <c r="CB100" s="687"/>
      <c r="CC100" s="687"/>
      <c r="CD100" s="701"/>
      <c r="CE100" s="687"/>
      <c r="CF100" s="687"/>
      <c r="CG100" s="687"/>
      <c r="CH100" s="687"/>
      <c r="CI100" s="701"/>
      <c r="CJ100" s="687"/>
      <c r="CK100" s="745"/>
      <c r="CL100" s="745"/>
      <c r="CM100" s="745"/>
      <c r="CN100" s="1574"/>
      <c r="CO100" s="745"/>
      <c r="CP100" s="745"/>
      <c r="CQ100" s="745"/>
      <c r="CR100" s="745"/>
      <c r="CS100" s="1574"/>
      <c r="CT100" s="745"/>
      <c r="CU100" s="745"/>
      <c r="CV100" s="745"/>
      <c r="CW100" s="745"/>
      <c r="CX100" s="1574"/>
      <c r="DB100" s="750"/>
      <c r="DC100" s="687"/>
      <c r="DD100" s="1614"/>
      <c r="DE100" s="687"/>
    </row>
    <row r="101" spans="1:109">
      <c r="A101" s="693" t="s">
        <v>613</v>
      </c>
      <c r="B101" s="693"/>
      <c r="C101" s="687"/>
      <c r="D101" s="687"/>
      <c r="E101" s="687"/>
      <c r="F101" s="687"/>
      <c r="G101" s="687"/>
      <c r="H101" s="710"/>
      <c r="I101" s="710"/>
      <c r="J101" s="710"/>
      <c r="K101" s="710"/>
      <c r="L101" s="710"/>
      <c r="M101" s="710"/>
      <c r="N101" s="710"/>
      <c r="O101" s="710"/>
      <c r="P101" s="710"/>
      <c r="Q101" s="710"/>
      <c r="R101" s="710"/>
      <c r="S101" s="710"/>
      <c r="T101" s="710"/>
      <c r="U101" s="710"/>
      <c r="V101" s="687"/>
      <c r="W101" s="687"/>
      <c r="X101" s="687"/>
      <c r="Y101" s="687"/>
      <c r="Z101" s="687"/>
      <c r="AA101" s="687"/>
      <c r="AB101" s="687"/>
      <c r="AC101" s="687"/>
      <c r="AD101" s="687"/>
      <c r="AE101" s="687"/>
      <c r="AF101" s="687"/>
      <c r="AG101" s="687"/>
      <c r="AH101" s="687"/>
      <c r="AI101" s="687"/>
      <c r="AJ101" s="687"/>
      <c r="AK101" s="687"/>
      <c r="AL101" s="687"/>
      <c r="AM101" s="687"/>
      <c r="AN101" s="687"/>
      <c r="AO101" s="687"/>
      <c r="AP101" s="687"/>
      <c r="AQ101" s="687"/>
      <c r="AR101" s="687"/>
      <c r="AS101" s="687"/>
      <c r="AT101" s="687"/>
      <c r="AU101" s="687"/>
      <c r="AV101" s="687"/>
      <c r="AW101" s="687"/>
      <c r="AX101" s="687"/>
      <c r="AY101" s="687"/>
      <c r="AZ101" s="687"/>
      <c r="BA101" s="687"/>
      <c r="BB101" s="687"/>
      <c r="BC101" s="745"/>
      <c r="BD101" s="687"/>
      <c r="BE101" s="687"/>
      <c r="BF101" s="687"/>
      <c r="BG101" s="687"/>
      <c r="BH101" s="687"/>
      <c r="BI101" s="687"/>
      <c r="BJ101" s="701"/>
      <c r="BK101" s="687"/>
      <c r="BL101" s="687"/>
      <c r="BM101" s="687"/>
      <c r="BN101" s="687"/>
      <c r="BO101" s="701"/>
      <c r="BP101" s="687"/>
      <c r="BQ101" s="687"/>
      <c r="BR101" s="687"/>
      <c r="BS101" s="687"/>
      <c r="BT101" s="701"/>
      <c r="BU101" s="687"/>
      <c r="BV101" s="687"/>
      <c r="BW101" s="687"/>
      <c r="BX101" s="687"/>
      <c r="BY101" s="701"/>
      <c r="BZ101" s="687"/>
      <c r="CA101" s="687"/>
      <c r="CB101" s="687"/>
      <c r="CC101" s="687"/>
      <c r="CD101" s="701"/>
      <c r="CE101" s="687"/>
      <c r="CF101" s="687"/>
      <c r="CG101" s="687"/>
      <c r="CH101" s="687"/>
      <c r="CI101" s="701"/>
      <c r="CJ101" s="687"/>
      <c r="CK101" s="745"/>
      <c r="CL101" s="745"/>
      <c r="CM101" s="745"/>
      <c r="CN101" s="1574"/>
      <c r="CO101" s="745"/>
      <c r="CP101" s="745"/>
      <c r="CQ101" s="745"/>
      <c r="CR101" s="745"/>
      <c r="CS101" s="1574"/>
      <c r="CT101" s="745"/>
      <c r="CU101" s="745"/>
      <c r="CV101" s="745"/>
      <c r="CW101" s="745"/>
      <c r="CX101" s="1574"/>
      <c r="DB101" s="750"/>
      <c r="DC101" s="687"/>
      <c r="DD101" s="1614"/>
      <c r="DE101" s="687"/>
    </row>
    <row r="102" spans="1:109">
      <c r="A102" s="699" t="s">
        <v>340</v>
      </c>
      <c r="B102" s="699"/>
      <c r="C102" s="687"/>
      <c r="D102" s="687"/>
      <c r="E102" s="687"/>
      <c r="F102" s="687"/>
      <c r="G102" s="687"/>
      <c r="H102" s="753" t="s">
        <v>131</v>
      </c>
      <c r="I102" s="753" t="s">
        <v>131</v>
      </c>
      <c r="J102" s="753" t="s">
        <v>131</v>
      </c>
      <c r="K102" s="710">
        <f>(BS!K28+BS!K39)/(BS!F28+BS!F39)-1</f>
        <v>0.43703055158748438</v>
      </c>
      <c r="L102" s="753" t="s">
        <v>131</v>
      </c>
      <c r="M102" s="710">
        <f>(BS!M28+BS!M39)/(BS!H28+BS!H39)-1</f>
        <v>0.37556637730256215</v>
      </c>
      <c r="N102" s="710">
        <f>(BS!N28+BS!N39)/(BS!I28+BS!I39)-1</f>
        <v>0.62897348426112587</v>
      </c>
      <c r="O102" s="710">
        <f>(BS!O28+BS!O39)/(BS!J28+BS!J39)-1</f>
        <v>0.52330221490023798</v>
      </c>
      <c r="P102" s="710">
        <f>(BS!P28+BS!P39)/(BS!K28+BS!K39)-1</f>
        <v>0.46224146224146234</v>
      </c>
      <c r="Q102" s="710">
        <f>(BS!Q28+BS!Q39)/(BS!L28+BS!L39)-1</f>
        <v>0.46224146224146234</v>
      </c>
      <c r="R102" s="710">
        <f>(BS!R28+BS!R39)/(BS!M28+BS!M39)-1</f>
        <v>0.33376431473956414</v>
      </c>
      <c r="S102" s="710">
        <f>(BS!S28+BS!S39)/(BS!N28+BS!N39)-1</f>
        <v>6.5657647366792693E-2</v>
      </c>
      <c r="T102" s="710">
        <f>(BS!T28+BS!T39)/(BS!O28+BS!O39)-1</f>
        <v>0.13312023840995946</v>
      </c>
      <c r="U102" s="710">
        <f>(BS!U28+BS!U39)/(BS!P28+BS!P39)-1</f>
        <v>0.3057236842105262</v>
      </c>
      <c r="V102" s="687">
        <f>(BS!V28+BS!V39)/(BS!Q28+BS!Q39)-1</f>
        <v>0.3057236842105262</v>
      </c>
      <c r="W102" s="687">
        <f>(BS!W28+BS!W39)/(BS!R28+BS!R39)-1</f>
        <v>0.31761528874117162</v>
      </c>
      <c r="X102" s="687">
        <f>(BS!X28+BS!X39)/(BS!S28+BS!S39)-1</f>
        <v>0.36295221080839668</v>
      </c>
      <c r="Y102" s="687">
        <f>(BS!Y28+BS!Y39)/(BS!T28+BS!T39)-1</f>
        <v>0.27280054297106959</v>
      </c>
      <c r="Z102" s="687">
        <f>(BS!Z28+BS!Z39)/(BS!U28+BS!U39)-1</f>
        <v>0.13484825582371807</v>
      </c>
      <c r="AA102" s="687">
        <f>(BS!AA28+BS!AA39)/(BS!V28+BS!V39)-1</f>
        <v>0.13484825582371807</v>
      </c>
      <c r="AB102" s="687">
        <f>(BS!AB28+BS!AB39)/(BS!W28+BS!W39)-1</f>
        <v>0.65997512568535743</v>
      </c>
      <c r="AC102" s="687">
        <f>(BS!AC28+BS!AC39)/(BS!X28+BS!X39)-1</f>
        <v>0.66500090115183563</v>
      </c>
      <c r="AD102" s="687">
        <f>(BS!AD28+BS!AD39)/(BS!Y28+BS!Y39)-1</f>
        <v>1.0795034160973169</v>
      </c>
      <c r="AE102" s="687">
        <f>(BS!AE28+BS!AE39)/(BS!Z28+BS!Z39)-1</f>
        <v>1.4116323812342761</v>
      </c>
      <c r="AF102" s="687">
        <f>(BS!AF28+BS!AF39)/(BS!AA28+BS!AA39)-1</f>
        <v>1.4116323812342761</v>
      </c>
      <c r="AG102" s="687">
        <f>(BS!AG28+BS!AG39)/(BS!AB28+BS!AB39)-1</f>
        <v>0.7996369891202264</v>
      </c>
      <c r="AH102" s="687">
        <f>(BS!AH28+BS!AH39)/(BS!AC28+BS!AC39)-1</f>
        <v>1.0546742767171819</v>
      </c>
      <c r="AI102" s="687">
        <f>(BS!AI28+BS!AI39)/(BS!AD28+BS!AD39)-1</f>
        <v>0.53938985984566212</v>
      </c>
      <c r="AJ102" s="687">
        <f>(BS!AJ28+BS!AJ39)/(BS!AE28+BS!AE39)-1</f>
        <v>0.28421517728929624</v>
      </c>
      <c r="AK102" s="687">
        <f>(BS!AK28+BS!AK39)/(BS!AF28+BS!AF39)-1</f>
        <v>0.28421517728929624</v>
      </c>
      <c r="AL102" s="687">
        <f>(BS!AL28+BS!AL39)/(BS!AG28+BS!AG39)-1</f>
        <v>0.25846873735626441</v>
      </c>
      <c r="AM102" s="687">
        <f>(BS!AM28+BS!AM39)/(BS!AH28+BS!AH39)-1</f>
        <v>3.6480583919232146E-2</v>
      </c>
      <c r="AN102" s="687">
        <f>(BS!AN28+BS!AN39)/(BS!AI28+BS!AI39)-1</f>
        <v>0.20993534684698734</v>
      </c>
      <c r="AO102" s="687">
        <f>(BS!AO28+BS!AO39)/(BS!AJ28+BS!AJ39)-1</f>
        <v>0.31563354167861313</v>
      </c>
      <c r="AP102" s="687">
        <f>(BS!AP28+BS!AP39)/(BS!AK28+BS!AK39)-1</f>
        <v>0.31563354167861313</v>
      </c>
      <c r="AQ102" s="687">
        <f>(BS!AQ28+BS!AQ39)/(BS!AL28+BS!AL39)-1</f>
        <v>4.9706921134294424E-2</v>
      </c>
      <c r="AR102" s="687">
        <f>(BS!AR28+BS!AR39)/(BS!AM28+BS!AM39)-1</f>
        <v>-1.4315221359160413E-2</v>
      </c>
      <c r="AS102" s="687">
        <f>(BS!AS28+BS!AS39)/(BS!AN28+BS!AN39)-1</f>
        <v>-6.1252586789197538E-2</v>
      </c>
      <c r="AT102" s="687">
        <f>(BS!AT28+BS!AT39)/(BS!AO28+BS!AO39)-1</f>
        <v>0.15608382972541057</v>
      </c>
      <c r="AU102" s="687">
        <f>(BS!AU28+BS!AU39)/(BS!AP28+BS!AP39)-1</f>
        <v>0.15608382972541057</v>
      </c>
      <c r="AV102" s="687">
        <f>(BS!AV28+BS!AV39)/(BS!AQ28+BS!AQ39)-1</f>
        <v>0.59682803192386591</v>
      </c>
      <c r="AW102" s="687">
        <f>(BS!AW28+BS!AW39)/(BS!AR28+BS!AR39)-1</f>
        <v>0.89552070881091317</v>
      </c>
      <c r="AX102" s="687">
        <f>(BS!AX28+BS!AX39)/(BS!AS28+BS!AS39)-1</f>
        <v>0.92908604269594952</v>
      </c>
      <c r="AY102" s="687">
        <f>(BS!AY28+BS!AY39)/(BS!AT28+BS!AT39)-1</f>
        <v>0.34994172036456983</v>
      </c>
      <c r="AZ102" s="687">
        <f>(BS!AZ28+BS!AZ39)/(BS!AU28+BS!AU39)-1</f>
        <v>0.34994172036456983</v>
      </c>
      <c r="BA102" s="417">
        <f>(BS!BA28+BS!BA39)/(BS!AV28+BS!AV39)-1</f>
        <v>0.23254100844213776</v>
      </c>
      <c r="BB102" s="417">
        <f>(BS!BB28+BS!BB39)/(BS!AW28+BS!AW39)-1</f>
        <v>0.19212401352317232</v>
      </c>
      <c r="BC102" s="417">
        <f>(BS!BC28+BS!BC39)/(BS!AX28+BS!AX39)-1</f>
        <v>0.15001603649192807</v>
      </c>
      <c r="BD102" s="417">
        <f>(BS!BD28+BS!BD39)/(BS!AY28+BS!AY39)-1</f>
        <v>0.23745278430076522</v>
      </c>
      <c r="BE102" s="417">
        <f>(BS!BE28+BS!BE39)/(BS!AZ28+BS!AZ39)-1</f>
        <v>0.23745278430076522</v>
      </c>
      <c r="BF102" s="417">
        <f>(BS!BF28+BS!BF39)/(BS!BA28+BS!BA39)-1</f>
        <v>0.23808406894032008</v>
      </c>
      <c r="BG102" s="417">
        <f>(BS!BG28+BS!BG39)/(BS!BB28+BS!BB39)-1</f>
        <v>0.22976098849234594</v>
      </c>
      <c r="BH102" s="417">
        <f>(BS!BH28+BS!BH39)/(BS!BC28+BS!BC39)-1</f>
        <v>0.15757170097033635</v>
      </c>
      <c r="BI102" s="417">
        <f>(BS!BI28+BS!BI39)/(BS!BD28+BS!BD39)-1</f>
        <v>0.16524200449497384</v>
      </c>
      <c r="BJ102" s="311">
        <f>(BS!BJ28+BS!BJ39)/(BS!BE28+BS!BE39)-1</f>
        <v>0.16524200449497384</v>
      </c>
      <c r="BK102" s="417">
        <f>(BS!BK28+BS!BK39)/(BS!BF28+BS!BF39)-1</f>
        <v>0.27518562237232302</v>
      </c>
      <c r="BL102" s="417">
        <f>(BS!BL28+BS!BL39)/(BS!BG28+BS!BG39)-1</f>
        <v>0.16613808204757929</v>
      </c>
      <c r="BM102" s="417">
        <f>(BS!BM28+BS!BM39)/(BS!BH28+BS!BH39)-1</f>
        <v>0.31006919099892394</v>
      </c>
      <c r="BN102" s="417">
        <f>(BS!BN28+BS!BN39)/(BS!BI28+BS!BI39)-1</f>
        <v>0.33773211850249796</v>
      </c>
      <c r="BO102" s="311">
        <f>(BS!BO28+BS!BO39)/(BS!BJ28+BS!BJ39)-1</f>
        <v>0.33773211850249796</v>
      </c>
      <c r="BP102" s="417">
        <f>(BS!BP28+BS!BP39)/(BS!BK28+BS!BK39)-1</f>
        <v>0.25863997451541443</v>
      </c>
      <c r="BQ102" s="417">
        <f>(BS!BQ28+BS!BQ39)/(BS!BL28+BS!BL39)-1</f>
        <v>0.34334788162503038</v>
      </c>
      <c r="BR102" s="417">
        <f>(BS!BR28+BS!BR39)/(BS!BM28+BS!BM39)-1</f>
        <v>0.35754248544086087</v>
      </c>
      <c r="BS102" s="417">
        <f>(BS!BS28+BS!BS39)/(BS!BN28+BS!BN39)-1</f>
        <v>0.39395182502183856</v>
      </c>
      <c r="BT102" s="311">
        <f>(BS!BT28+BS!BT39)/(BS!BO28+BS!BO39)-1</f>
        <v>0.39395182502183856</v>
      </c>
      <c r="BU102" s="417">
        <f>(BS!BU28+BS!BU39)/(BS!BP28+BS!BP39)-1</f>
        <v>0.34296499664618829</v>
      </c>
      <c r="BV102" s="417">
        <f>(BS!BV28+BS!BV39)/(BS!BQ28+BS!BQ39)-1</f>
        <v>0.32258206942894918</v>
      </c>
      <c r="BW102" s="417">
        <f>(BS!BW28+BS!BW39)/(BS!BR28+BS!BR39)-1</f>
        <v>0.31056618011556014</v>
      </c>
      <c r="BX102" s="417">
        <f>(BS!BX28+BS!BX39)/(BS!BS28+BS!BS39)-1</f>
        <v>0.28560819302637186</v>
      </c>
      <c r="BY102" s="311">
        <f>(BS!BY28+BS!BY39)/(BS!BT28+BS!BT39)-1</f>
        <v>0.28560819302637186</v>
      </c>
      <c r="BZ102" s="417">
        <f>(BS!BZ28+BS!BZ39)/(BS!BU28+BS!BU39)-1</f>
        <v>0.359504897026796</v>
      </c>
      <c r="CA102" s="417">
        <f>(BS!CA28+BS!CA39)/(BS!BV28+BS!BV39)-1</f>
        <v>0.36923433931384886</v>
      </c>
      <c r="CB102" s="417">
        <f>(BS!CB28+BS!CB39)/(BS!BW28+BS!BW39)-1</f>
        <v>0.37668076283145324</v>
      </c>
      <c r="CC102" s="417">
        <f>(BS!CC28+BS!CC39)/(BS!BX28+BS!BX39)-1</f>
        <v>0.35646545397746165</v>
      </c>
      <c r="CD102" s="311">
        <f>(BS!CD28+BS!CD39)/(BS!BY28+BS!BY39)-1</f>
        <v>0.35646545397746165</v>
      </c>
      <c r="CE102" s="417">
        <f>(BS!CE28+BS!CE39)/(BS!BZ28+BS!BZ39)-1</f>
        <v>0.28072184302462944</v>
      </c>
      <c r="CF102" s="417">
        <f>(BS!CF28+BS!CF39)/(BS!CA28+BS!CA39)-1</f>
        <v>0.23391562482160189</v>
      </c>
      <c r="CG102" s="417">
        <f>(BS!CG28+BS!CG39)/(BS!CB28+BS!CB39)-1</f>
        <v>0.22629721605018971</v>
      </c>
      <c r="CH102" s="417">
        <f>(BS!CH28+BS!CH39)/(BS!CC28+BS!CC39)-1</f>
        <v>0.23813971956818469</v>
      </c>
      <c r="CI102" s="311">
        <f>(BS!CI28+BS!CI39)/(BS!CD28+BS!CD39)-1</f>
        <v>0.23813971956818469</v>
      </c>
      <c r="CJ102" s="417">
        <f>(BS!CJ28+BS!CJ39)/(BS!CE28+BS!CE39)-1</f>
        <v>0.24849362648926387</v>
      </c>
      <c r="CK102" s="418">
        <f>(BS!CK28+BS!CK39)/(BS!CF28+BS!CF39)-1</f>
        <v>0.22939240333300748</v>
      </c>
      <c r="CL102" s="418">
        <f>(BS!CL28+BS!CL39)/(BS!CG28+BS!CG39)-1</f>
        <v>0.23039729731972503</v>
      </c>
      <c r="CM102" s="418">
        <f>(BS!CM28+BS!CM39)/(BS!CH28+BS!CH39)-1</f>
        <v>0.18789944152766669</v>
      </c>
      <c r="CN102" s="312">
        <f>(BS!CN28+BS!CN39)/(BS!CI28+BS!CI39)-1</f>
        <v>0.18789944152766669</v>
      </c>
      <c r="CO102" s="418">
        <f>(BS!CO28+BS!CO39)/(BS!CJ28+BS!CJ39)-1</f>
        <v>0.18831708524059065</v>
      </c>
      <c r="CP102" s="418">
        <f>(BS!CP28+BS!CP39)/(BS!CK28+BS!CK39)-1</f>
        <v>0.1830564748289274</v>
      </c>
      <c r="CQ102" s="418">
        <f>(BS!CQ28+BS!CQ39)/(BS!CL28+BS!CL39)-1</f>
        <v>0.18522787333936774</v>
      </c>
      <c r="CR102" s="418">
        <f>(BS!CR28+BS!CR39)/(BS!CM28+BS!CM39)-1</f>
        <v>0.18453590693739352</v>
      </c>
      <c r="CS102" s="312">
        <f>(BS!CS28+BS!CS39)/(BS!CN28+BS!CN39)-1</f>
        <v>0.18453590693739352</v>
      </c>
      <c r="CT102" s="418">
        <f>(BS!CT28+BS!CT39)/(BS!CO28+BS!CO39)-1</f>
        <v>0.17758021327430606</v>
      </c>
      <c r="CU102" s="418">
        <f>(BS!CU28+BS!CU39)/(BS!CP28+BS!CP39)-1</f>
        <v>0.16939115080149492</v>
      </c>
      <c r="CV102" s="418">
        <f>(BS!CV28+BS!CV39)/(BS!CQ28+BS!CQ39)-1</f>
        <v>0.16038194398237904</v>
      </c>
      <c r="CW102" s="418">
        <f>(BS!CW28+BS!CW39)/(BS!CR28+BS!CR39)-1</f>
        <v>0.1518009880000637</v>
      </c>
      <c r="CX102" s="312">
        <f>(BS!CX28+BS!CX39)/(BS!CS28+BS!CS39)-1</f>
        <v>0.1518009880000637</v>
      </c>
      <c r="DB102" s="750"/>
      <c r="DC102" s="687"/>
      <c r="DD102" s="1614"/>
      <c r="DE102" s="687"/>
    </row>
    <row r="103" spans="1:109">
      <c r="A103" s="699" t="s">
        <v>341</v>
      </c>
      <c r="B103" s="699"/>
      <c r="C103" s="687"/>
      <c r="D103" s="687"/>
      <c r="E103" s="687"/>
      <c r="F103" s="687"/>
      <c r="G103" s="687"/>
      <c r="H103" s="710">
        <f>(BS!H28+BS!H39)/(BS!F28+BS!F39)-1</f>
        <v>8.8198700520713214E-2</v>
      </c>
      <c r="I103" s="710">
        <f>(BS!I28+BS!I39)/(BS!H28+BS!H39)-1</f>
        <v>9.2356553038323241E-2</v>
      </c>
      <c r="J103" s="710">
        <f>(BS!J28+BS!J39)/(BS!I28+BS!I39)-1</f>
        <v>5.8885098464878327E-2</v>
      </c>
      <c r="K103" s="710">
        <f>(BS!K28+BS!K39)/(BS!J28+BS!J39)-1</f>
        <v>0.14168039538714972</v>
      </c>
      <c r="L103" s="753" t="s">
        <v>131</v>
      </c>
      <c r="M103" s="710">
        <f>(BS!M28+BS!M39)/(BS!K28+BS!K39)-1</f>
        <v>4.1654641654641722E-2</v>
      </c>
      <c r="N103" s="710">
        <f>(BS!N28+BS!N39)/(BS!M28+BS!M39)-1</f>
        <v>0.29359069080162548</v>
      </c>
      <c r="O103" s="710">
        <f>(BS!O28+BS!O39)/(BS!N28+BS!N39)-1</f>
        <v>-9.8046214987743685E-3</v>
      </c>
      <c r="P103" s="710">
        <f>(BS!P28+BS!P39)/(BS!O28+BS!O39)-1</f>
        <v>9.5916748780311867E-2</v>
      </c>
      <c r="Q103" s="753" t="s">
        <v>131</v>
      </c>
      <c r="R103" s="710">
        <f>(BS!R28+BS!R39)/(BS!P28+BS!P39)-1</f>
        <v>-4.9868421052631562E-2</v>
      </c>
      <c r="S103" s="710">
        <f>(BS!S28+BS!S39)/(BS!R28+BS!R39)-1</f>
        <v>3.3559525458154438E-2</v>
      </c>
      <c r="T103" s="710">
        <f>(BS!T28+BS!T39)/(BS!S28+BS!S39)-1</f>
        <v>5.2880750334971083E-2</v>
      </c>
      <c r="U103" s="710">
        <f>(BS!U28+BS!U39)/(BS!T28+BS!T39)-1</f>
        <v>0.26285314329345866</v>
      </c>
      <c r="V103" s="715" t="s">
        <v>131</v>
      </c>
      <c r="W103" s="687">
        <f>(BS!W28+BS!W39)/(BS!U28+BS!U39)-1</f>
        <v>-4.1215297022219821E-2</v>
      </c>
      <c r="X103" s="687">
        <f>(BS!X28+BS!X39)/(BS!W28+BS!W39)-1</f>
        <v>6.9122567309545024E-2</v>
      </c>
      <c r="Y103" s="687">
        <f>(BS!Y28+BS!Y39)/(BS!X28+BS!X39)-1</f>
        <v>-1.6761424147592296E-2</v>
      </c>
      <c r="Z103" s="687">
        <f>(BS!Z28+BS!Z39)/(BS!Y28+BS!Y39)-1</f>
        <v>0.1259790034994166</v>
      </c>
      <c r="AA103" s="715" t="s">
        <v>131</v>
      </c>
      <c r="AB103" s="687">
        <f>(BS!AB28+BS!AB39)/(BS!Z28+BS!Z39)-1</f>
        <v>0.40244191209116487</v>
      </c>
      <c r="AC103" s="687">
        <f>(BS!AC28+BS!AC39)/(BS!AB28+BS!AB39)-1</f>
        <v>7.2359465192110672E-2</v>
      </c>
      <c r="AD103" s="687">
        <f>(BS!AD28+BS!AD39)/(BS!AC28+BS!AC39)-1</f>
        <v>0.22801613855540248</v>
      </c>
      <c r="AE103" s="687">
        <f>(BS!AE28+BS!AE39)/(BS!AD28+BS!AD39)-1</f>
        <v>0.3058153232204246</v>
      </c>
      <c r="AF103" s="715" t="s">
        <v>131</v>
      </c>
      <c r="AG103" s="687">
        <f>(BS!AG28+BS!AG39)/(BS!AE28+BS!AE39)-1</f>
        <v>4.6546878260122604E-2</v>
      </c>
      <c r="AH103" s="687">
        <f>(BS!AH28+BS!AH39)/(BS!AG28+BS!AG39)-1</f>
        <v>0.2243299186696297</v>
      </c>
      <c r="AI103" s="687">
        <f>(BS!AI28+BS!AI39)/(BS!AH28+BS!AH39)-1</f>
        <v>-7.9953638958600637E-2</v>
      </c>
      <c r="AJ103" s="687">
        <f>(BS!AJ28+BS!AJ39)/(BS!AI28+BS!AI39)-1</f>
        <v>8.9358778149108309E-2</v>
      </c>
      <c r="AK103" s="715" t="s">
        <v>131</v>
      </c>
      <c r="AL103" s="687">
        <f>(BS!AL28+BS!AL39)/(BS!AJ28+BS!AJ39)-1</f>
        <v>2.5565303820937801E-2</v>
      </c>
      <c r="AM103" s="687">
        <f>(BS!AM28+BS!AM39)/(BS!AK28+BS!AK39)-1</f>
        <v>3.4142821644971955E-2</v>
      </c>
      <c r="AN103" s="687">
        <f>(BS!AN28+BS!AN39)/(BS!AM28+BS!AM39)-1</f>
        <v>7.401588629148903E-2</v>
      </c>
      <c r="AO103" s="687">
        <f>(BS!AO28+BS!AO39)/(BS!AN28+BS!AN39)-1</f>
        <v>0.18452357904066163</v>
      </c>
      <c r="AP103" s="715" t="s">
        <v>131</v>
      </c>
      <c r="AQ103" s="687">
        <f>(BS!AQ28+BS!AQ39)/(BS!AO28+BS!AO39)-1</f>
        <v>-0.18173035013802119</v>
      </c>
      <c r="AR103" s="687">
        <f>(BS!AR28+BS!AR39)/(BS!AP28+BS!AP39)-1</f>
        <v>-0.22521066395467093</v>
      </c>
      <c r="AS103" s="687">
        <f>(BS!AS28+BS!AS39)/(BS!AQ28+BS!AQ39)-1</f>
        <v>-3.1479985440728608E-2</v>
      </c>
      <c r="AT103" s="687">
        <f>(BS!AT28+BS!AT39)/(BS!AR28+BS!AR39)-1</f>
        <v>0.49212666713545694</v>
      </c>
      <c r="AU103" s="715" t="s">
        <v>131</v>
      </c>
      <c r="AV103" s="687">
        <f>(BS!AV28+BS!AV39)/(BS!AT28+BS!AT39)-1</f>
        <v>0.13022592391287291</v>
      </c>
      <c r="AW103" s="687">
        <f>(BS!AW28+BS!AW39)/(BS!AU28+BS!AU39)-1</f>
        <v>0.27034838969125907</v>
      </c>
      <c r="AX103" s="687">
        <f>(BS!AX28+BS!AX39)/(BS!AV28+BS!AV39)-1</f>
        <v>0.17004361446921812</v>
      </c>
      <c r="AY103" s="687">
        <f>(BS!AY28+BS!AY39)/(BS!AW28+BS!AW39)-1</f>
        <v>6.2654726309099074E-2</v>
      </c>
      <c r="AZ103" s="715" t="s">
        <v>131</v>
      </c>
      <c r="BA103" s="417">
        <f>(BS!BA28+BS!BA39)/(BS!AY28+BS!AY39)-1</f>
        <v>3.1933289424381561E-2</v>
      </c>
      <c r="BB103" s="417">
        <f>(BS!BB28+BS!BB39)/(BS!BA28+BS!BA39)-1</f>
        <v>8.7120374922755595E-2</v>
      </c>
      <c r="BC103" s="417">
        <f>(BS!BC28+BS!BC39)/(BS!BB28+BS!BB39)-1</f>
        <v>4.2155314951237699E-3</v>
      </c>
      <c r="BD103" s="417">
        <f>(BS!BD28+BS!BD39)/(BS!BB28+BS!BB39)-1</f>
        <v>0.10306061693639545</v>
      </c>
      <c r="BE103" s="419" t="s">
        <v>131</v>
      </c>
      <c r="BF103" s="417">
        <f>(BS!BF28+BS!BF39)/(BS!BD28+BS!BD39)-1</f>
        <v>3.2459728608909222E-2</v>
      </c>
      <c r="BG103" s="417">
        <f>(BS!BG28+BS!BG39)/(BS!BF28+BS!BF39)-1</f>
        <v>7.9812155259725515E-2</v>
      </c>
      <c r="BH103" s="417">
        <f>(BS!BH28+BS!BH39)/(BS!BG28+BS!BG39)-1</f>
        <v>-5.4733812658364633E-2</v>
      </c>
      <c r="BI103" s="417">
        <f>(BS!BI28+BS!BI39)/(BS!BG28+BS!BG39)-1</f>
        <v>4.5188924015398646E-2</v>
      </c>
      <c r="BJ103" s="782" t="s">
        <v>131</v>
      </c>
      <c r="BK103" s="417">
        <f>(BS!BK28+BS!BK39)/(BS!BI28+BS!BI39)-1</f>
        <v>0.12987499293859406</v>
      </c>
      <c r="BL103" s="417">
        <f>(BS!BL28+BS!BL39)/(BS!BK28+BS!BK39)-1</f>
        <v>-1.2528016616407012E-2</v>
      </c>
      <c r="BM103" s="417">
        <f>(BS!BM28+BS!BM39)/(BS!BL28+BS!BL39)-1</f>
        <v>6.1936084923061019E-2</v>
      </c>
      <c r="BN103" s="417">
        <f>(BS!BN28+BS!BN39)/(BS!BM28+BS!BM39)-1</f>
        <v>0.12905629533766971</v>
      </c>
      <c r="BO103" s="782" t="s">
        <v>131</v>
      </c>
      <c r="BP103" s="417">
        <f>(BS!BP28+BS!BP39)/(BS!BN28+BS!BN39)-1</f>
        <v>6.3072204553022759E-2</v>
      </c>
      <c r="BQ103" s="417">
        <f>(BS!BQ28+BS!BQ39)/(BS!BP28+BS!BP39)-1</f>
        <v>5.3929975132989139E-2</v>
      </c>
      <c r="BR103" s="417">
        <f>(BS!BR28+BS!BR39)/(BS!BQ28+BS!BQ39)-1</f>
        <v>7.315712618080461E-2</v>
      </c>
      <c r="BS103" s="417">
        <f>(BS!BS28+BS!BS39)/(BS!BR28+BS!BR39)-1</f>
        <v>0.15933762686420394</v>
      </c>
      <c r="BT103" s="782" t="s">
        <v>131</v>
      </c>
      <c r="BU103" s="417">
        <f>(BS!BU28+BS!BU39)/(BS!BS28+BS!BS39)-1</f>
        <v>2.4188019984004328E-2</v>
      </c>
      <c r="BV103" s="417">
        <f>(BS!BV28+BS!BV39)/(BS!BU28+BS!BU39)-1</f>
        <v>3.7933893307438904E-2</v>
      </c>
      <c r="BW103" s="417">
        <f>(BS!BW28+BS!BW39)/(BS!BV28+BS!BV39)-1</f>
        <v>6.3407306081072923E-2</v>
      </c>
      <c r="BX103" s="417">
        <f>(BS!BX28+BS!BX39)/(BS!BW28+BS!BW39)-1</f>
        <v>0.13725958611945077</v>
      </c>
      <c r="BY103" s="782" t="s">
        <v>131</v>
      </c>
      <c r="BZ103" s="417">
        <f>(BS!BZ28+BS!BZ39)/(BS!BX28+BS!BX39)-1</f>
        <v>8.3058303608578354E-2</v>
      </c>
      <c r="CA103" s="417">
        <f>(BS!CA28+BS!CA39)/(BS!BZ28+BS!BZ39)-1</f>
        <v>4.5361978292492111E-2</v>
      </c>
      <c r="CB103" s="417">
        <f>(BS!CB28+BS!CB39)/(BS!CA28+BS!CA39)-1</f>
        <v>6.9190524442922063E-2</v>
      </c>
      <c r="CC103" s="417">
        <f>(BS!CC28+BS!CC39)/(BS!CB28+BS!CB39)-1</f>
        <v>0.12055996017764348</v>
      </c>
      <c r="CD103" s="782" t="s">
        <v>131</v>
      </c>
      <c r="CE103" s="417">
        <f>(BS!CE28+BS!CE39)/(BS!CC28+BS!CC39)-1</f>
        <v>2.2581461719816343E-2</v>
      </c>
      <c r="CF103" s="417">
        <f>(BS!CF28+BS!CF39)/(BS!CE28+BS!CE39)-1</f>
        <v>7.1573977088172924E-3</v>
      </c>
      <c r="CG103" s="417">
        <f>(BS!CG28+BS!CG39)/(BS!CF28+BS!CF39)-1</f>
        <v>6.2589156970243698E-2</v>
      </c>
      <c r="CH103" s="417">
        <f>(BS!CH28+BS!CH39)/(BS!CG28+BS!CG39)-1</f>
        <v>0.13138134596963802</v>
      </c>
      <c r="CI103" s="782" t="s">
        <v>131</v>
      </c>
      <c r="CJ103" s="417">
        <f>(BS!CJ28+BS!CJ39)/(BS!CH28+BS!CH39)-1</f>
        <v>3.1132769061414933E-2</v>
      </c>
      <c r="CK103" s="418">
        <f>(BS!CK28+BS!CK39)/(BS!CJ28+BS!CJ39)-1</f>
        <v>-8.2515221278079975E-3</v>
      </c>
      <c r="CL103" s="418">
        <f>(BS!CL28+BS!CL39)/(BS!CK28+BS!CK39)-1</f>
        <v>6.3457707525213625E-2</v>
      </c>
      <c r="CM103" s="418">
        <f>(BS!CM28+BS!CM39)/(BS!CL28+BS!CL39)-1</f>
        <v>9.2303495756880016E-2</v>
      </c>
      <c r="CN103" s="1594" t="s">
        <v>131</v>
      </c>
      <c r="CO103" s="418">
        <f>(BS!CO28+BS!CO39)/(BS!CM28+BS!CM39)-1</f>
        <v>3.1495296480094748E-2</v>
      </c>
      <c r="CP103" s="418">
        <f>(BS!CP28+BS!CP39)/(BS!CO28+BS!CO39)-1</f>
        <v>-1.264193478217901E-2</v>
      </c>
      <c r="CQ103" s="418">
        <f>(BS!CQ28+BS!CQ39)/(BS!CP28+BS!CP39)-1</f>
        <v>6.5409592774284819E-2</v>
      </c>
      <c r="CR103" s="418">
        <f>(BS!CR28+BS!CR39)/(BS!CQ28+BS!CQ39)-1</f>
        <v>9.1665780987573164E-2</v>
      </c>
      <c r="CS103" s="1594" t="s">
        <v>131</v>
      </c>
      <c r="CT103" s="418">
        <f>(BS!CT28+BS!CT39)/(BS!CR28+BS!CR39)-1</f>
        <v>2.5438270048721012E-2</v>
      </c>
      <c r="CU103" s="418">
        <f>(BS!CU28+BS!CU39)/(BS!CT28+BS!CT39)-1</f>
        <v>-1.950816502956132E-2</v>
      </c>
      <c r="CV103" s="418">
        <f>(BS!CV28+BS!CV39)/(BS!CU28+BS!CU39)-1</f>
        <v>5.7201479208695671E-2</v>
      </c>
      <c r="CW103" s="418">
        <f>(BS!CW28+BS!CW39)/(BS!CV28+BS!CV39)-1</f>
        <v>8.3592976974520949E-2</v>
      </c>
      <c r="CX103" s="1594" t="s">
        <v>131</v>
      </c>
      <c r="DB103" s="750"/>
      <c r="DC103" s="687"/>
      <c r="DD103" s="1614"/>
      <c r="DE103" s="687"/>
    </row>
    <row r="104" spans="1:109">
      <c r="A104" s="699"/>
      <c r="B104" s="699"/>
      <c r="C104" s="687"/>
      <c r="D104" s="687"/>
      <c r="E104" s="687"/>
      <c r="F104" s="687"/>
      <c r="G104" s="687"/>
      <c r="H104" s="753"/>
      <c r="I104" s="710"/>
      <c r="J104" s="710"/>
      <c r="K104" s="710"/>
      <c r="L104" s="753"/>
      <c r="M104" s="710"/>
      <c r="N104" s="710"/>
      <c r="O104" s="710"/>
      <c r="P104" s="710"/>
      <c r="Q104" s="753"/>
      <c r="R104" s="710"/>
      <c r="S104" s="710"/>
      <c r="T104" s="710"/>
      <c r="U104" s="710"/>
      <c r="V104" s="715"/>
      <c r="W104" s="687"/>
      <c r="X104" s="687"/>
      <c r="Y104" s="687"/>
      <c r="Z104" s="687"/>
      <c r="AA104" s="715"/>
      <c r="AB104" s="687"/>
      <c r="AC104" s="687"/>
      <c r="AD104" s="687"/>
      <c r="AE104" s="687"/>
      <c r="AF104" s="715"/>
      <c r="AG104" s="687"/>
      <c r="AH104" s="687"/>
      <c r="AI104" s="687"/>
      <c r="AJ104" s="687"/>
      <c r="AK104" s="715"/>
      <c r="AL104" s="687"/>
      <c r="AM104" s="687"/>
      <c r="AN104" s="687"/>
      <c r="AO104" s="687"/>
      <c r="AP104" s="715"/>
      <c r="AQ104" s="687"/>
      <c r="AR104" s="1006"/>
      <c r="AS104" s="1006"/>
      <c r="AT104" s="1006"/>
      <c r="AU104" s="715"/>
      <c r="AV104" s="687"/>
      <c r="AW104" s="687"/>
      <c r="AX104" s="687"/>
      <c r="AY104" s="687"/>
      <c r="AZ104" s="715"/>
      <c r="BA104" s="687"/>
      <c r="BB104" s="687"/>
      <c r="BC104" s="687"/>
      <c r="BD104" s="687"/>
      <c r="BE104" s="715"/>
      <c r="BF104" s="687"/>
      <c r="BG104" s="687"/>
      <c r="BH104" s="687"/>
      <c r="BI104" s="687"/>
      <c r="BJ104" s="705"/>
      <c r="BK104" s="687"/>
      <c r="BL104" s="687"/>
      <c r="BM104" s="687"/>
      <c r="BN104" s="687"/>
      <c r="BO104" s="705"/>
      <c r="BP104" s="687"/>
      <c r="BQ104" s="687"/>
      <c r="BR104" s="687"/>
      <c r="BS104" s="687"/>
      <c r="BT104" s="705"/>
      <c r="BU104" s="687"/>
      <c r="BV104" s="687"/>
      <c r="BW104" s="687"/>
      <c r="BX104" s="687"/>
      <c r="BY104" s="705"/>
      <c r="BZ104" s="687"/>
      <c r="CA104" s="687"/>
      <c r="CB104" s="687"/>
      <c r="CC104" s="687"/>
      <c r="CD104" s="705"/>
      <c r="CE104" s="687"/>
      <c r="CF104" s="687"/>
      <c r="CG104" s="687"/>
      <c r="CH104" s="687"/>
      <c r="CI104" s="705"/>
      <c r="CJ104" s="687"/>
      <c r="CK104" s="745"/>
      <c r="CL104" s="745"/>
      <c r="CM104" s="745"/>
      <c r="CN104" s="1517"/>
      <c r="CO104" s="745"/>
      <c r="CP104" s="745"/>
      <c r="CQ104" s="745"/>
      <c r="CR104" s="745"/>
      <c r="CS104" s="1517"/>
      <c r="CT104" s="745"/>
      <c r="CU104" s="745"/>
      <c r="CV104" s="745"/>
      <c r="CW104" s="745"/>
      <c r="CX104" s="1517"/>
      <c r="DB104" s="750"/>
      <c r="DC104" s="687"/>
      <c r="DD104" s="1614"/>
      <c r="DE104" s="687"/>
    </row>
    <row r="105" spans="1:109">
      <c r="A105" s="699" t="s">
        <v>49</v>
      </c>
      <c r="B105" s="699"/>
      <c r="C105" s="687"/>
      <c r="D105" s="687"/>
      <c r="E105" s="687"/>
      <c r="F105" s="687"/>
      <c r="G105" s="687"/>
      <c r="H105" s="710">
        <f>BS!H28/Model!H24</f>
        <v>8.8149879057544706E-2</v>
      </c>
      <c r="I105" s="710">
        <f>BS!I28/Model!I24</f>
        <v>8.1283341578464757E-2</v>
      </c>
      <c r="J105" s="710">
        <f>BS!J28/Model!J24</f>
        <v>9.5882813404989484E-2</v>
      </c>
      <c r="K105" s="710">
        <f>BS!K28/Model!K24</f>
        <v>0.10583599747500458</v>
      </c>
      <c r="L105" s="753"/>
      <c r="M105" s="710">
        <f>BS!M28/Model!M24</f>
        <v>0.10941241853180418</v>
      </c>
      <c r="N105" s="710">
        <f>BS!N28/Model!N24</f>
        <v>0.13125573956882175</v>
      </c>
      <c r="O105" s="710">
        <f>BS!O28/Model!O24</f>
        <v>0.13038587123419887</v>
      </c>
      <c r="P105" s="710">
        <f>BS!P28/Model!P24</f>
        <v>0.1271661470330688</v>
      </c>
      <c r="Q105" s="753" t="s">
        <v>131</v>
      </c>
      <c r="R105" s="710">
        <f>BS!R28/Model!R24</f>
        <v>0.10235753553785783</v>
      </c>
      <c r="S105" s="710">
        <f>BS!S28/Model!S24</f>
        <v>0.10919687381884244</v>
      </c>
      <c r="T105" s="710">
        <f>BS!T28/Model!T24</f>
        <v>0.11678593456242431</v>
      </c>
      <c r="U105" s="710">
        <f>BS!U28/Model!U24</f>
        <v>0.13862799241912727</v>
      </c>
      <c r="V105" s="715" t="s">
        <v>131</v>
      </c>
      <c r="W105" s="710">
        <f>BS!W28/Model!W24</f>
        <v>0.1207214484797476</v>
      </c>
      <c r="X105" s="710">
        <f>BS!X28/Model!X24</f>
        <v>0.12304320916720596</v>
      </c>
      <c r="Y105" s="710">
        <f>BS!Y28/Model!Y24</f>
        <v>0.12321395206544035</v>
      </c>
      <c r="Z105" s="710">
        <f>BS!Z28/Model!Z24</f>
        <v>0.11332736381965273</v>
      </c>
      <c r="AA105" s="715" t="s">
        <v>131</v>
      </c>
      <c r="AB105" s="710">
        <f>BS!AB28/Model!AB24</f>
        <v>0.12572199219500882</v>
      </c>
      <c r="AC105" s="710">
        <f>BS!AC28/Model!AC24</f>
        <v>0.14008365646087217</v>
      </c>
      <c r="AD105" s="710">
        <f>BS!AD28/Model!AD24</f>
        <v>0.17188732478565774</v>
      </c>
      <c r="AE105" s="710">
        <f>BS!AE28/Model!AE24</f>
        <v>0.191021365485396</v>
      </c>
      <c r="AF105" s="715" t="s">
        <v>131</v>
      </c>
      <c r="AG105" s="710">
        <f>BS!AG28/Model!AG24</f>
        <v>0.2151070130134107</v>
      </c>
      <c r="AH105" s="710">
        <f>BS!AH28/Model!AH24</f>
        <v>0.24052646473804851</v>
      </c>
      <c r="AI105" s="710">
        <f>BS!AI28/Model!AI24</f>
        <v>0.19307820018175714</v>
      </c>
      <c r="AJ105" s="710">
        <f>BS!AJ28/Model!AJ24</f>
        <v>0.20118062666056491</v>
      </c>
      <c r="AK105" s="715" t="s">
        <v>131</v>
      </c>
      <c r="AL105" s="710">
        <f>BS!AL28/Model!AL24</f>
        <v>0.21524294032758903</v>
      </c>
      <c r="AM105" s="1006">
        <f>BS!AM28/Model!AM24</f>
        <v>0.21603001964175778</v>
      </c>
      <c r="AN105" s="1006">
        <f>BS!AN28/Model!AN24</f>
        <v>0.23059046026123209</v>
      </c>
      <c r="AO105" s="1006">
        <f>BS!AO28/Model!AO24</f>
        <v>0.2665396410579689</v>
      </c>
      <c r="AP105" s="715" t="s">
        <v>131</v>
      </c>
      <c r="AQ105" s="1006">
        <f>BS!AQ28/Model!AQ24</f>
        <v>0.25218148755706454</v>
      </c>
      <c r="AR105" s="710">
        <f>BS!AR28/Model!AR24</f>
        <v>0.26280416590390154</v>
      </c>
      <c r="AS105" s="710">
        <f>BS!AS28/Model!AS24</f>
        <v>0.27000159138187857</v>
      </c>
      <c r="AT105" s="710">
        <f>BS!AT28/Model!AT24</f>
        <v>0.37182400766952384</v>
      </c>
      <c r="AU105" s="753" t="s">
        <v>131</v>
      </c>
      <c r="AV105" s="1006">
        <f>BS!AV28/Model!AV24</f>
        <v>0.37327937580062887</v>
      </c>
      <c r="AW105" s="1006">
        <f>BS!AW28/Model!AW24</f>
        <v>0.38446717248034273</v>
      </c>
      <c r="AX105" s="1006">
        <f>BS!AX28/Model!AX24</f>
        <v>0.37960192624800693</v>
      </c>
      <c r="AY105" s="1006">
        <f>BS!AY28/Model!AY24</f>
        <v>0.37774642689191684</v>
      </c>
      <c r="AZ105" s="753" t="s">
        <v>131</v>
      </c>
      <c r="BA105" s="1260">
        <f>BS!BA28/Model!BA24</f>
        <v>0.38879990970180184</v>
      </c>
      <c r="BB105" s="1260">
        <f>BS!BB28/Model!BB24</f>
        <v>0.42815382254717893</v>
      </c>
      <c r="BC105" s="1260">
        <f>BS!BC28/Model!BC24</f>
        <v>0.43395656585196385</v>
      </c>
      <c r="BD105" s="1006">
        <f>BS!BD28/Model!BD24</f>
        <v>0.41348561529161293</v>
      </c>
      <c r="BE105" s="753" t="s">
        <v>131</v>
      </c>
      <c r="BF105" s="1260">
        <f>BS!BF28/Model!BF24</f>
        <v>0.47123572070951569</v>
      </c>
      <c r="BG105" s="1260">
        <f>BS!BG28/Model!BG24</f>
        <v>0.47589085854494068</v>
      </c>
      <c r="BH105" s="1260">
        <f>BS!BH28/Model!BH24</f>
        <v>0.46793943993040776</v>
      </c>
      <c r="BI105" s="1260">
        <f>BS!BI28/Model!BI24</f>
        <v>0.48677767489604901</v>
      </c>
      <c r="BJ105" s="768" t="s">
        <v>131</v>
      </c>
      <c r="BK105" s="1260">
        <f>BS!BK28/Model!BK24</f>
        <v>0.64078906767023225</v>
      </c>
      <c r="BL105" s="1260">
        <f>BS!BL28/Model!BL24</f>
        <v>0.63221575599006086</v>
      </c>
      <c r="BM105" s="1260">
        <f>BS!BM28/Model!BM24</f>
        <v>0.68649377612124785</v>
      </c>
      <c r="BN105" s="1260">
        <f>BS!BN28/Model!BN24</f>
        <v>0.74449913074698171</v>
      </c>
      <c r="BO105" s="768" t="s">
        <v>131</v>
      </c>
      <c r="BP105" s="1260">
        <f>BS!BP28/Model!BP24</f>
        <v>0.83097728272607285</v>
      </c>
      <c r="BQ105" s="1260">
        <f>BS!BQ28/Model!BQ24</f>
        <v>0.82297548791995567</v>
      </c>
      <c r="BR105" s="1260">
        <f>BS!BR28/Model!BR24</f>
        <v>0.94246520570235581</v>
      </c>
      <c r="BS105" s="1260">
        <f>BS!BS28/Model!BS24</f>
        <v>1.0229147101352056</v>
      </c>
      <c r="BT105" s="768" t="s">
        <v>131</v>
      </c>
      <c r="BU105" s="1260">
        <f>BS!BU28/Model!BU24</f>
        <v>1.0185001365872657</v>
      </c>
      <c r="BV105" s="1260">
        <f>BS!BV28/Model!BV24</f>
        <v>1.0115165063614413</v>
      </c>
      <c r="BW105" s="1260">
        <f>BS!BW28/Model!BW24</f>
        <v>1.0344433422458137</v>
      </c>
      <c r="BX105" s="1260">
        <f>BS!BX28/Model!BX24</f>
        <v>1.0978227255887154</v>
      </c>
      <c r="BY105" s="768" t="s">
        <v>131</v>
      </c>
      <c r="BZ105" s="1260">
        <f>BS!BZ28/Model!BZ24</f>
        <v>1.1304716500341565</v>
      </c>
      <c r="CA105" s="1260">
        <f>BS!CA28/Model!CA24</f>
        <v>1.1676631808331825</v>
      </c>
      <c r="CB105" s="1260">
        <f>BS!CB28/Model!CB24</f>
        <v>1.1921593861063806</v>
      </c>
      <c r="CC105" s="1260">
        <f>BS!CC28/Model!CC24</f>
        <v>1.2096468644053571</v>
      </c>
      <c r="CD105" s="768" t="s">
        <v>131</v>
      </c>
      <c r="CE105" s="1260">
        <f>BS!CE28/Model!CE24</f>
        <v>1.1821798404658295</v>
      </c>
      <c r="CF105" s="1260">
        <f>BS!CF28/Model!CF24</f>
        <v>1.1319062854434343</v>
      </c>
      <c r="CG105" s="1260">
        <f>BS!CG28/Model!CG24</f>
        <v>1.1606111432783257</v>
      </c>
      <c r="CH105" s="1260">
        <f>BS!CH28/Model!CH24</f>
        <v>1.1990212275023111</v>
      </c>
      <c r="CI105" s="768" t="s">
        <v>131</v>
      </c>
      <c r="CJ105" s="1260">
        <f>BS!CJ28/Model!CJ24</f>
        <v>1.1947125155186737</v>
      </c>
      <c r="CK105" s="1310">
        <f t="shared" ref="CK105:CM106" si="122">CF105+0.001</f>
        <v>1.1329062854434342</v>
      </c>
      <c r="CL105" s="1310">
        <f t="shared" si="122"/>
        <v>1.1616111432783256</v>
      </c>
      <c r="CM105" s="1310">
        <f t="shared" si="122"/>
        <v>1.200021227502311</v>
      </c>
      <c r="CN105" s="1595" t="s">
        <v>131</v>
      </c>
      <c r="CO105" s="1310">
        <f>CJ105</f>
        <v>1.1947125155186737</v>
      </c>
      <c r="CP105" s="1310">
        <f>CK105</f>
        <v>1.1329062854434342</v>
      </c>
      <c r="CQ105" s="1310">
        <f>CL105</f>
        <v>1.1616111432783256</v>
      </c>
      <c r="CR105" s="1310">
        <f>CM105</f>
        <v>1.200021227502311</v>
      </c>
      <c r="CS105" s="1595" t="s">
        <v>131</v>
      </c>
      <c r="CT105" s="1310">
        <f>CO105</f>
        <v>1.1947125155186737</v>
      </c>
      <c r="CU105" s="1310">
        <f>CP105</f>
        <v>1.1329062854434342</v>
      </c>
      <c r="CV105" s="1310">
        <f>CQ105</f>
        <v>1.1616111432783256</v>
      </c>
      <c r="CW105" s="1310">
        <f>CR105</f>
        <v>1.200021227502311</v>
      </c>
      <c r="CX105" s="1595" t="s">
        <v>131</v>
      </c>
      <c r="DB105" s="750"/>
      <c r="DC105" s="687"/>
      <c r="DD105" s="1614"/>
      <c r="DE105" s="687"/>
    </row>
    <row r="106" spans="1:109">
      <c r="A106" s="699" t="s">
        <v>741</v>
      </c>
      <c r="B106" s="699"/>
      <c r="C106" s="687"/>
      <c r="D106" s="687"/>
      <c r="E106" s="687"/>
      <c r="F106" s="687"/>
      <c r="G106" s="687"/>
      <c r="H106" s="710"/>
      <c r="I106" s="710"/>
      <c r="J106" s="710"/>
      <c r="K106" s="710"/>
      <c r="L106" s="753"/>
      <c r="M106" s="710"/>
      <c r="N106" s="710"/>
      <c r="O106" s="710"/>
      <c r="P106" s="710"/>
      <c r="Q106" s="753"/>
      <c r="R106" s="710"/>
      <c r="S106" s="710"/>
      <c r="T106" s="710"/>
      <c r="U106" s="710"/>
      <c r="V106" s="715"/>
      <c r="W106" s="710"/>
      <c r="X106" s="710"/>
      <c r="Y106" s="710"/>
      <c r="Z106" s="710"/>
      <c r="AA106" s="715"/>
      <c r="AB106" s="710">
        <f>BS!AB39/Model!AB24</f>
        <v>1.8848840083114916E-2</v>
      </c>
      <c r="AC106" s="710">
        <f>BS!AC39/Model!AC24</f>
        <v>1.9833001812871384E-2</v>
      </c>
      <c r="AD106" s="710">
        <f>BS!AD39/Model!AD24</f>
        <v>3.5340946643174678E-2</v>
      </c>
      <c r="AE106" s="710">
        <f>BS!AE39/Model!AE24</f>
        <v>4.7852823688936126E-2</v>
      </c>
      <c r="AF106" s="715"/>
      <c r="AG106" s="710">
        <f>BS!AG39/Model!AG24</f>
        <v>4.7500257927617043E-2</v>
      </c>
      <c r="AH106" s="710">
        <f>BS!AH39/Model!AH24</f>
        <v>3.9519727674002816E-2</v>
      </c>
      <c r="AI106" s="710">
        <f>BS!AI39/Model!AI24</f>
        <v>3.2476757866161943E-2</v>
      </c>
      <c r="AJ106" s="710">
        <f>BS!AJ39/Model!AJ24</f>
        <v>2.8478585091707628E-2</v>
      </c>
      <c r="AK106" s="715"/>
      <c r="AL106" s="710">
        <f>BS!AL39/Model!AL24</f>
        <v>2.5780368242844871E-2</v>
      </c>
      <c r="AM106" s="710">
        <f>BS!AM39/Model!AM24</f>
        <v>2.7984430918968163E-2</v>
      </c>
      <c r="AN106" s="710">
        <f>BS!AN39/Model!AN24</f>
        <v>3.1375351222926395E-2</v>
      </c>
      <c r="AO106" s="710">
        <f>BS!AO39/Model!AO24</f>
        <v>3.4257583024600649E-2</v>
      </c>
      <c r="AP106" s="715"/>
      <c r="AQ106" s="710">
        <f>BS!AQ39/Model!AQ24</f>
        <v>3.4299774920840805E-2</v>
      </c>
      <c r="AR106" s="710">
        <f>BS!AR39/Model!AR24</f>
        <v>3.9910710357853922E-2</v>
      </c>
      <c r="AS106" s="710">
        <f>BS!AS39/Model!AS24</f>
        <v>4.2818208276045974E-2</v>
      </c>
      <c r="AT106" s="710">
        <f>BS!AT39/Model!AT24</f>
        <v>4.8485176611649805E-2</v>
      </c>
      <c r="AU106" s="753"/>
      <c r="AV106" s="1260">
        <f>BS!AV39/Model!AV24</f>
        <v>4.5659718178642131E-2</v>
      </c>
      <c r="AW106" s="1260">
        <f>BS!AW39/Model!AW24</f>
        <v>4.4300582693113197E-2</v>
      </c>
      <c r="AX106" s="1260">
        <f>BS!AX39/Model!AX24</f>
        <v>4.5427786400139752E-2</v>
      </c>
      <c r="AY106" s="1260">
        <f>BS!AY39/Model!AY24</f>
        <v>4.8543275135771169E-2</v>
      </c>
      <c r="AZ106" s="753"/>
      <c r="BA106" s="1217">
        <f>BS!BA39/Model!BA24</f>
        <v>4.2644491712610408E-2</v>
      </c>
      <c r="BB106" s="1217">
        <f>BS!BB39/Model!BB24</f>
        <v>4.2953383523313127E-2</v>
      </c>
      <c r="BC106" s="1217">
        <f>BS!BC39/Model!BC24</f>
        <v>4.3790440697504568E-2</v>
      </c>
      <c r="BD106" s="1260">
        <f>BS!BD39/Model!BD24</f>
        <v>4.7999368143861847E-2</v>
      </c>
      <c r="BE106" s="753"/>
      <c r="BF106" s="1217">
        <f>BS!BF39/Model!BF24</f>
        <v>5.3978109871605971E-2</v>
      </c>
      <c r="BG106" s="1217">
        <f>BS!BG39/Model!BG24</f>
        <v>5.1281116351208453E-2</v>
      </c>
      <c r="BH106" s="1217">
        <f>BS!BH39/Model!BH24</f>
        <v>5.0608932240093288E-2</v>
      </c>
      <c r="BI106" s="1260">
        <f>BS!BI39/Model!BI24</f>
        <v>5.0373321958544444E-2</v>
      </c>
      <c r="BJ106" s="768"/>
      <c r="BK106" s="1217">
        <f>BS!BK39/Model!BK24</f>
        <v>5.3773640131246699E-2</v>
      </c>
      <c r="BL106" s="1217">
        <f>BS!BL39/Model!BL24</f>
        <v>5.1829253207909758E-2</v>
      </c>
      <c r="BM106" s="1217">
        <f>BS!BM39/Model!BM24</f>
        <v>5.1181818455883168E-2</v>
      </c>
      <c r="BN106" s="1217">
        <f>BS!BN39/Model!BN24</f>
        <v>5.1135692748097109E-2</v>
      </c>
      <c r="BO106" s="768"/>
      <c r="BP106" s="1217">
        <f>BS!BP39/Model!BP24</f>
        <v>5.0003999520057588E-2</v>
      </c>
      <c r="BQ106" s="1217">
        <f>BS!BQ39/Model!BQ24</f>
        <v>4.6334608990009428E-2</v>
      </c>
      <c r="BR106" s="1217">
        <f>BS!BR39/Model!BR24</f>
        <v>4.8711519391610773E-2</v>
      </c>
      <c r="BS106" s="1217">
        <f>BS!BS39/Model!BS24</f>
        <v>5.347945828302253E-2</v>
      </c>
      <c r="BT106" s="768"/>
      <c r="BU106" s="1217">
        <f>BS!BU39/Model!BU24</f>
        <v>4.8295093406756875E-2</v>
      </c>
      <c r="BV106" s="1217">
        <f>BS!BV39/Model!BV24</f>
        <v>4.5271813299052284E-2</v>
      </c>
      <c r="BW106" s="1217">
        <f>BS!BW39/Model!BW24</f>
        <v>3.8034338231912809E-2</v>
      </c>
      <c r="BX106" s="1217">
        <f>BS!BX39/Model!BX24</f>
        <v>3.9110413011595194E-2</v>
      </c>
      <c r="BY106" s="768"/>
      <c r="BZ106" s="1217">
        <f>BS!BZ39/Model!BZ24</f>
        <v>3.2413695887113389E-2</v>
      </c>
      <c r="CA106" s="1217">
        <f>BS!CA39/Model!CA24</f>
        <v>3.4611202187159733E-2</v>
      </c>
      <c r="CB106" s="1217">
        <f>BS!CB39/Model!CB24</f>
        <v>3.6000128418195221E-2</v>
      </c>
      <c r="CC106" s="1217">
        <f>BS!CC39/Model!CC24</f>
        <v>4.2980715845808835E-2</v>
      </c>
      <c r="CD106" s="768"/>
      <c r="CE106" s="1217">
        <f>BS!CE39/Model!CE24</f>
        <v>4.2956722163879912E-2</v>
      </c>
      <c r="CF106" s="1217">
        <f>BS!CF39/Model!CF24</f>
        <v>3.895688385556853E-2</v>
      </c>
      <c r="CG106" s="1217">
        <f>BS!CG39/Model!CG24</f>
        <v>3.698547695529892E-2</v>
      </c>
      <c r="CH106" s="1217">
        <f>BS!CH39/Model!CH24</f>
        <v>4.4150414009802672E-2</v>
      </c>
      <c r="CI106" s="768"/>
      <c r="CJ106" s="1217">
        <f>BS!CJ39/Model!CJ24</f>
        <v>4.2550387287410403E-2</v>
      </c>
      <c r="CK106" s="1310">
        <f t="shared" si="122"/>
        <v>3.9956883855568531E-2</v>
      </c>
      <c r="CL106" s="1310">
        <f t="shared" si="122"/>
        <v>3.798547695529892E-2</v>
      </c>
      <c r="CM106" s="1310">
        <f t="shared" si="122"/>
        <v>4.5150414009802672E-2</v>
      </c>
      <c r="CN106" s="1595"/>
      <c r="CO106" s="1310">
        <f>CJ106+0.001</f>
        <v>4.3550387287410404E-2</v>
      </c>
      <c r="CP106" s="1310">
        <f>CK106+0.001</f>
        <v>4.0956883855568532E-2</v>
      </c>
      <c r="CQ106" s="1310">
        <f>CL106+0.001</f>
        <v>3.8985476955298921E-2</v>
      </c>
      <c r="CR106" s="1310">
        <f>CM106+0.001</f>
        <v>4.6150414009802673E-2</v>
      </c>
      <c r="CS106" s="1595"/>
      <c r="CT106" s="1310">
        <f>CO106+0.001</f>
        <v>4.4550387287410405E-2</v>
      </c>
      <c r="CU106" s="1310">
        <f>CP106+0.001</f>
        <v>4.1956883855568533E-2</v>
      </c>
      <c r="CV106" s="1310">
        <f>CQ106+0.001</f>
        <v>3.9985476955298922E-2</v>
      </c>
      <c r="CW106" s="1310">
        <f>CR106+0.001</f>
        <v>4.7150414009802674E-2</v>
      </c>
      <c r="CX106" s="1595"/>
      <c r="DB106" s="750"/>
      <c r="DC106" s="687"/>
      <c r="DD106" s="1614"/>
      <c r="DE106" s="687"/>
    </row>
    <row r="107" spans="1:109">
      <c r="A107" s="699"/>
      <c r="B107" s="699"/>
      <c r="C107" s="687"/>
      <c r="D107" s="687"/>
      <c r="E107" s="687"/>
      <c r="F107" s="687"/>
      <c r="G107" s="687"/>
      <c r="H107" s="710"/>
      <c r="I107" s="710"/>
      <c r="J107" s="710"/>
      <c r="K107" s="710"/>
      <c r="L107" s="753"/>
      <c r="M107" s="710"/>
      <c r="N107" s="710"/>
      <c r="O107" s="710"/>
      <c r="P107" s="710"/>
      <c r="Q107" s="753"/>
      <c r="R107" s="710"/>
      <c r="S107" s="710"/>
      <c r="T107" s="710"/>
      <c r="U107" s="710"/>
      <c r="V107" s="715"/>
      <c r="W107" s="710"/>
      <c r="X107" s="710"/>
      <c r="Y107" s="710"/>
      <c r="Z107" s="710"/>
      <c r="AA107" s="715"/>
      <c r="AB107" s="710"/>
      <c r="AC107" s="710"/>
      <c r="AD107" s="710"/>
      <c r="AE107" s="710"/>
      <c r="AF107" s="715"/>
      <c r="AG107" s="710"/>
      <c r="AH107" s="710"/>
      <c r="AI107" s="710"/>
      <c r="AJ107" s="710"/>
      <c r="AK107" s="715"/>
      <c r="AL107" s="710"/>
      <c r="AM107" s="710"/>
      <c r="AN107" s="710"/>
      <c r="AO107" s="710"/>
      <c r="AP107" s="715"/>
      <c r="AQ107" s="710"/>
      <c r="AR107" s="687"/>
      <c r="AS107" s="687"/>
      <c r="AT107" s="687"/>
      <c r="AU107" s="715"/>
      <c r="AV107" s="710"/>
      <c r="AW107" s="710"/>
      <c r="AX107" s="710"/>
      <c r="AY107" s="710"/>
      <c r="AZ107" s="715"/>
      <c r="BA107" s="710"/>
      <c r="BB107" s="710"/>
      <c r="BC107" s="710"/>
      <c r="BD107" s="710"/>
      <c r="BE107" s="715"/>
      <c r="BF107" s="710"/>
      <c r="BG107" s="710"/>
      <c r="BH107" s="710"/>
      <c r="BI107" s="710"/>
      <c r="BJ107" s="705"/>
      <c r="BK107" s="710"/>
      <c r="BL107" s="710"/>
      <c r="BM107" s="710"/>
      <c r="BN107" s="710"/>
      <c r="BO107" s="705"/>
      <c r="BP107" s="710"/>
      <c r="BQ107" s="710"/>
      <c r="BR107" s="710"/>
      <c r="BS107" s="710"/>
      <c r="BT107" s="705"/>
      <c r="BU107" s="710"/>
      <c r="BV107" s="710"/>
      <c r="BW107" s="710"/>
      <c r="BX107" s="710"/>
      <c r="BY107" s="705"/>
      <c r="BZ107" s="710"/>
      <c r="CA107" s="710"/>
      <c r="CB107" s="710"/>
      <c r="CC107" s="687"/>
      <c r="CD107" s="705"/>
      <c r="CE107" s="710"/>
      <c r="CF107" s="710"/>
      <c r="CG107" s="710"/>
      <c r="CH107" s="710"/>
      <c r="CI107" s="705"/>
      <c r="CJ107" s="710"/>
      <c r="CK107" s="745"/>
      <c r="CL107" s="745"/>
      <c r="CM107" s="745"/>
      <c r="CN107" s="1517"/>
      <c r="CO107" s="745"/>
      <c r="CP107" s="745"/>
      <c r="CQ107" s="745"/>
      <c r="CR107" s="745"/>
      <c r="CS107" s="1517"/>
      <c r="CT107" s="745"/>
      <c r="CU107" s="745"/>
      <c r="CV107" s="745"/>
      <c r="CW107" s="745"/>
      <c r="CX107" s="1517"/>
      <c r="DB107" s="750"/>
      <c r="DC107" s="687"/>
      <c r="DD107" s="1614"/>
      <c r="DE107" s="687"/>
    </row>
    <row r="108" spans="1:109">
      <c r="A108" s="693" t="s">
        <v>342</v>
      </c>
      <c r="B108" s="693"/>
      <c r="C108" s="687"/>
      <c r="D108" s="687"/>
      <c r="E108" s="687"/>
      <c r="F108" s="687"/>
      <c r="G108" s="687"/>
      <c r="H108" s="710"/>
      <c r="I108" s="710"/>
      <c r="J108" s="710"/>
      <c r="K108" s="710"/>
      <c r="L108" s="710"/>
      <c r="M108" s="710"/>
      <c r="N108" s="710"/>
      <c r="O108" s="710"/>
      <c r="P108" s="710"/>
      <c r="Q108" s="710"/>
      <c r="R108" s="710"/>
      <c r="S108" s="710"/>
      <c r="T108" s="710"/>
      <c r="U108" s="710"/>
      <c r="V108" s="687"/>
      <c r="W108" s="687"/>
      <c r="X108" s="687"/>
      <c r="Y108" s="687"/>
      <c r="Z108" s="687"/>
      <c r="AA108" s="687"/>
      <c r="AB108" s="687"/>
      <c r="AC108" s="687"/>
      <c r="AD108" s="687"/>
      <c r="AE108" s="687"/>
      <c r="AF108" s="687"/>
      <c r="AG108" s="687"/>
      <c r="AH108" s="687"/>
      <c r="AI108" s="687"/>
      <c r="AJ108" s="687"/>
      <c r="AK108" s="687"/>
      <c r="AL108" s="687"/>
      <c r="AM108" s="687"/>
      <c r="AN108" s="687"/>
      <c r="AO108" s="687"/>
      <c r="AP108" s="687"/>
      <c r="AQ108" s="687"/>
      <c r="AR108" s="1006"/>
      <c r="AS108" s="1006"/>
      <c r="AT108" s="1006"/>
      <c r="AU108" s="687"/>
      <c r="AV108" s="687"/>
      <c r="AW108" s="687"/>
      <c r="AX108" s="687"/>
      <c r="AY108" s="687"/>
      <c r="AZ108" s="687"/>
      <c r="BA108" s="687"/>
      <c r="BB108" s="687"/>
      <c r="BC108" s="687"/>
      <c r="BD108" s="687"/>
      <c r="BE108" s="687"/>
      <c r="BF108" s="687"/>
      <c r="BG108" s="687"/>
      <c r="BH108" s="687"/>
      <c r="BI108" s="687"/>
      <c r="BJ108" s="701"/>
      <c r="BK108" s="687"/>
      <c r="BL108" s="687"/>
      <c r="BM108" s="687"/>
      <c r="BN108" s="687"/>
      <c r="BO108" s="701"/>
      <c r="BP108" s="687"/>
      <c r="BQ108" s="687"/>
      <c r="BR108" s="687"/>
      <c r="BS108" s="687"/>
      <c r="BT108" s="701"/>
      <c r="BU108" s="687"/>
      <c r="BV108" s="687"/>
      <c r="BW108" s="687"/>
      <c r="BX108" s="687"/>
      <c r="BY108" s="701"/>
      <c r="BZ108" s="687"/>
      <c r="CA108" s="687"/>
      <c r="CB108" s="687"/>
      <c r="CC108" s="1631"/>
      <c r="CD108" s="701"/>
      <c r="CE108" s="687"/>
      <c r="CF108" s="687"/>
      <c r="CG108" s="687"/>
      <c r="CH108" s="687"/>
      <c r="CI108" s="701"/>
      <c r="CJ108" s="687"/>
      <c r="CK108" s="1007"/>
      <c r="CL108" s="1007"/>
      <c r="CM108" s="1007"/>
      <c r="CN108" s="1574"/>
      <c r="CO108" s="1007"/>
      <c r="CP108" s="1007"/>
      <c r="CQ108" s="1007"/>
      <c r="CR108" s="1007"/>
      <c r="CS108" s="1574"/>
      <c r="CT108" s="1007"/>
      <c r="CU108" s="1007"/>
      <c r="CV108" s="1007"/>
      <c r="CW108" s="1007"/>
      <c r="CX108" s="1574"/>
      <c r="DB108" s="750"/>
      <c r="DC108" s="687"/>
      <c r="DD108" s="1614"/>
      <c r="DE108" s="687"/>
    </row>
    <row r="109" spans="1:109">
      <c r="A109" s="699" t="s">
        <v>323</v>
      </c>
      <c r="B109" s="699"/>
      <c r="C109" s="687"/>
      <c r="D109" s="687"/>
      <c r="E109" s="687"/>
      <c r="F109" s="687"/>
      <c r="G109" s="687"/>
      <c r="H109" s="710">
        <f>BS!H14/Model!H24</f>
        <v>7.2009287186072204E-2</v>
      </c>
      <c r="I109" s="710">
        <f>BS!I14/Model!I24</f>
        <v>5.7934389760492054E-2</v>
      </c>
      <c r="J109" s="710">
        <f>BS!J14/Model!J24</f>
        <v>8.1427553452518425E-2</v>
      </c>
      <c r="K109" s="710">
        <f>BS!K14/Model!K24</f>
        <v>6.1197200784649117E-2</v>
      </c>
      <c r="L109" s="753" t="s">
        <v>131</v>
      </c>
      <c r="M109" s="710">
        <f>BS!M14/Model!M24</f>
        <v>6.2227386786574385E-2</v>
      </c>
      <c r="N109" s="710">
        <f>BS!N14/Model!N24</f>
        <v>7.6636909410081666E-2</v>
      </c>
      <c r="O109" s="710">
        <f>BS!O14/Model!O24</f>
        <v>9.7881061161562047E-2</v>
      </c>
      <c r="P109" s="710">
        <f>BS!P14/Model!P24</f>
        <v>6.2963975169136571E-2</v>
      </c>
      <c r="Q109" s="753" t="s">
        <v>131</v>
      </c>
      <c r="R109" s="710">
        <f>BS!R14/Model!R24</f>
        <v>7.0539428890028136E-2</v>
      </c>
      <c r="S109" s="710">
        <f>BS!S14/Model!S24</f>
        <v>6.809320019020447E-2</v>
      </c>
      <c r="T109" s="710">
        <f>BS!T14/Model!T24</f>
        <v>6.5876005974541324E-2</v>
      </c>
      <c r="U109" s="710">
        <f>BS!U14/Model!U24</f>
        <v>4.3345549031203585E-2</v>
      </c>
      <c r="V109" s="715" t="s">
        <v>131</v>
      </c>
      <c r="W109" s="710">
        <f>BS!W14/Model!W24</f>
        <v>5.9998054482936547E-2</v>
      </c>
      <c r="X109" s="710">
        <f>BS!X14/Model!X24</f>
        <v>8.840208939396689E-2</v>
      </c>
      <c r="Y109" s="710">
        <f>BS!Y14/Model!Y24</f>
        <v>7.3404799204991794E-2</v>
      </c>
      <c r="Z109" s="710">
        <f>BS!Z14/Model!Z24</f>
        <v>8.6770212257357857E-2</v>
      </c>
      <c r="AA109" s="715" t="s">
        <v>131</v>
      </c>
      <c r="AB109" s="710">
        <f>BS!AB14/Model!AB24</f>
        <v>5.2139049670622051E-2</v>
      </c>
      <c r="AC109" s="710">
        <f>BS!AC14/Model!AC24</f>
        <v>6.5101281599355423E-2</v>
      </c>
      <c r="AD109" s="710">
        <f>BS!AD14/Model!AD24</f>
        <v>6.7930274613868358E-2</v>
      </c>
      <c r="AE109" s="710">
        <f>BS!AE14/Model!AE24</f>
        <v>5.7625975739363081E-2</v>
      </c>
      <c r="AF109" s="715" t="s">
        <v>131</v>
      </c>
      <c r="AG109" s="710">
        <f>BS!AG14/Model!AG24</f>
        <v>6.4792957267168355E-2</v>
      </c>
      <c r="AH109" s="710">
        <f>BS!AH14/Model!AH24</f>
        <v>8.2004943822033133E-2</v>
      </c>
      <c r="AI109" s="710">
        <f>BS!AI14/Model!AI24</f>
        <v>6.9343631338310133E-2</v>
      </c>
      <c r="AJ109" s="710">
        <f>BS!AJ14/Model!AJ24</f>
        <v>4.920923913341696E-2</v>
      </c>
      <c r="AK109" s="715" t="s">
        <v>131</v>
      </c>
      <c r="AL109" s="710">
        <f>BS!AL14/Model!AL24</f>
        <v>5.1694377530335955E-2</v>
      </c>
      <c r="AM109" s="1006">
        <f>BS!AM14/Model!AM24</f>
        <v>5.4569583914956366E-2</v>
      </c>
      <c r="AN109" s="1006">
        <f>BS!AN14/Model!AN24</f>
        <v>6.7690646565763929E-2</v>
      </c>
      <c r="AO109" s="1006">
        <f>BS!AO14/Model!AO24</f>
        <v>0.10064339490506401</v>
      </c>
      <c r="AP109" s="715" t="s">
        <v>131</v>
      </c>
      <c r="AQ109" s="1006">
        <f>BS!AQ14/Model!AQ24</f>
        <v>0.13240758402319461</v>
      </c>
      <c r="AR109" s="710">
        <f>BS!AR14/Model!AR24</f>
        <v>0.11931633537825345</v>
      </c>
      <c r="AS109" s="710">
        <f>BS!AS14/Model!AS24</f>
        <v>0.11541532916515532</v>
      </c>
      <c r="AT109" s="710">
        <f>BS!AT14/Model!AT24</f>
        <v>0.10676986014475434</v>
      </c>
      <c r="AU109" s="715" t="s">
        <v>131</v>
      </c>
      <c r="AV109" s="1260">
        <f>BS!AV14/Model!AV24</f>
        <v>0.10130779084662861</v>
      </c>
      <c r="AW109" s="1260">
        <f>BS!AW14/Model!AW24</f>
        <v>0.1285668082308716</v>
      </c>
      <c r="AX109" s="1260">
        <f>BS!AX14/Model!AX24</f>
        <v>9.7772535920243861E-2</v>
      </c>
      <c r="AY109" s="1260">
        <f>BS!AY14/Model!AY24</f>
        <v>0.10958920418355746</v>
      </c>
      <c r="AZ109" s="715" t="s">
        <v>131</v>
      </c>
      <c r="BA109" s="1260">
        <f>BS!BA14/Model!BA24</f>
        <v>0.11061723878229765</v>
      </c>
      <c r="BB109" s="1260">
        <f>BS!BB14/Model!BB24</f>
        <v>0.12432917407413561</v>
      </c>
      <c r="BC109" s="1260">
        <f>BS!BC14/Model!BC24</f>
        <v>0.11795458403572007</v>
      </c>
      <c r="BD109" s="1260">
        <f>BS!BD14/Model!BD24</f>
        <v>0.11580239220039562</v>
      </c>
      <c r="BE109" s="715" t="s">
        <v>131</v>
      </c>
      <c r="BF109" s="1260">
        <f>BS!BF14/Model!BF24</f>
        <v>0.14333059068904155</v>
      </c>
      <c r="BG109" s="1260">
        <f>BS!BG14/Model!BG24</f>
        <v>0.14579496268839226</v>
      </c>
      <c r="BH109" s="1260">
        <f>BS!BH14/Model!BH24</f>
        <v>0.1287410464750412</v>
      </c>
      <c r="BI109" s="1260">
        <f>BS!BI14/Model!BI24</f>
        <v>0.10077525428548639</v>
      </c>
      <c r="BJ109" s="782" t="s">
        <v>131</v>
      </c>
      <c r="BK109" s="1260">
        <f>BS!BK14/Model!BK24</f>
        <v>0.1604001694657958</v>
      </c>
      <c r="BL109" s="1260">
        <f>BS!BL14/Model!BL24</f>
        <v>0.16562482373442555</v>
      </c>
      <c r="BM109" s="1260">
        <f>BS!BM14/Model!BM24</f>
        <v>0.15281388457058906</v>
      </c>
      <c r="BN109" s="1260">
        <f>BS!BN14/Model!BN24</f>
        <v>0.16330053115151311</v>
      </c>
      <c r="BO109" s="782" t="s">
        <v>131</v>
      </c>
      <c r="BP109" s="1260">
        <f>BS!BP14/Model!BP24</f>
        <v>0.2086179658440987</v>
      </c>
      <c r="BQ109" s="1260">
        <f>BS!BQ14/Model!BQ24</f>
        <v>0.16858701676078067</v>
      </c>
      <c r="BR109" s="1260">
        <f>BS!BR14/Model!BR24</f>
        <v>0.15041341384451501</v>
      </c>
      <c r="BS109" s="1260">
        <f>BS!BS14/Model!BS24</f>
        <v>0.16375050310809</v>
      </c>
      <c r="BT109" s="782" t="s">
        <v>131</v>
      </c>
      <c r="BU109" s="1260">
        <f>BS!BU14/Model!BU24</f>
        <v>0.1825148465399245</v>
      </c>
      <c r="BV109" s="1260">
        <f>BS!BV14/Model!BV24</f>
        <v>0.16461961282372967</v>
      </c>
      <c r="BW109" s="1260">
        <f>BS!BW14/Model!BW24</f>
        <v>0.14876643170127643</v>
      </c>
      <c r="BX109" s="1260">
        <f>BS!BX14/Model!BX24</f>
        <v>0.12385295819669874</v>
      </c>
      <c r="BY109" s="782" t="s">
        <v>131</v>
      </c>
      <c r="BZ109" s="1260">
        <f>BS!BZ14/Model!BZ24</f>
        <v>0.17226123823947198</v>
      </c>
      <c r="CA109" s="1260">
        <f>BS!CA14/Model!CA24</f>
        <v>0.18118136081200592</v>
      </c>
      <c r="CB109" s="1260">
        <f>BS!CB14/Model!CB24</f>
        <v>0.16472092608644864</v>
      </c>
      <c r="CC109" s="1260">
        <f>BS!CC14/Model!CC24</f>
        <v>0.15259767510828959</v>
      </c>
      <c r="CD109" s="782" t="s">
        <v>131</v>
      </c>
      <c r="CE109" s="1260">
        <f>BS!CE14/Model!CE24</f>
        <v>0.15288889576046327</v>
      </c>
      <c r="CF109" s="1260">
        <f>BS!CF14/Model!CF24</f>
        <v>0.12370682601752633</v>
      </c>
      <c r="CG109" s="1260">
        <f>BS!CG14/Model!CG24</f>
        <v>0.11209978523405359</v>
      </c>
      <c r="CH109" s="1260">
        <f>BS!CH14/Model!CH24</f>
        <v>0.1046902837892051</v>
      </c>
      <c r="CI109" s="782" t="s">
        <v>131</v>
      </c>
      <c r="CJ109" s="1260">
        <f>BS!CJ14/Model!CJ24</f>
        <v>0.12994751669955992</v>
      </c>
      <c r="CK109" s="418">
        <f t="shared" ref="CK109:CM110" si="123">CF109</f>
        <v>0.12370682601752633</v>
      </c>
      <c r="CL109" s="418">
        <f t="shared" si="123"/>
        <v>0.11209978523405359</v>
      </c>
      <c r="CM109" s="418">
        <f t="shared" si="123"/>
        <v>0.1046902837892051</v>
      </c>
      <c r="CN109" s="1594" t="s">
        <v>131</v>
      </c>
      <c r="CO109" s="418">
        <f>CJ109</f>
        <v>0.12994751669955992</v>
      </c>
      <c r="CP109" s="418">
        <f t="shared" ref="CP109:CR109" si="124">CK109</f>
        <v>0.12370682601752633</v>
      </c>
      <c r="CQ109" s="418">
        <f t="shared" si="124"/>
        <v>0.11209978523405359</v>
      </c>
      <c r="CR109" s="418">
        <f t="shared" si="124"/>
        <v>0.1046902837892051</v>
      </c>
      <c r="CS109" s="1594" t="s">
        <v>131</v>
      </c>
      <c r="CT109" s="418">
        <f>CO109</f>
        <v>0.12994751669955992</v>
      </c>
      <c r="CU109" s="418">
        <f t="shared" ref="CU109:CU110" si="125">CP109</f>
        <v>0.12370682601752633</v>
      </c>
      <c r="CV109" s="418">
        <f t="shared" ref="CV109:CV110" si="126">CQ109</f>
        <v>0.11209978523405359</v>
      </c>
      <c r="CW109" s="418">
        <f t="shared" ref="CW109:CW110" si="127">CR109</f>
        <v>0.1046902837892051</v>
      </c>
      <c r="CX109" s="1594" t="s">
        <v>131</v>
      </c>
      <c r="DB109" s="750"/>
      <c r="DC109" s="687"/>
      <c r="DD109" s="1614"/>
      <c r="DE109" s="687"/>
    </row>
    <row r="110" spans="1:109">
      <c r="A110" s="699" t="s">
        <v>324</v>
      </c>
      <c r="B110" s="699"/>
      <c r="C110" s="687"/>
      <c r="D110" s="687"/>
      <c r="E110" s="687"/>
      <c r="F110" s="687"/>
      <c r="G110" s="687"/>
      <c r="H110" s="710">
        <f>BS!H22/Model!H24</f>
        <v>0.26920148117179798</v>
      </c>
      <c r="I110" s="710">
        <f>BS!I22/Model!I24</f>
        <v>0.11241842834140514</v>
      </c>
      <c r="J110" s="710">
        <f>BS!J22/Model!J24</f>
        <v>0.13787959098424243</v>
      </c>
      <c r="K110" s="710">
        <f>BS!K22/Model!K24</f>
        <v>8.2978680079007924E-2</v>
      </c>
      <c r="L110" s="753" t="s">
        <v>131</v>
      </c>
      <c r="M110" s="710">
        <f>BS!M22/Model!M24</f>
        <v>0.14310446454133618</v>
      </c>
      <c r="N110" s="710">
        <f>BS!N22/Model!N24</f>
        <v>0.13230526072479432</v>
      </c>
      <c r="O110" s="710">
        <f>BS!O22/Model!O24</f>
        <v>0.12377084625942431</v>
      </c>
      <c r="P110" s="710">
        <f>BS!P22/Model!P24</f>
        <v>0.10519373316303483</v>
      </c>
      <c r="Q110" s="753" t="s">
        <v>131</v>
      </c>
      <c r="R110" s="710">
        <f>BS!R22/Model!R24</f>
        <v>8.4397835007949798E-2</v>
      </c>
      <c r="S110" s="710">
        <f>BS!S22/Model!S24</f>
        <v>9.4446273333577191E-2</v>
      </c>
      <c r="T110" s="710">
        <f>BS!T22/Model!T24</f>
        <v>0.11629053312625555</v>
      </c>
      <c r="U110" s="710">
        <f>BS!U22/Model!U24</f>
        <v>0.1288189577696961</v>
      </c>
      <c r="V110" s="715" t="s">
        <v>131</v>
      </c>
      <c r="W110" s="710">
        <f>BS!W22/Model!W24</f>
        <v>0.12441793090030917</v>
      </c>
      <c r="X110" s="710">
        <f>BS!X22/Model!X24</f>
        <v>0.12040425055793108</v>
      </c>
      <c r="Y110" s="710">
        <f>BS!Y22/Model!Y24</f>
        <v>0.12107038656041919</v>
      </c>
      <c r="Z110" s="710">
        <f>BS!Z22/Model!Z24</f>
        <v>0.12976442627030138</v>
      </c>
      <c r="AA110" s="715" t="s">
        <v>131</v>
      </c>
      <c r="AB110" s="710">
        <f>BS!AB22/Model!AB24</f>
        <v>0.15740421493932669</v>
      </c>
      <c r="AC110" s="710">
        <f>BS!AC22/Model!AC24</f>
        <v>0.15556387853761708</v>
      </c>
      <c r="AD110" s="710">
        <f>BS!AD22/Model!AD24</f>
        <v>0.15851615185215323</v>
      </c>
      <c r="AE110" s="710">
        <f>BS!AE22/Model!AE24</f>
        <v>9.9949426466815719E-2</v>
      </c>
      <c r="AF110" s="715" t="s">
        <v>131</v>
      </c>
      <c r="AG110" s="710">
        <f>BS!AG22/Model!AG24</f>
        <v>9.7148629441937015E-2</v>
      </c>
      <c r="AH110" s="710">
        <f>BS!AH22/Model!AH24</f>
        <v>0.1150545148254305</v>
      </c>
      <c r="AI110" s="710">
        <f>BS!AI22/Model!AI24</f>
        <v>9.853044431868084E-2</v>
      </c>
      <c r="AJ110" s="710">
        <f>BS!AJ22/Model!AJ24</f>
        <v>0.10204442220298042</v>
      </c>
      <c r="AK110" s="715" t="s">
        <v>131</v>
      </c>
      <c r="AL110" s="710">
        <f>BS!AL22/Model!AL24</f>
        <v>0.1216009972541819</v>
      </c>
      <c r="AM110" s="710">
        <f>BS!AM22/Model!AM24</f>
        <v>0.13860405959728758</v>
      </c>
      <c r="AN110" s="710">
        <f>BS!AN22/Model!AN24</f>
        <v>0.24444664849079806</v>
      </c>
      <c r="AO110" s="710">
        <f>BS!AO22/Model!AO24</f>
        <v>0.23656589471660142</v>
      </c>
      <c r="AP110" s="715" t="s">
        <v>131</v>
      </c>
      <c r="AQ110" s="710">
        <f>BS!AQ22/Model!AQ24</f>
        <v>0.25069876270044122</v>
      </c>
      <c r="AR110" s="687">
        <f>BS!AR22/Model!AR24</f>
        <v>0.27461389892900678</v>
      </c>
      <c r="AS110" s="687">
        <f>BS!AS22/Model!AS24</f>
        <v>0.26480737827720724</v>
      </c>
      <c r="AT110" s="687">
        <f>BS!AT22/Model!AT24</f>
        <v>0.25256872265718361</v>
      </c>
      <c r="AU110" s="715" t="s">
        <v>131</v>
      </c>
      <c r="AV110" s="1260">
        <f>BS!AV22/Model!AV24</f>
        <v>0.22444159776406195</v>
      </c>
      <c r="AW110" s="1260">
        <f>BS!AW22/Model!AW24</f>
        <v>0.19127179797144328</v>
      </c>
      <c r="AX110" s="1260">
        <f>BS!AX22/Model!AX24</f>
        <v>0.17916045233909475</v>
      </c>
      <c r="AY110" s="1260">
        <f>BS!AY22/Model!AY24</f>
        <v>0.16853184595206491</v>
      </c>
      <c r="AZ110" s="715" t="s">
        <v>131</v>
      </c>
      <c r="BA110" s="1260">
        <f>BS!BA22/Model!BA24</f>
        <v>0.16035811798315858</v>
      </c>
      <c r="BB110" s="1260">
        <f>BS!BB22/Model!BB24</f>
        <v>0.15836916121226099</v>
      </c>
      <c r="BC110" s="1260">
        <f>BS!BC22/Model!BC24</f>
        <v>0.15519062150862803</v>
      </c>
      <c r="BD110" s="1260">
        <f>BS!BD22/Model!BD24</f>
        <v>7.8046384142493985E-2</v>
      </c>
      <c r="BE110" s="715" t="s">
        <v>131</v>
      </c>
      <c r="BF110" s="1260">
        <f>BS!BF22/Model!BF24</f>
        <v>9.0059509002889351E-2</v>
      </c>
      <c r="BG110" s="1260">
        <f>BS!BG22/Model!BG24</f>
        <v>8.099522521697293E-2</v>
      </c>
      <c r="BH110" s="1260">
        <f>BS!BH22/Model!BH24</f>
        <v>8.3023006163356713E-2</v>
      </c>
      <c r="BI110" s="1260">
        <f>BS!BI22/Model!BI24</f>
        <v>8.0912722770732123E-2</v>
      </c>
      <c r="BJ110" s="782" t="s">
        <v>131</v>
      </c>
      <c r="BK110" s="1260">
        <f>BS!BK22/Model!BK24</f>
        <v>9.6559784814158139E-2</v>
      </c>
      <c r="BL110" s="1260">
        <f>BS!BL22/Model!BL24</f>
        <v>9.220136777137973E-2</v>
      </c>
      <c r="BM110" s="1260">
        <f>BS!BM22/Model!BM24</f>
        <v>9.121924111588664E-2</v>
      </c>
      <c r="BN110" s="1260">
        <f>BS!BN22/Model!BN24</f>
        <v>8.6513474621747743E-2</v>
      </c>
      <c r="BO110" s="782" t="s">
        <v>131</v>
      </c>
      <c r="BP110" s="1260">
        <f>BS!BP22/Model!BP24</f>
        <v>9.2538895332560087E-2</v>
      </c>
      <c r="BQ110" s="1260">
        <f>BS!BQ22/Model!BQ24</f>
        <v>9.5535700912181901E-2</v>
      </c>
      <c r="BR110" s="1260">
        <f>BS!BR22/Model!BR24</f>
        <v>0.10970361315643681</v>
      </c>
      <c r="BS110" s="1260">
        <f>BS!BS22/Model!BS24</f>
        <v>0.11768536738070748</v>
      </c>
      <c r="BT110" s="782" t="s">
        <v>131</v>
      </c>
      <c r="BU110" s="1260">
        <f>BS!BU22/Model!BU24</f>
        <v>0.13164578188771717</v>
      </c>
      <c r="BV110" s="1260">
        <f>BS!BV22/Model!BV24</f>
        <v>0.128363785302859</v>
      </c>
      <c r="BW110" s="1260">
        <f>BS!BW22/Model!BW24</f>
        <v>0.1195917448972218</v>
      </c>
      <c r="BX110" s="1260">
        <f>BS!BX22/Model!BX24</f>
        <v>0.1223450020055052</v>
      </c>
      <c r="BY110" s="782" t="s">
        <v>131</v>
      </c>
      <c r="BZ110" s="1260">
        <f>BS!BZ22/Model!BZ24</f>
        <v>0.12888490495794583</v>
      </c>
      <c r="CA110" s="1260">
        <f>BS!CA22/Model!CA24</f>
        <v>0.1165031468303986</v>
      </c>
      <c r="CB110" s="1260">
        <f>BS!CB22/Model!CB24</f>
        <v>0.11568430162701754</v>
      </c>
      <c r="CC110" s="1260">
        <f>BS!CC22/Model!CC24</f>
        <v>9.3108823011914199E-2</v>
      </c>
      <c r="CD110" s="782" t="s">
        <v>131</v>
      </c>
      <c r="CE110" s="1260">
        <f>BS!CE22/Model!CE24</f>
        <v>8.5793918577393824E-2</v>
      </c>
      <c r="CF110" s="1260">
        <f>BS!CF22/Model!CF24</f>
        <v>8.2416670898718528E-2</v>
      </c>
      <c r="CG110" s="1260">
        <f>BS!CG22/Model!CG24</f>
        <v>7.8555234607625771E-2</v>
      </c>
      <c r="CH110" s="1260">
        <f>BS!CH22/Model!CH24</f>
        <v>7.1538103105011228E-2</v>
      </c>
      <c r="CI110" s="782" t="s">
        <v>131</v>
      </c>
      <c r="CJ110" s="1260">
        <f>BS!CJ22/Model!CJ24</f>
        <v>7.3906646008772711E-2</v>
      </c>
      <c r="CK110" s="418">
        <f t="shared" si="123"/>
        <v>8.2416670898718528E-2</v>
      </c>
      <c r="CL110" s="418">
        <f t="shared" si="123"/>
        <v>7.8555234607625771E-2</v>
      </c>
      <c r="CM110" s="418">
        <f>CH110</f>
        <v>7.1538103105011228E-2</v>
      </c>
      <c r="CN110" s="1594" t="s">
        <v>131</v>
      </c>
      <c r="CO110" s="418">
        <f>CJ110+0.015</f>
        <v>8.8906646008772711E-2</v>
      </c>
      <c r="CP110" s="418">
        <f t="shared" ref="CP110:CR110" si="128">CK110+0.015</f>
        <v>9.7416670898718527E-2</v>
      </c>
      <c r="CQ110" s="418">
        <f t="shared" si="128"/>
        <v>9.355523460762577E-2</v>
      </c>
      <c r="CR110" s="418">
        <f t="shared" si="128"/>
        <v>8.6538103105011227E-2</v>
      </c>
      <c r="CS110" s="1594" t="s">
        <v>131</v>
      </c>
      <c r="CT110" s="418">
        <f>CO110</f>
        <v>8.8906646008772711E-2</v>
      </c>
      <c r="CU110" s="418">
        <f t="shared" si="125"/>
        <v>9.7416670898718527E-2</v>
      </c>
      <c r="CV110" s="418">
        <f t="shared" si="126"/>
        <v>9.355523460762577E-2</v>
      </c>
      <c r="CW110" s="418">
        <f t="shared" si="127"/>
        <v>8.6538103105011227E-2</v>
      </c>
      <c r="CX110" s="1594" t="s">
        <v>131</v>
      </c>
      <c r="DB110" s="750"/>
      <c r="DC110" s="687"/>
      <c r="DD110" s="1614"/>
      <c r="DE110" s="687"/>
    </row>
    <row r="111" spans="1:109">
      <c r="A111" s="699"/>
      <c r="B111" s="699"/>
      <c r="C111" s="687"/>
      <c r="D111" s="687"/>
      <c r="E111" s="687"/>
      <c r="F111" s="687"/>
      <c r="G111" s="687"/>
      <c r="H111" s="710"/>
      <c r="I111" s="710"/>
      <c r="J111" s="710"/>
      <c r="K111" s="710"/>
      <c r="L111" s="710"/>
      <c r="M111" s="710"/>
      <c r="N111" s="710"/>
      <c r="O111" s="710"/>
      <c r="P111" s="710"/>
      <c r="Q111" s="710"/>
      <c r="R111" s="710"/>
      <c r="S111" s="710"/>
      <c r="T111" s="710"/>
      <c r="U111" s="710"/>
      <c r="V111" s="687"/>
      <c r="W111" s="687"/>
      <c r="X111" s="687"/>
      <c r="Y111" s="687"/>
      <c r="Z111" s="687"/>
      <c r="AA111" s="687"/>
      <c r="AB111" s="687"/>
      <c r="AC111" s="687"/>
      <c r="AD111" s="687"/>
      <c r="AE111" s="687"/>
      <c r="AF111" s="687"/>
      <c r="AG111" s="687"/>
      <c r="AH111" s="687"/>
      <c r="AI111" s="687"/>
      <c r="AJ111" s="687"/>
      <c r="AK111" s="687"/>
      <c r="AL111" s="687"/>
      <c r="AM111" s="687"/>
      <c r="AN111" s="687"/>
      <c r="AO111" s="687"/>
      <c r="AP111" s="687"/>
      <c r="AQ111" s="687"/>
      <c r="AR111" s="687"/>
      <c r="AS111" s="687"/>
      <c r="AT111" s="687"/>
      <c r="AU111" s="687"/>
      <c r="AV111" s="687"/>
      <c r="AW111" s="687"/>
      <c r="AX111" s="687"/>
      <c r="AY111" s="687"/>
      <c r="AZ111" s="687"/>
      <c r="BA111" s="687"/>
      <c r="BB111" s="687"/>
      <c r="BC111" s="687"/>
      <c r="BD111" s="687"/>
      <c r="BE111" s="687"/>
      <c r="BF111" s="687"/>
      <c r="BG111" s="687"/>
      <c r="BH111" s="687"/>
      <c r="BI111" s="687"/>
      <c r="BJ111" s="701"/>
      <c r="BK111" s="687"/>
      <c r="BL111" s="687"/>
      <c r="BM111" s="687"/>
      <c r="BN111" s="687"/>
      <c r="BO111" s="701"/>
      <c r="BP111" s="687"/>
      <c r="BQ111" s="687"/>
      <c r="BR111" s="687"/>
      <c r="BS111" s="687"/>
      <c r="BT111" s="701"/>
      <c r="BU111" s="687"/>
      <c r="BV111" s="687"/>
      <c r="BW111" s="687"/>
      <c r="BX111" s="687"/>
      <c r="BY111" s="701"/>
      <c r="BZ111" s="687"/>
      <c r="CA111" s="687"/>
      <c r="CB111" s="687"/>
      <c r="CC111" s="687"/>
      <c r="CD111" s="701"/>
      <c r="CE111" s="687"/>
      <c r="CF111" s="687"/>
      <c r="CG111" s="687"/>
      <c r="CH111" s="687"/>
      <c r="CI111" s="701"/>
      <c r="CJ111" s="687"/>
      <c r="CK111" s="745"/>
      <c r="CL111" s="745"/>
      <c r="CM111" s="745"/>
      <c r="CN111" s="1574"/>
      <c r="CO111" s="745"/>
      <c r="CP111" s="745"/>
      <c r="CQ111" s="745"/>
      <c r="CR111" s="745"/>
      <c r="CS111" s="1574"/>
      <c r="CT111" s="745"/>
      <c r="CU111" s="745"/>
      <c r="CV111" s="745"/>
      <c r="CW111" s="745"/>
      <c r="CX111" s="1574"/>
      <c r="DB111" s="750"/>
      <c r="DC111" s="687"/>
      <c r="DD111" s="1614"/>
      <c r="DE111" s="687"/>
    </row>
    <row r="112" spans="1:109">
      <c r="A112" s="693" t="s">
        <v>718</v>
      </c>
      <c r="B112" s="693"/>
      <c r="C112" s="687"/>
      <c r="D112" s="687"/>
      <c r="E112" s="687"/>
      <c r="F112" s="687"/>
      <c r="G112" s="687"/>
      <c r="H112" s="710"/>
      <c r="I112" s="710"/>
      <c r="J112" s="710"/>
      <c r="K112" s="710"/>
      <c r="L112" s="710"/>
      <c r="M112" s="710"/>
      <c r="N112" s="710"/>
      <c r="O112" s="710"/>
      <c r="P112" s="710"/>
      <c r="Q112" s="710"/>
      <c r="R112" s="710"/>
      <c r="S112" s="710"/>
      <c r="T112" s="710"/>
      <c r="U112" s="710"/>
      <c r="V112" s="687"/>
      <c r="W112" s="687"/>
      <c r="X112" s="687"/>
      <c r="Y112" s="687"/>
      <c r="Z112" s="687"/>
      <c r="AA112" s="687"/>
      <c r="AB112" s="687"/>
      <c r="AC112" s="687"/>
      <c r="AD112" s="687"/>
      <c r="AE112" s="687"/>
      <c r="AF112" s="687"/>
      <c r="AG112" s="687"/>
      <c r="AH112" s="687"/>
      <c r="AI112" s="687"/>
      <c r="AJ112" s="687"/>
      <c r="AK112" s="687"/>
      <c r="AL112" s="687"/>
      <c r="AM112" s="687"/>
      <c r="AN112" s="687"/>
      <c r="AO112" s="687"/>
      <c r="AP112" s="687"/>
      <c r="AQ112" s="687"/>
      <c r="AR112" s="710"/>
      <c r="AS112" s="710"/>
      <c r="AT112" s="710"/>
      <c r="AU112" s="687"/>
      <c r="AV112" s="687"/>
      <c r="AW112" s="687"/>
      <c r="AX112" s="687"/>
      <c r="AY112" s="687"/>
      <c r="AZ112" s="687"/>
      <c r="BA112" s="687"/>
      <c r="BB112" s="687"/>
      <c r="BC112" s="687"/>
      <c r="BD112" s="687"/>
      <c r="BE112" s="687"/>
      <c r="BF112" s="687"/>
      <c r="BG112" s="687"/>
      <c r="BH112" s="687"/>
      <c r="BI112" s="687"/>
      <c r="BJ112" s="701"/>
      <c r="BK112" s="687"/>
      <c r="BL112" s="687"/>
      <c r="BM112" s="687"/>
      <c r="BN112" s="687"/>
      <c r="BO112" s="701"/>
      <c r="BP112" s="687"/>
      <c r="BQ112" s="687"/>
      <c r="BR112" s="687"/>
      <c r="BS112" s="687"/>
      <c r="BT112" s="701"/>
      <c r="BU112" s="687"/>
      <c r="BV112" s="687"/>
      <c r="BW112" s="687"/>
      <c r="BX112" s="687"/>
      <c r="BY112" s="701"/>
      <c r="BZ112" s="687"/>
      <c r="CA112" s="687"/>
      <c r="CB112" s="687"/>
      <c r="CC112" s="687"/>
      <c r="CD112" s="701"/>
      <c r="CE112" s="687"/>
      <c r="CF112" s="687"/>
      <c r="CG112" s="687"/>
      <c r="CH112" s="687"/>
      <c r="CI112" s="701"/>
      <c r="CJ112" s="687"/>
      <c r="CK112" s="745"/>
      <c r="CL112" s="745"/>
      <c r="CM112" s="745"/>
      <c r="CN112" s="1574"/>
      <c r="CO112" s="745"/>
      <c r="CP112" s="745"/>
      <c r="CQ112" s="745"/>
      <c r="CR112" s="745"/>
      <c r="CS112" s="1574"/>
      <c r="CT112" s="745"/>
      <c r="CU112" s="745"/>
      <c r="CV112" s="745"/>
      <c r="CW112" s="745"/>
      <c r="CX112" s="1574"/>
      <c r="DB112" s="750"/>
      <c r="DC112" s="687"/>
      <c r="DD112" s="1614"/>
      <c r="DE112" s="687"/>
    </row>
    <row r="113" spans="1:116" s="32" customFormat="1">
      <c r="A113" s="1625" t="s">
        <v>86</v>
      </c>
      <c r="B113" s="1625"/>
      <c r="C113" s="417"/>
      <c r="D113" s="417"/>
      <c r="E113" s="417"/>
      <c r="F113" s="417"/>
      <c r="G113" s="417"/>
      <c r="H113" s="1260">
        <f>BS!H27/Model!H181</f>
        <v>0.16285476767912715</v>
      </c>
      <c r="I113" s="1260">
        <f>BS!I27/Model!I181</f>
        <v>0.21251760945511955</v>
      </c>
      <c r="J113" s="1260">
        <f>BS!J27/Model!J181</f>
        <v>0.1758197222416846</v>
      </c>
      <c r="K113" s="1260">
        <f>BS!K27/Model!K181</f>
        <v>0.18381585198677342</v>
      </c>
      <c r="L113" s="1626" t="s">
        <v>131</v>
      </c>
      <c r="M113" s="1260">
        <f>BS!M27/Model!M181</f>
        <v>0.19289787564588265</v>
      </c>
      <c r="N113" s="1260">
        <f>BS!N27/Model!N181</f>
        <v>0.20675715832287167</v>
      </c>
      <c r="O113" s="1260">
        <f>BS!O27/Model!O181</f>
        <v>0.18797548096301606</v>
      </c>
      <c r="P113" s="1260">
        <f>BS!P27/Model!P181</f>
        <v>0.19446321449058362</v>
      </c>
      <c r="Q113" s="1626" t="s">
        <v>131</v>
      </c>
      <c r="R113" s="1260">
        <f>BS!R27/Model!R181</f>
        <v>0.20298483986324883</v>
      </c>
      <c r="S113" s="1260">
        <f>BS!S27/Model!S181</f>
        <v>0.20976609966922063</v>
      </c>
      <c r="T113" s="1260">
        <f>BS!T27/Model!T181</f>
        <v>0.18155037283697328</v>
      </c>
      <c r="U113" s="1260">
        <f>BS!U27/Model!U181</f>
        <v>0.20894488818632145</v>
      </c>
      <c r="V113" s="1626" t="s">
        <v>131</v>
      </c>
      <c r="W113" s="1260">
        <f>BS!W27/Model!W181</f>
        <v>0.19466454341718389</v>
      </c>
      <c r="X113" s="1260">
        <f>BS!X27/Model!X181</f>
        <v>0.20447357921402462</v>
      </c>
      <c r="Y113" s="1260">
        <f>BS!Y27/Model!Y181</f>
        <v>0.19000489318381325</v>
      </c>
      <c r="Z113" s="1260">
        <f>BS!Z27/Model!Z181</f>
        <v>0.20170904169432574</v>
      </c>
      <c r="AA113" s="1626" t="s">
        <v>131</v>
      </c>
      <c r="AB113" s="1260">
        <f>BS!AB27/Model!AB181</f>
        <v>0.2346194003632063</v>
      </c>
      <c r="AC113" s="1260">
        <f>BS!AC27/Model!AC181</f>
        <v>0.21757724172371329</v>
      </c>
      <c r="AD113" s="1260">
        <f>BS!AD27/Model!AD181</f>
        <v>0.18435906614514214</v>
      </c>
      <c r="AE113" s="1260">
        <f>BS!AE27/Model!AE181</f>
        <v>0.20215738722022891</v>
      </c>
      <c r="AF113" s="419" t="s">
        <v>131</v>
      </c>
      <c r="AG113" s="1260">
        <f>BS!AG27/Model!AG181</f>
        <v>0.18116873810413578</v>
      </c>
      <c r="AH113" s="1260">
        <f>BS!AH27/Model!AH181</f>
        <v>0.2395728919520185</v>
      </c>
      <c r="AI113" s="1260">
        <f>BS!AI27/Model!AI181</f>
        <v>0.21440936944812442</v>
      </c>
      <c r="AJ113" s="1260">
        <f>BS!AJ27/Model!AJ181</f>
        <v>0.22239919168906014</v>
      </c>
      <c r="AK113" s="419" t="s">
        <v>131</v>
      </c>
      <c r="AL113" s="1260">
        <f>BS!AL27/Model!AL181</f>
        <v>0.20361012902147083</v>
      </c>
      <c r="AM113" s="1260">
        <f>BS!AM27/Model!AM181</f>
        <v>0.20082548800595715</v>
      </c>
      <c r="AN113" s="1260">
        <f>BS!AN27/Model!AN181</f>
        <v>0.18691802485995887</v>
      </c>
      <c r="AO113" s="1260">
        <f>BS!AO27/Model!AO181</f>
        <v>0.21014975907089792</v>
      </c>
      <c r="AP113" s="419" t="s">
        <v>131</v>
      </c>
      <c r="AQ113" s="1260">
        <f>BS!AQ27/Model!AQ181</f>
        <v>0.18584754970825315</v>
      </c>
      <c r="AR113" s="1260">
        <f>BS!AR27/Model!AR181</f>
        <v>0.20291244410473497</v>
      </c>
      <c r="AS113" s="1260">
        <f>BS!AS27/Model!AS181</f>
        <v>0.20226088216122257</v>
      </c>
      <c r="AT113" s="1260">
        <f>BS!AT27/Model!AT181</f>
        <v>0.25011831039641436</v>
      </c>
      <c r="AU113" s="419" t="s">
        <v>131</v>
      </c>
      <c r="AV113" s="1260">
        <f>BS!AV27/Model!AV181</f>
        <v>0.20849072956909617</v>
      </c>
      <c r="AW113" s="1260">
        <f>BS!AW27/Model!AW181</f>
        <v>0.25225669957686886</v>
      </c>
      <c r="AX113" s="1260">
        <f>BS!AX27/Model!AX181</f>
        <v>0.23751646472973506</v>
      </c>
      <c r="AY113" s="1260">
        <f>BS!AY27/Model!AY181</f>
        <v>0.27144605426082874</v>
      </c>
      <c r="AZ113" s="419" t="s">
        <v>131</v>
      </c>
      <c r="BA113" s="1260">
        <f>BS!BA27/Model!BA181</f>
        <v>0.2162980653324772</v>
      </c>
      <c r="BB113" s="1260">
        <f>BS!BB27/Model!BB181</f>
        <v>0.23029087885141883</v>
      </c>
      <c r="BC113" s="1260">
        <f>BS!BC27/Model!BC181</f>
        <v>0.20549813595440503</v>
      </c>
      <c r="BD113" s="1260">
        <f>BS!BD27/Model!BD181</f>
        <v>0.2446635628565634</v>
      </c>
      <c r="BE113" s="419" t="s">
        <v>131</v>
      </c>
      <c r="BF113" s="1260">
        <f>BS!BF27/Model!BF181</f>
        <v>0.20702684252976766</v>
      </c>
      <c r="BG113" s="1260">
        <f>BS!BG27/Model!BG181</f>
        <v>0.23568778790884753</v>
      </c>
      <c r="BH113" s="1260">
        <f>BS!BH27/Model!BH181</f>
        <v>0.2295167684344685</v>
      </c>
      <c r="BI113" s="1260">
        <f>BS!BI27/Model!BI181</f>
        <v>0.24456044265713628</v>
      </c>
      <c r="BJ113" s="782" t="s">
        <v>131</v>
      </c>
      <c r="BK113" s="1260">
        <f>BS!BK27/Model!BK181</f>
        <v>0.20200694104745553</v>
      </c>
      <c r="BL113" s="1260">
        <f>BS!BL27/Model!BL181</f>
        <v>0.21181701658571439</v>
      </c>
      <c r="BM113" s="1260">
        <f>BS!BM27/Model!BM181</f>
        <v>0.2108254863247376</v>
      </c>
      <c r="BN113" s="1260">
        <f>BS!BN27/Model!BN181</f>
        <v>0.2476763576054824</v>
      </c>
      <c r="BO113" s="782" t="s">
        <v>131</v>
      </c>
      <c r="BP113" s="1260">
        <f>BS!BP27/Model!BP181</f>
        <v>0.21954957003045578</v>
      </c>
      <c r="BQ113" s="1260">
        <f>BS!BQ27/Model!BQ181</f>
        <v>0.24367933766580613</v>
      </c>
      <c r="BR113" s="1260">
        <f>BS!BR27/Model!BR181</f>
        <v>0.23122088103698338</v>
      </c>
      <c r="BS113" s="1260">
        <f>BS!BS27/Model!BS181</f>
        <v>0.25031762526477924</v>
      </c>
      <c r="BT113" s="782" t="s">
        <v>131</v>
      </c>
      <c r="BU113" s="1260">
        <f>BS!BU27/Model!BU181</f>
        <v>0.20633255243970139</v>
      </c>
      <c r="BV113" s="1260">
        <f>BS!BV27/Model!BV181</f>
        <v>0.23699989792435208</v>
      </c>
      <c r="BW113" s="1260">
        <f>BS!BW27/Model!BW181</f>
        <v>0.23977759615622754</v>
      </c>
      <c r="BX113" s="1260">
        <f>BS!BX27/Model!BX181</f>
        <v>0.24495060466362464</v>
      </c>
      <c r="BY113" s="782" t="s">
        <v>131</v>
      </c>
      <c r="BZ113" s="1260">
        <f>BS!BZ27/Model!BZ181</f>
        <v>0.20617420719110677</v>
      </c>
      <c r="CA113" s="1260">
        <f>BS!CA27/Model!CA181</f>
        <v>0.22501758234426267</v>
      </c>
      <c r="CB113" s="1260">
        <f>BS!CB27/Model!CB181</f>
        <v>0.21970056689432133</v>
      </c>
      <c r="CC113" s="1260">
        <f>BS!CC27/Model!CC181</f>
        <v>0.23604755737708055</v>
      </c>
      <c r="CD113" s="782" t="s">
        <v>131</v>
      </c>
      <c r="CE113" s="1260">
        <f>BS!CE27/Model!CE181</f>
        <v>0.23692007504317586</v>
      </c>
      <c r="CF113" s="1260">
        <f>BS!CF27/Model!CF181</f>
        <v>0.25693527963053403</v>
      </c>
      <c r="CG113" s="1260">
        <f>BS!CG27/Model!CG181</f>
        <v>0.16195916155056858</v>
      </c>
      <c r="CH113" s="1260">
        <f>BS!CH27/Model!CH181</f>
        <v>0.16984312242282379</v>
      </c>
      <c r="CI113" s="782" t="s">
        <v>131</v>
      </c>
      <c r="CJ113" s="1260">
        <f>BS!CJ27/Model!CJ181</f>
        <v>0.24413900405208297</v>
      </c>
      <c r="CK113" s="418">
        <f t="shared" ref="CK113" si="129">CF113</f>
        <v>0.25693527963053403</v>
      </c>
      <c r="CL113" s="418">
        <f>CG113+0.075</f>
        <v>0.23695916155056856</v>
      </c>
      <c r="CM113" s="418">
        <f>CH113+0.075</f>
        <v>0.2448431224228238</v>
      </c>
      <c r="CN113" s="1594" t="s">
        <v>131</v>
      </c>
      <c r="CO113" s="418">
        <f>CJ113+0.005</f>
        <v>0.24913900405208297</v>
      </c>
      <c r="CP113" s="418">
        <f>CK113+0.005</f>
        <v>0.26193527963053403</v>
      </c>
      <c r="CQ113" s="418">
        <f>CL113+0.005</f>
        <v>0.24195916155056857</v>
      </c>
      <c r="CR113" s="418">
        <f>CM113+0.005</f>
        <v>0.2498431224228238</v>
      </c>
      <c r="CS113" s="1594" t="s">
        <v>131</v>
      </c>
      <c r="CT113" s="418">
        <f>CO113+0.005</f>
        <v>0.25413900405208295</v>
      </c>
      <c r="CU113" s="418">
        <f>CP113+0.005</f>
        <v>0.26693527963053404</v>
      </c>
      <c r="CV113" s="418">
        <f>CQ113+0.005</f>
        <v>0.24695916155056857</v>
      </c>
      <c r="CW113" s="418">
        <f>CR113+0.005</f>
        <v>0.25484312242282381</v>
      </c>
      <c r="CX113" s="1594" t="s">
        <v>131</v>
      </c>
      <c r="CY113"/>
      <c r="CZ113"/>
      <c r="DA113"/>
      <c r="DB113" s="1627"/>
      <c r="DC113" s="417"/>
      <c r="DE113" s="417"/>
      <c r="DF113"/>
      <c r="DG113"/>
      <c r="DH113"/>
      <c r="DI113"/>
      <c r="DJ113"/>
      <c r="DK113"/>
      <c r="DL113"/>
    </row>
    <row r="114" spans="1:116">
      <c r="A114" s="688"/>
      <c r="B114" s="688"/>
      <c r="C114" s="687"/>
      <c r="D114" s="687"/>
      <c r="E114" s="687"/>
      <c r="F114" s="687"/>
      <c r="G114" s="687"/>
      <c r="H114" s="687"/>
      <c r="I114" s="687"/>
      <c r="J114" s="687"/>
      <c r="K114" s="687"/>
      <c r="L114" s="687"/>
      <c r="M114" s="687"/>
      <c r="N114" s="687"/>
      <c r="O114" s="687"/>
      <c r="P114" s="687"/>
      <c r="Q114" s="687"/>
      <c r="R114" s="687"/>
      <c r="S114" s="687"/>
      <c r="T114" s="687"/>
      <c r="U114" s="687"/>
      <c r="V114" s="687"/>
      <c r="W114" s="687"/>
      <c r="X114" s="687"/>
      <c r="Y114" s="687"/>
      <c r="Z114" s="687"/>
      <c r="AA114" s="687"/>
      <c r="AB114" s="687"/>
      <c r="AC114" s="687"/>
      <c r="AD114" s="687"/>
      <c r="AE114" s="687"/>
      <c r="AF114" s="687"/>
      <c r="AG114" s="687"/>
      <c r="AH114" s="687"/>
      <c r="AI114" s="687"/>
      <c r="AJ114" s="687"/>
      <c r="AK114" s="687"/>
      <c r="AL114" s="687"/>
      <c r="AM114" s="687"/>
      <c r="AN114" s="687"/>
      <c r="AO114" s="687"/>
      <c r="AP114" s="687"/>
      <c r="AQ114" s="687"/>
      <c r="AR114" s="745"/>
      <c r="AS114" s="745"/>
      <c r="AT114" s="745"/>
      <c r="AU114" s="745"/>
      <c r="AV114" s="687"/>
      <c r="AW114" s="745"/>
      <c r="AX114" s="745"/>
      <c r="AY114" s="745"/>
      <c r="AZ114" s="745"/>
      <c r="BA114" s="687"/>
      <c r="BB114" s="745"/>
      <c r="BC114" s="745"/>
      <c r="BD114" s="745"/>
      <c r="BE114" s="745"/>
      <c r="BF114" s="687"/>
      <c r="BG114" s="745"/>
      <c r="BH114" s="745"/>
      <c r="BI114" s="745"/>
      <c r="BJ114" s="1574"/>
      <c r="BK114" s="687"/>
      <c r="BL114" s="745"/>
      <c r="BM114" s="745"/>
      <c r="BN114" s="745"/>
      <c r="BO114" s="1574"/>
      <c r="BP114" s="745"/>
      <c r="BQ114" s="745"/>
      <c r="BR114" s="745"/>
      <c r="BS114" s="745"/>
      <c r="BT114" s="1574"/>
      <c r="BU114" s="745"/>
      <c r="BV114" s="745"/>
      <c r="BW114" s="745"/>
      <c r="BX114" s="745"/>
      <c r="BY114" s="1574"/>
      <c r="BZ114" s="745"/>
      <c r="CA114" s="745"/>
      <c r="CB114" s="745"/>
      <c r="CC114" s="745"/>
      <c r="CD114" s="1574"/>
      <c r="CE114" s="745"/>
      <c r="CF114" s="745"/>
      <c r="CG114" s="745"/>
      <c r="CH114" s="745"/>
      <c r="CI114" s="1574"/>
      <c r="CJ114" s="745"/>
      <c r="CK114" s="745"/>
      <c r="CL114" s="745"/>
      <c r="CM114" s="745"/>
      <c r="CN114" s="1574"/>
      <c r="CO114" s="745"/>
      <c r="CP114" s="745"/>
      <c r="CQ114" s="745"/>
      <c r="CR114" s="745"/>
      <c r="CS114" s="1574"/>
      <c r="CT114" s="745"/>
      <c r="CU114" s="745"/>
      <c r="CV114" s="745"/>
      <c r="CW114" s="745"/>
      <c r="CX114" s="1574"/>
      <c r="DB114" s="750"/>
      <c r="DC114" s="687"/>
      <c r="DD114" s="1614"/>
      <c r="DE114" s="687"/>
    </row>
    <row r="115" spans="1:116">
      <c r="A115" s="699" t="s">
        <v>482</v>
      </c>
      <c r="B115" s="699"/>
      <c r="C115" s="687"/>
      <c r="D115" s="687"/>
      <c r="E115" s="687"/>
      <c r="F115" s="687"/>
      <c r="G115" s="687"/>
      <c r="H115" s="687"/>
      <c r="I115" s="687"/>
      <c r="J115" s="687"/>
      <c r="K115" s="687"/>
      <c r="L115" s="687"/>
      <c r="M115" s="687"/>
      <c r="N115" s="687"/>
      <c r="O115" s="687"/>
      <c r="P115" s="687"/>
      <c r="Q115" s="687"/>
      <c r="R115" s="687"/>
      <c r="S115" s="687"/>
      <c r="T115" s="687"/>
      <c r="U115" s="687"/>
      <c r="V115" s="687"/>
      <c r="W115" s="687"/>
      <c r="X115" s="687"/>
      <c r="Y115" s="687"/>
      <c r="Z115" s="687"/>
      <c r="AA115" s="687"/>
      <c r="AB115" s="687"/>
      <c r="AC115" s="687"/>
      <c r="AD115" s="687"/>
      <c r="AE115" s="687"/>
      <c r="AF115" s="687"/>
      <c r="AG115" s="687"/>
      <c r="AH115" s="687"/>
      <c r="AI115" s="687"/>
      <c r="AJ115" s="687"/>
      <c r="AK115" s="687"/>
      <c r="AL115" s="687"/>
      <c r="AM115" s="687"/>
      <c r="AN115" s="687"/>
      <c r="AO115" s="687"/>
      <c r="AP115" s="687"/>
      <c r="AQ115" s="687"/>
      <c r="AR115" s="745"/>
      <c r="AS115" s="745"/>
      <c r="AT115" s="745"/>
      <c r="AU115" s="745"/>
      <c r="AV115" s="687"/>
      <c r="AW115" s="745"/>
      <c r="AX115" s="745"/>
      <c r="AY115" s="745"/>
      <c r="AZ115" s="745"/>
      <c r="BA115" s="687"/>
      <c r="BB115" s="745"/>
      <c r="BC115" s="745"/>
      <c r="BD115" s="745"/>
      <c r="BE115" s="745"/>
      <c r="BF115" s="687"/>
      <c r="BG115" s="745"/>
      <c r="BH115" s="745"/>
      <c r="BI115" s="745"/>
      <c r="BJ115" s="1574"/>
      <c r="BK115" s="687"/>
      <c r="BL115" s="745"/>
      <c r="BM115" s="745"/>
      <c r="BN115" s="745"/>
      <c r="BO115" s="1574"/>
      <c r="BP115" s="745"/>
      <c r="BQ115" s="745"/>
      <c r="BR115" s="745"/>
      <c r="BS115" s="745"/>
      <c r="BT115" s="1574"/>
      <c r="BU115" s="745"/>
      <c r="BV115" s="745"/>
      <c r="BW115" s="745"/>
      <c r="BX115" s="745"/>
      <c r="BY115" s="1574"/>
      <c r="BZ115" s="745"/>
      <c r="CA115" s="745"/>
      <c r="CB115" s="745"/>
      <c r="CC115" s="745"/>
      <c r="CD115" s="1574"/>
      <c r="CE115" s="745"/>
      <c r="CF115" s="745"/>
      <c r="CG115" s="745"/>
      <c r="CH115" s="745"/>
      <c r="CI115" s="1574"/>
      <c r="CJ115" s="745"/>
      <c r="CK115" s="745"/>
      <c r="CL115" s="745"/>
      <c r="CM115" s="745"/>
      <c r="CN115" s="1574"/>
      <c r="CO115" s="745"/>
      <c r="CP115" s="745"/>
      <c r="CQ115" s="745"/>
      <c r="CR115" s="745"/>
      <c r="CS115" s="1574"/>
      <c r="CT115" s="745"/>
      <c r="CU115" s="745"/>
      <c r="CV115" s="745"/>
      <c r="CW115" s="745"/>
      <c r="CX115" s="1574"/>
      <c r="DB115" s="750"/>
      <c r="DC115" s="687"/>
      <c r="DD115" s="1614"/>
      <c r="DE115" s="687"/>
    </row>
    <row r="116" spans="1:116">
      <c r="A116" s="699" t="s">
        <v>483</v>
      </c>
      <c r="B116" s="699"/>
      <c r="C116" s="687"/>
      <c r="D116" s="687"/>
      <c r="E116" s="687"/>
      <c r="F116" s="687"/>
      <c r="G116" s="687"/>
      <c r="H116" s="687"/>
      <c r="I116" s="687"/>
      <c r="J116" s="687"/>
      <c r="K116" s="687"/>
      <c r="L116" s="687"/>
      <c r="M116" s="687"/>
      <c r="N116" s="687"/>
      <c r="O116" s="687"/>
      <c r="P116" s="687"/>
      <c r="Q116" s="687"/>
      <c r="R116" s="687"/>
      <c r="S116" s="687"/>
      <c r="T116" s="687"/>
      <c r="U116" s="687"/>
      <c r="V116" s="687"/>
      <c r="W116" s="687"/>
      <c r="X116" s="687"/>
      <c r="Y116" s="687"/>
      <c r="Z116" s="687"/>
      <c r="AA116" s="687"/>
      <c r="AB116" s="687"/>
      <c r="AC116" s="687"/>
      <c r="AD116" s="687"/>
      <c r="AE116" s="687"/>
      <c r="AF116" s="687"/>
      <c r="AG116" s="687"/>
      <c r="AH116" s="687"/>
      <c r="AI116" s="687"/>
      <c r="AJ116" s="687"/>
      <c r="AK116" s="687"/>
      <c r="AL116" s="687"/>
      <c r="AM116" s="687"/>
      <c r="AN116" s="687"/>
      <c r="AO116" s="687"/>
      <c r="AP116" s="687"/>
      <c r="AQ116" s="687"/>
      <c r="AR116" s="745"/>
      <c r="AS116" s="745"/>
      <c r="AT116" s="745"/>
      <c r="AU116" s="745"/>
      <c r="AV116" s="687">
        <v>600</v>
      </c>
      <c r="AW116" s="687">
        <v>600</v>
      </c>
      <c r="AX116" s="687">
        <v>600</v>
      </c>
      <c r="AY116" s="687">
        <v>600</v>
      </c>
      <c r="AZ116" s="745"/>
      <c r="BA116" s="687">
        <v>600</v>
      </c>
      <c r="BB116" s="687">
        <v>600</v>
      </c>
      <c r="BC116" s="687">
        <v>600</v>
      </c>
      <c r="BD116" s="687">
        <v>600</v>
      </c>
      <c r="BE116" s="745"/>
      <c r="BF116" s="687">
        <v>600</v>
      </c>
      <c r="BG116" s="687">
        <v>600</v>
      </c>
      <c r="BH116" s="687">
        <v>600</v>
      </c>
      <c r="BI116" s="745">
        <v>600</v>
      </c>
      <c r="BJ116" s="1574"/>
      <c r="BK116" s="687">
        <v>600</v>
      </c>
      <c r="BL116" s="687">
        <v>600</v>
      </c>
      <c r="BM116" s="687">
        <v>600</v>
      </c>
      <c r="BN116" s="745">
        <v>600</v>
      </c>
      <c r="BO116" s="1574"/>
      <c r="BP116" s="745">
        <v>600</v>
      </c>
      <c r="BQ116" s="745">
        <v>600</v>
      </c>
      <c r="BR116" s="745">
        <v>600</v>
      </c>
      <c r="BS116" s="745">
        <v>600</v>
      </c>
      <c r="BT116" s="1574"/>
      <c r="BU116" s="745">
        <v>0</v>
      </c>
      <c r="BV116" s="745">
        <v>0</v>
      </c>
      <c r="BW116" s="745">
        <v>0</v>
      </c>
      <c r="BX116" s="745">
        <v>0</v>
      </c>
      <c r="BY116" s="1574"/>
      <c r="BZ116" s="745">
        <v>0</v>
      </c>
      <c r="CA116" s="745">
        <v>0</v>
      </c>
      <c r="CB116" s="745">
        <v>0</v>
      </c>
      <c r="CC116" s="745">
        <v>0</v>
      </c>
      <c r="CD116" s="1574"/>
      <c r="CE116" s="745">
        <v>0</v>
      </c>
      <c r="CF116" s="745">
        <v>0</v>
      </c>
      <c r="CG116" s="745">
        <v>0</v>
      </c>
      <c r="CH116" s="745">
        <v>0</v>
      </c>
      <c r="CI116" s="1574"/>
      <c r="CJ116" s="745">
        <v>0</v>
      </c>
      <c r="CK116" s="745">
        <v>0</v>
      </c>
      <c r="CL116" s="745">
        <v>0</v>
      </c>
      <c r="CM116" s="745">
        <v>0</v>
      </c>
      <c r="CN116" s="1574"/>
      <c r="CO116" s="745">
        <v>0</v>
      </c>
      <c r="CP116" s="745">
        <v>0</v>
      </c>
      <c r="CQ116" s="745">
        <v>0</v>
      </c>
      <c r="CR116" s="745">
        <v>0</v>
      </c>
      <c r="CS116" s="1574"/>
      <c r="CT116" s="745">
        <v>0</v>
      </c>
      <c r="CU116" s="745">
        <v>0</v>
      </c>
      <c r="CV116" s="745">
        <v>0</v>
      </c>
      <c r="CW116" s="745">
        <v>0</v>
      </c>
      <c r="CX116" s="1574"/>
      <c r="DB116" s="750"/>
      <c r="DC116" s="687"/>
      <c r="DD116" s="1614"/>
      <c r="DE116" s="687"/>
    </row>
    <row r="117" spans="1:116">
      <c r="A117" s="699" t="s">
        <v>484</v>
      </c>
      <c r="B117" s="699"/>
      <c r="C117" s="687"/>
      <c r="D117" s="687"/>
      <c r="E117" s="687"/>
      <c r="F117" s="687"/>
      <c r="G117" s="687"/>
      <c r="H117" s="687"/>
      <c r="I117" s="687"/>
      <c r="J117" s="687"/>
      <c r="K117" s="687"/>
      <c r="L117" s="687"/>
      <c r="M117" s="687"/>
      <c r="N117" s="687"/>
      <c r="O117" s="687"/>
      <c r="P117" s="687"/>
      <c r="Q117" s="687"/>
      <c r="R117" s="687"/>
      <c r="S117" s="687"/>
      <c r="T117" s="687"/>
      <c r="U117" s="687"/>
      <c r="V117" s="687"/>
      <c r="W117" s="687"/>
      <c r="X117" s="687"/>
      <c r="Y117" s="687"/>
      <c r="Z117" s="687"/>
      <c r="AA117" s="687"/>
      <c r="AB117" s="687"/>
      <c r="AC117" s="687"/>
      <c r="AD117" s="687"/>
      <c r="AE117" s="687"/>
      <c r="AF117" s="687"/>
      <c r="AG117" s="687"/>
      <c r="AH117" s="687"/>
      <c r="AI117" s="687"/>
      <c r="AJ117" s="687"/>
      <c r="AK117" s="687"/>
      <c r="AL117" s="687"/>
      <c r="AM117" s="687"/>
      <c r="AN117" s="687"/>
      <c r="AO117" s="687"/>
      <c r="AP117" s="687"/>
      <c r="AQ117" s="687"/>
      <c r="AR117" s="745"/>
      <c r="AS117" s="745"/>
      <c r="AT117" s="745"/>
      <c r="AU117" s="745"/>
      <c r="AV117" s="687">
        <v>900</v>
      </c>
      <c r="AW117" s="687">
        <v>900</v>
      </c>
      <c r="AX117" s="687">
        <v>900</v>
      </c>
      <c r="AY117" s="687">
        <v>900</v>
      </c>
      <c r="AZ117" s="745"/>
      <c r="BA117" s="687">
        <v>900</v>
      </c>
      <c r="BB117" s="687">
        <v>900</v>
      </c>
      <c r="BC117" s="687">
        <v>900</v>
      </c>
      <c r="BD117" s="687">
        <v>900</v>
      </c>
      <c r="BE117" s="745"/>
      <c r="BF117" s="687">
        <v>900</v>
      </c>
      <c r="BG117" s="687">
        <v>900</v>
      </c>
      <c r="BH117" s="687">
        <v>900</v>
      </c>
      <c r="BI117" s="745">
        <v>900</v>
      </c>
      <c r="BJ117" s="1574"/>
      <c r="BK117" s="687">
        <v>900</v>
      </c>
      <c r="BL117" s="687">
        <v>900</v>
      </c>
      <c r="BM117" s="687">
        <v>900</v>
      </c>
      <c r="BN117" s="745">
        <v>900</v>
      </c>
      <c r="BO117" s="1574"/>
      <c r="BP117" s="745">
        <v>900</v>
      </c>
      <c r="BQ117" s="745">
        <v>900</v>
      </c>
      <c r="BR117" s="745">
        <v>900</v>
      </c>
      <c r="BS117" s="745">
        <v>900</v>
      </c>
      <c r="BT117" s="1574"/>
      <c r="BU117" s="745">
        <v>900</v>
      </c>
      <c r="BV117" s="745">
        <v>900</v>
      </c>
      <c r="BW117" s="745">
        <f>BV117</f>
        <v>900</v>
      </c>
      <c r="BX117" s="745">
        <f>BW117</f>
        <v>900</v>
      </c>
      <c r="BY117" s="1574"/>
      <c r="BZ117" s="745">
        <v>900</v>
      </c>
      <c r="CA117" s="745">
        <v>900</v>
      </c>
      <c r="CB117" s="745">
        <v>900</v>
      </c>
      <c r="CC117" s="745">
        <v>900</v>
      </c>
      <c r="CD117" s="1574"/>
      <c r="CE117" s="745">
        <v>900</v>
      </c>
      <c r="CF117" s="745">
        <v>900</v>
      </c>
      <c r="CG117" s="745">
        <v>900</v>
      </c>
      <c r="CH117" s="745">
        <v>900</v>
      </c>
      <c r="CI117" s="1574"/>
      <c r="CJ117" s="745">
        <f>CH117</f>
        <v>900</v>
      </c>
      <c r="CK117" s="745">
        <f t="shared" ref="CK117:CM118" si="130">CJ117</f>
        <v>900</v>
      </c>
      <c r="CL117" s="745">
        <f t="shared" si="130"/>
        <v>900</v>
      </c>
      <c r="CM117" s="745">
        <f t="shared" si="130"/>
        <v>900</v>
      </c>
      <c r="CN117" s="1574"/>
      <c r="CO117" s="745">
        <f>CM117</f>
        <v>900</v>
      </c>
      <c r="CP117" s="745">
        <f t="shared" ref="CP117:CR118" si="131">CO117</f>
        <v>900</v>
      </c>
      <c r="CQ117" s="745">
        <f t="shared" si="131"/>
        <v>900</v>
      </c>
      <c r="CR117" s="745">
        <f t="shared" si="131"/>
        <v>900</v>
      </c>
      <c r="CS117" s="1574"/>
      <c r="CT117" s="745">
        <f>CR117</f>
        <v>900</v>
      </c>
      <c r="CU117" s="745">
        <f t="shared" ref="CU117:CU118" si="132">CT117</f>
        <v>900</v>
      </c>
      <c r="CV117" s="745">
        <f t="shared" ref="CV117:CV118" si="133">CU117</f>
        <v>900</v>
      </c>
      <c r="CW117" s="745">
        <f t="shared" ref="CW117:CW118" si="134">CV117</f>
        <v>900</v>
      </c>
      <c r="CX117" s="1574"/>
      <c r="DB117" s="750"/>
      <c r="DC117" s="687"/>
      <c r="DD117" s="1614"/>
      <c r="DE117" s="687"/>
    </row>
    <row r="118" spans="1:116">
      <c r="A118" s="699" t="s">
        <v>801</v>
      </c>
      <c r="B118" s="699"/>
      <c r="C118" s="687"/>
      <c r="D118" s="687"/>
      <c r="E118" s="687"/>
      <c r="F118" s="687"/>
      <c r="G118" s="687"/>
      <c r="H118" s="687"/>
      <c r="I118" s="687"/>
      <c r="J118" s="687"/>
      <c r="K118" s="687"/>
      <c r="L118" s="687"/>
      <c r="M118" s="687"/>
      <c r="N118" s="687"/>
      <c r="O118" s="687"/>
      <c r="P118" s="687"/>
      <c r="Q118" s="687"/>
      <c r="R118" s="687"/>
      <c r="S118" s="687"/>
      <c r="T118" s="687"/>
      <c r="U118" s="687"/>
      <c r="V118" s="687"/>
      <c r="W118" s="687"/>
      <c r="X118" s="687"/>
      <c r="Y118" s="687"/>
      <c r="Z118" s="687"/>
      <c r="AA118" s="687"/>
      <c r="AB118" s="687"/>
      <c r="AC118" s="687"/>
      <c r="AD118" s="687"/>
      <c r="AE118" s="687"/>
      <c r="AF118" s="687"/>
      <c r="AG118" s="687"/>
      <c r="AH118" s="687"/>
      <c r="AI118" s="687"/>
      <c r="AJ118" s="687"/>
      <c r="AK118" s="687"/>
      <c r="AL118" s="687"/>
      <c r="AM118" s="687"/>
      <c r="AN118" s="687"/>
      <c r="AO118" s="687"/>
      <c r="AP118" s="687"/>
      <c r="AQ118" s="687"/>
      <c r="AR118" s="745"/>
      <c r="AS118" s="745"/>
      <c r="AT118" s="745"/>
      <c r="AU118" s="745"/>
      <c r="AV118" s="687"/>
      <c r="AW118" s="687"/>
      <c r="AX118" s="687"/>
      <c r="AY118" s="687"/>
      <c r="AZ118" s="745"/>
      <c r="BA118" s="687"/>
      <c r="BB118" s="687"/>
      <c r="BC118" s="687"/>
      <c r="BD118" s="687"/>
      <c r="BE118" s="745"/>
      <c r="BF118" s="687"/>
      <c r="BG118" s="687"/>
      <c r="BH118" s="687"/>
      <c r="BI118" s="745"/>
      <c r="BJ118" s="1574"/>
      <c r="BK118" s="687"/>
      <c r="BL118" s="687"/>
      <c r="BM118" s="687"/>
      <c r="BN118" s="745"/>
      <c r="BO118" s="1574"/>
      <c r="BP118" s="745"/>
      <c r="BQ118" s="745"/>
      <c r="BR118" s="745"/>
      <c r="BS118" s="745"/>
      <c r="BT118" s="1574"/>
      <c r="BU118" s="745">
        <f>BU37-BU117</f>
        <v>1001.5540000000001</v>
      </c>
      <c r="BV118" s="745">
        <v>1001.6</v>
      </c>
      <c r="BW118" s="745">
        <f>BV118</f>
        <v>1001.6</v>
      </c>
      <c r="BX118" s="745">
        <f>BW118</f>
        <v>1001.6</v>
      </c>
      <c r="BY118" s="1574"/>
      <c r="BZ118" s="745">
        <f>BZ37-BZ117</f>
        <v>1016.8309999999999</v>
      </c>
      <c r="CA118" s="745">
        <v>1001.6</v>
      </c>
      <c r="CB118" s="745">
        <v>1001.6</v>
      </c>
      <c r="CC118" s="745">
        <v>1001.6</v>
      </c>
      <c r="CD118" s="1574"/>
      <c r="CE118" s="745">
        <f>CE37-CE117</f>
        <v>984.07400000000007</v>
      </c>
      <c r="CF118" s="745">
        <v>1001.6</v>
      </c>
      <c r="CG118" s="745">
        <v>1001.6</v>
      </c>
      <c r="CH118" s="745">
        <v>1001.6</v>
      </c>
      <c r="CI118" s="1574"/>
      <c r="CJ118" s="745">
        <f>CH118</f>
        <v>1001.6</v>
      </c>
      <c r="CK118" s="745">
        <f t="shared" si="130"/>
        <v>1001.6</v>
      </c>
      <c r="CL118" s="745">
        <f t="shared" si="130"/>
        <v>1001.6</v>
      </c>
      <c r="CM118" s="745">
        <f t="shared" si="130"/>
        <v>1001.6</v>
      </c>
      <c r="CN118" s="1574"/>
      <c r="CO118" s="745">
        <f>CM118</f>
        <v>1001.6</v>
      </c>
      <c r="CP118" s="745">
        <f t="shared" si="131"/>
        <v>1001.6</v>
      </c>
      <c r="CQ118" s="745">
        <f t="shared" si="131"/>
        <v>1001.6</v>
      </c>
      <c r="CR118" s="745">
        <f t="shared" si="131"/>
        <v>1001.6</v>
      </c>
      <c r="CS118" s="1574"/>
      <c r="CT118" s="745">
        <f>CR118</f>
        <v>1001.6</v>
      </c>
      <c r="CU118" s="745">
        <f t="shared" si="132"/>
        <v>1001.6</v>
      </c>
      <c r="CV118" s="745">
        <f t="shared" si="133"/>
        <v>1001.6</v>
      </c>
      <c r="CW118" s="745">
        <f t="shared" si="134"/>
        <v>1001.6</v>
      </c>
      <c r="CX118" s="1574"/>
      <c r="DB118" s="750"/>
      <c r="DC118" s="687"/>
      <c r="DD118" s="1614"/>
      <c r="DE118" s="687"/>
    </row>
    <row r="119" spans="1:116">
      <c r="A119" s="699" t="s">
        <v>485</v>
      </c>
      <c r="B119" s="699"/>
      <c r="C119" s="687"/>
      <c r="D119" s="687"/>
      <c r="E119" s="687"/>
      <c r="F119" s="687"/>
      <c r="G119" s="687"/>
      <c r="H119" s="687"/>
      <c r="I119" s="687"/>
      <c r="J119" s="687"/>
      <c r="K119" s="687"/>
      <c r="L119" s="687"/>
      <c r="M119" s="687"/>
      <c r="N119" s="687"/>
      <c r="O119" s="687"/>
      <c r="P119" s="687"/>
      <c r="Q119" s="687"/>
      <c r="R119" s="687"/>
      <c r="S119" s="687"/>
      <c r="T119" s="687"/>
      <c r="U119" s="687"/>
      <c r="V119" s="687"/>
      <c r="W119" s="687"/>
      <c r="X119" s="687"/>
      <c r="Y119" s="687"/>
      <c r="Z119" s="687"/>
      <c r="AA119" s="687"/>
      <c r="AB119" s="687"/>
      <c r="AC119" s="687"/>
      <c r="AD119" s="687"/>
      <c r="AE119" s="687"/>
      <c r="AF119" s="687"/>
      <c r="AG119" s="687"/>
      <c r="AH119" s="687"/>
      <c r="AI119" s="687"/>
      <c r="AJ119" s="687"/>
      <c r="AK119" s="687"/>
      <c r="AL119" s="687"/>
      <c r="AM119" s="687"/>
      <c r="AN119" s="687"/>
      <c r="AO119" s="687"/>
      <c r="AP119" s="687"/>
      <c r="AQ119" s="687"/>
      <c r="AR119" s="745"/>
      <c r="AS119" s="745"/>
      <c r="AT119" s="745"/>
      <c r="AU119" s="745"/>
      <c r="AV119" s="687">
        <f>(AV116*0.0325+AV117*0.0475)/4</f>
        <v>15.5625</v>
      </c>
      <c r="AW119" s="687">
        <f>(AW116*0.0325+AW117*0.0475)/4</f>
        <v>15.5625</v>
      </c>
      <c r="AX119" s="687">
        <f>(AX116*0.034+AX117*0.05)/4</f>
        <v>16.350000000000001</v>
      </c>
      <c r="AY119" s="687">
        <f>(AY116*0.034+AY117*0.05)/4</f>
        <v>16.350000000000001</v>
      </c>
      <c r="AZ119" s="745"/>
      <c r="BA119" s="687">
        <f>(BA116*0.034+BA117*0.053)/4</f>
        <v>17.024999999999999</v>
      </c>
      <c r="BB119" s="687">
        <f>(BB116*0.034+BB117*0.052)/4</f>
        <v>16.8</v>
      </c>
      <c r="BC119" s="687">
        <f>(BC116*0.034+BC117*0.0505)/4</f>
        <v>16.462500000000002</v>
      </c>
      <c r="BD119" s="687">
        <f>(BD116*0.034+BD117*0.058)/4</f>
        <v>18.150000000000002</v>
      </c>
      <c r="BE119" s="745"/>
      <c r="BF119" s="687">
        <f>(BF116*0.036+BF117*0.068)/4</f>
        <v>20.7</v>
      </c>
      <c r="BG119" s="687">
        <f>(BG116*0.034+BG117*0.052)/4</f>
        <v>16.8</v>
      </c>
      <c r="BH119" s="687">
        <f>(BH116*0.033+BH117*0.065)/4</f>
        <v>19.574999999999999</v>
      </c>
      <c r="BI119" s="745">
        <f>(BI116*0.033+BI117*0.065)/4</f>
        <v>19.574999999999999</v>
      </c>
      <c r="BJ119" s="1574"/>
      <c r="BK119" s="687">
        <f>(BK116*0.0345+BK117*0.0492)/4</f>
        <v>16.245000000000001</v>
      </c>
      <c r="BL119" s="687">
        <f>(BL116*0.0345+BL117*0.0492)/4</f>
        <v>16.245000000000001</v>
      </c>
      <c r="BM119" s="687">
        <f>(BM116*0.0345+BM117*0.0492)/4</f>
        <v>16.245000000000001</v>
      </c>
      <c r="BN119" s="687">
        <f>(BN116*0.0345+BN117*0.0492)/4</f>
        <v>16.245000000000001</v>
      </c>
      <c r="BO119" s="1574"/>
      <c r="BP119" s="745">
        <f>(BP116*0.0345+BP117*0.0492)/4</f>
        <v>16.245000000000001</v>
      </c>
      <c r="BQ119" s="745">
        <f>(BQ116*0.0345+BQ117*0.0492)/4</f>
        <v>16.245000000000001</v>
      </c>
      <c r="BR119" s="745">
        <f>(BR116*0.0345+BR117*0.0492)/4</f>
        <v>16.245000000000001</v>
      </c>
      <c r="BS119" s="687">
        <f>(BS116*0.0345+BS117*0.0492)/4</f>
        <v>16.245000000000001</v>
      </c>
      <c r="BT119" s="1574"/>
      <c r="BU119" s="745">
        <f>(BU116*0.0345+BU117*0.0492+BU118*0.0325)/4</f>
        <v>19.207626250000001</v>
      </c>
      <c r="BV119" s="745">
        <f>(BV116*0.0345+BV117*0.0492+BV118*0.0325)/4</f>
        <v>19.207999999999998</v>
      </c>
      <c r="BW119" s="745">
        <f>(BW116*0.0345+BW117*0.0492+BW118*0.0325)/4</f>
        <v>19.207999999999998</v>
      </c>
      <c r="BX119" s="745">
        <f>(BX116*0.0345+BX117*0.0492+BX118*0.0325)/4</f>
        <v>19.207999999999998</v>
      </c>
      <c r="BY119" s="1574"/>
      <c r="BZ119" s="745">
        <f>(BZ116*0.0345+BZ117*0.0492+BZ118*0.0325)/4</f>
        <v>19.331751875000002</v>
      </c>
      <c r="CA119" s="745">
        <f>(CA116*0.0345+CA117*0.0492+CA118*0.0325)/4</f>
        <v>19.207999999999998</v>
      </c>
      <c r="CB119" s="745">
        <f>(CB116*0.0345+CB117*0.0492+CB118*0.0325)/4</f>
        <v>19.207999999999998</v>
      </c>
      <c r="CC119" s="745">
        <f>(CC116*0.0345+CC117*0.0492+CC118*0.0325)/4</f>
        <v>19.207999999999998</v>
      </c>
      <c r="CD119" s="1574"/>
      <c r="CE119" s="745">
        <f>(CE116*0.0345+CE117*0.0492+CE118*0.0325)/4</f>
        <v>19.06560125</v>
      </c>
      <c r="CF119" s="745">
        <f>(CF116*0.0345+CF117*0.0492+CF118*0.0325)/4</f>
        <v>19.207999999999998</v>
      </c>
      <c r="CG119" s="745">
        <f>(CG116*0.0345+CG117*0.0492+CG118*0.0325)/4</f>
        <v>19.207999999999998</v>
      </c>
      <c r="CH119" s="745">
        <f>(CH116*0.0345+CH117*0.0492+CH118*0.0325)/4</f>
        <v>19.207999999999998</v>
      </c>
      <c r="CI119" s="1574"/>
      <c r="CJ119" s="745">
        <f>(CJ116*0.0345+CJ117*0.0492+CJ118*0.0325)/4</f>
        <v>19.207999999999998</v>
      </c>
      <c r="CK119" s="745">
        <f>(CK116*0.0345+CK117*0.0492+CK118*0.0325)/4</f>
        <v>19.207999999999998</v>
      </c>
      <c r="CL119" s="745">
        <f>(CL116*0.0345+CL117*0.0492+CL118*0.0325)/4</f>
        <v>19.207999999999998</v>
      </c>
      <c r="CM119" s="745">
        <f>(CM116*0.0345+CM117*0.0492+CM118*0.0325)/4</f>
        <v>19.207999999999998</v>
      </c>
      <c r="CN119" s="1574"/>
      <c r="CO119" s="745">
        <f>(CO116*0.0345+CO117*0.0492+CO118*0.0325)/4</f>
        <v>19.207999999999998</v>
      </c>
      <c r="CP119" s="745">
        <f>(CP116*0.0345+CP117*0.0492+CP118*0.0325)/4</f>
        <v>19.207999999999998</v>
      </c>
      <c r="CQ119" s="745">
        <f>(CQ116*0.0345+CQ117*0.0492+CQ118*0.0325)/4</f>
        <v>19.207999999999998</v>
      </c>
      <c r="CR119" s="745">
        <f>(CR116*0.0345+CR117*0.0492+CR118*0.0325)/4</f>
        <v>19.207999999999998</v>
      </c>
      <c r="CS119" s="1574"/>
      <c r="CT119" s="745">
        <f>(CT116*0.0345+CT117*0.0492+CT118*0.0325)/4</f>
        <v>19.207999999999998</v>
      </c>
      <c r="CU119" s="745">
        <f>(CU116*0.0345+CU117*0.0492+CU118*0.0325)/4</f>
        <v>19.207999999999998</v>
      </c>
      <c r="CV119" s="745">
        <f>(CV116*0.0345+CV117*0.0492+CV118*0.0325)/4</f>
        <v>19.207999999999998</v>
      </c>
      <c r="CW119" s="745">
        <f>(CW116*0.0345+CW117*0.0492+CW118*0.0325)/4</f>
        <v>19.207999999999998</v>
      </c>
      <c r="CX119" s="1574"/>
      <c r="DB119" s="750"/>
      <c r="DC119" s="687"/>
      <c r="DD119" s="1614"/>
      <c r="DE119" s="687"/>
    </row>
    <row r="120" spans="1:116">
      <c r="A120" s="730"/>
      <c r="B120" s="730"/>
      <c r="C120" s="687"/>
      <c r="D120" s="687"/>
      <c r="E120" s="687"/>
      <c r="F120" s="687"/>
      <c r="G120" s="687"/>
      <c r="H120" s="687"/>
      <c r="I120" s="687"/>
      <c r="J120" s="687"/>
      <c r="K120" s="687"/>
      <c r="L120" s="687"/>
      <c r="M120" s="687"/>
      <c r="N120" s="687"/>
      <c r="O120" s="687"/>
      <c r="P120" s="687"/>
      <c r="Q120" s="687"/>
      <c r="R120" s="687"/>
      <c r="S120" s="687"/>
      <c r="T120" s="687"/>
      <c r="U120" s="687"/>
      <c r="V120" s="687"/>
      <c r="W120" s="687"/>
      <c r="X120" s="687"/>
      <c r="Y120" s="687"/>
      <c r="Z120" s="687"/>
      <c r="AA120" s="687"/>
      <c r="AB120" s="687"/>
      <c r="AC120" s="687"/>
      <c r="AD120" s="687"/>
      <c r="AE120" s="687"/>
      <c r="AF120" s="687"/>
      <c r="AG120" s="687"/>
      <c r="AH120" s="687"/>
      <c r="AI120" s="687"/>
      <c r="AJ120" s="687"/>
      <c r="AK120" s="687"/>
      <c r="AL120" s="687"/>
      <c r="AM120" s="687"/>
      <c r="AN120" s="687"/>
      <c r="AO120" s="687"/>
      <c r="AP120" s="687"/>
      <c r="AQ120" s="687"/>
      <c r="AR120" s="745"/>
      <c r="AS120" s="745"/>
      <c r="AT120" s="745"/>
      <c r="AU120" s="745"/>
      <c r="AV120" s="687"/>
      <c r="AW120" s="745"/>
      <c r="AX120" s="745">
        <f>Model!AX79</f>
        <v>-16.395</v>
      </c>
      <c r="AY120" s="745">
        <f>Model!AY79</f>
        <v>-16.786000000000001</v>
      </c>
      <c r="AZ120" s="745"/>
      <c r="BA120" s="745">
        <f>Model!BA79</f>
        <v>-17.02</v>
      </c>
      <c r="BB120" s="745">
        <f>Model!BB79</f>
        <v>-16.727</v>
      </c>
      <c r="BC120" s="745">
        <f>Model!BC79</f>
        <v>-16.431000000000001</v>
      </c>
      <c r="BD120" s="745">
        <f>Model!BD79</f>
        <v>-18.100000000000001</v>
      </c>
      <c r="BE120" s="745"/>
      <c r="BF120" s="745"/>
      <c r="BG120" s="745"/>
      <c r="BH120" s="745"/>
      <c r="BI120" s="745"/>
      <c r="BJ120" s="1574"/>
      <c r="BK120" s="745"/>
      <c r="BL120" s="745"/>
      <c r="BM120" s="745"/>
      <c r="BN120" s="745"/>
      <c r="BO120" s="1574"/>
      <c r="BP120" s="745"/>
      <c r="BQ120" s="745"/>
      <c r="BR120" s="745"/>
      <c r="BS120" s="745"/>
      <c r="BT120" s="1574"/>
      <c r="BU120" s="745"/>
      <c r="BV120" s="745"/>
      <c r="BW120" s="745"/>
      <c r="BX120" s="745"/>
      <c r="BY120" s="1574"/>
      <c r="BZ120" s="745"/>
      <c r="CA120" s="745"/>
      <c r="CB120" s="745"/>
      <c r="CC120" s="745"/>
      <c r="CD120" s="1574"/>
      <c r="CE120" s="745"/>
      <c r="CF120" s="745"/>
      <c r="CG120" s="745"/>
      <c r="CH120" s="745"/>
      <c r="CI120" s="1574"/>
      <c r="CJ120" s="745"/>
      <c r="CK120" s="745"/>
      <c r="CL120" s="745"/>
      <c r="CM120" s="745"/>
      <c r="CN120" s="1574"/>
      <c r="CO120" s="745"/>
      <c r="CP120" s="745"/>
      <c r="CQ120" s="745"/>
      <c r="CR120" s="745"/>
      <c r="CS120" s="1574"/>
      <c r="CT120" s="745"/>
      <c r="CU120" s="745"/>
      <c r="CV120" s="745"/>
      <c r="CW120" s="745"/>
      <c r="CX120" s="1574"/>
      <c r="DB120" s="750"/>
      <c r="DC120" s="687"/>
      <c r="DD120" s="1614"/>
      <c r="DE120" s="687"/>
    </row>
    <row r="121" spans="1:116">
      <c r="A121" s="688" t="s">
        <v>802</v>
      </c>
      <c r="B121" s="730"/>
      <c r="C121" s="687"/>
      <c r="D121" s="687"/>
      <c r="E121" s="687"/>
      <c r="F121" s="687"/>
      <c r="G121" s="687"/>
      <c r="H121" s="687"/>
      <c r="I121" s="687"/>
      <c r="J121" s="687"/>
      <c r="K121" s="687"/>
      <c r="L121" s="687"/>
      <c r="M121" s="687"/>
      <c r="N121" s="687"/>
      <c r="O121" s="687"/>
      <c r="P121" s="687"/>
      <c r="Q121" s="687"/>
      <c r="R121" s="687"/>
      <c r="S121" s="687"/>
      <c r="T121" s="687"/>
      <c r="U121" s="687"/>
      <c r="V121" s="687"/>
      <c r="W121" s="687"/>
      <c r="X121" s="687"/>
      <c r="Y121" s="687"/>
      <c r="Z121" s="687"/>
      <c r="AA121" s="687"/>
      <c r="AB121" s="687"/>
      <c r="AC121" s="687"/>
      <c r="AD121" s="687"/>
      <c r="AE121" s="687"/>
      <c r="AF121" s="687"/>
      <c r="AG121" s="687"/>
      <c r="AH121" s="687"/>
      <c r="AI121" s="687"/>
      <c r="AJ121" s="687"/>
      <c r="AK121" s="687"/>
      <c r="AL121" s="687"/>
      <c r="AM121" s="687"/>
      <c r="AN121" s="687"/>
      <c r="AO121" s="687"/>
      <c r="AP121" s="687"/>
      <c r="AQ121" s="687"/>
      <c r="AR121" s="745"/>
      <c r="AS121" s="745"/>
      <c r="AT121" s="745"/>
      <c r="AU121" s="745"/>
      <c r="AV121" s="687"/>
      <c r="AW121" s="745"/>
      <c r="AX121" s="745"/>
      <c r="AY121" s="745"/>
      <c r="AZ121" s="745"/>
      <c r="BA121" s="745"/>
      <c r="BB121" s="745"/>
      <c r="BC121" s="745"/>
      <c r="BD121" s="745"/>
      <c r="BE121" s="745"/>
      <c r="BF121" s="434">
        <f>Model!BF78/(BS!BF8+BS!BF9)*4</f>
        <v>0</v>
      </c>
      <c r="BG121" s="434">
        <f>Model!BG78/(BS!BG8+BS!BG9)*4</f>
        <v>-1.504944603562836E-3</v>
      </c>
      <c r="BH121" s="434">
        <f>Model!BH78/(BS!BH8+BS!BH9)*4</f>
        <v>1.4990624700718705E-3</v>
      </c>
      <c r="BI121" s="434">
        <f>Model!BI78/(BS!BI8+BS!BI9)*4</f>
        <v>-8.1167707122494555E-4</v>
      </c>
      <c r="BJ121" s="1574"/>
      <c r="BK121" s="434">
        <f>Model!BK78/(BS!BK8+BS!BK9)*4</f>
        <v>1.3614923310884919E-3</v>
      </c>
      <c r="BL121" s="434">
        <f>Model!BL78/(BS!BL8+BS!BL9)*4</f>
        <v>1.7921684721142934E-3</v>
      </c>
      <c r="BM121" s="434">
        <f>Model!BM78/(BS!BM8+BS!BM9)*4</f>
        <v>2.1896769752368646E-3</v>
      </c>
      <c r="BN121" s="434">
        <f>Model!BN78/(BS!BN8+BS!BN9)*4</f>
        <v>8.759348556534978E-4</v>
      </c>
      <c r="BO121" s="1574"/>
      <c r="BP121" s="434">
        <f>Model!BP78/(BS!BP8+BS!BP9)*4</f>
        <v>4.0164848286704221E-3</v>
      </c>
      <c r="BQ121" s="434">
        <f>Model!BQ78/(BS!BQ8+BS!BQ9)*4</f>
        <v>3.0784836156027354E-3</v>
      </c>
      <c r="BR121" s="434">
        <f>Model!BR78/(BS!BR8+BS!BR9)*4</f>
        <v>1.6521802615024101E-3</v>
      </c>
      <c r="BS121" s="434">
        <f>Model!BS78/(BS!BS8+BS!BS9)*4</f>
        <v>1.1231475085780391E-4</v>
      </c>
      <c r="BT121" s="1574"/>
      <c r="BU121" s="434">
        <f>Model!BU78/(BS!BU8+BS!BU9)*4</f>
        <v>4.202945083448228E-3</v>
      </c>
      <c r="BV121" s="434">
        <f>Model!BV78/(BS!BV8+BS!BV9)*4</f>
        <v>4.3817501687542183E-3</v>
      </c>
      <c r="BW121" s="434">
        <f>Model!BW78/(BS!BW8+BS!BW9)*4</f>
        <v>4.8332762291504999E-3</v>
      </c>
      <c r="BX121" s="434">
        <f>Model!BX78/(BS!BX8+BS!BX9)*4</f>
        <v>9.869400945416414E-4</v>
      </c>
      <c r="BY121" s="1574"/>
      <c r="BZ121" s="434">
        <f>Model!BZ78/(BS!BZ8+BS!BZ9)*4</f>
        <v>4.0869833436150528E-3</v>
      </c>
      <c r="CA121" s="434">
        <f>Model!CA78/(BS!CA8+BS!CA9)*4</f>
        <v>5.6344838190370153E-3</v>
      </c>
      <c r="CB121" s="434">
        <f>Model!CB78/(BS!CB8+BS!CB9)*4</f>
        <v>2.4514224772501248E-3</v>
      </c>
      <c r="CC121" s="434">
        <f>Model!CC78/(BS!CC8+BS!CC9)*4</f>
        <v>4.4777686766219311E-4</v>
      </c>
      <c r="CD121" s="1574"/>
      <c r="CE121" s="434">
        <f>Model!CE78/(BS!CE8+BS!CE9)*4</f>
        <v>6.20188797829081E-3</v>
      </c>
      <c r="CF121" s="434">
        <f>Model!CF78/(BS!CF8+BS!CF9)*4</f>
        <v>4.1804614527022436E-3</v>
      </c>
      <c r="CG121" s="434">
        <f>Model!CG78/(BS!CG8+BS!CG9)*4</f>
        <v>1.0087760310821337E-2</v>
      </c>
      <c r="CH121" s="434">
        <f>Model!CH78/(BS!CH8+BS!CH9)*4</f>
        <v>7.2140258367421137E-3</v>
      </c>
      <c r="CI121" s="1574"/>
      <c r="CJ121" s="434">
        <f>Model!CJ78/(BS!CJ8+BS!CJ9)*4</f>
        <v>1.0847157679689393E-2</v>
      </c>
      <c r="CK121" s="434">
        <f>CJ121</f>
        <v>1.0847157679689393E-2</v>
      </c>
      <c r="CL121" s="434">
        <f t="shared" ref="CL121:CM121" si="135">CG121</f>
        <v>1.0087760310821337E-2</v>
      </c>
      <c r="CM121" s="434">
        <f t="shared" si="135"/>
        <v>7.2140258367421137E-3</v>
      </c>
      <c r="CN121" s="1574"/>
      <c r="CO121" s="434">
        <v>4.0000000000000001E-3</v>
      </c>
      <c r="CP121" s="434">
        <v>4.0000000000000001E-3</v>
      </c>
      <c r="CQ121" s="434">
        <v>4.0000000000000001E-3</v>
      </c>
      <c r="CR121" s="434">
        <v>4.0000000000000001E-3</v>
      </c>
      <c r="CS121" s="1574"/>
      <c r="CT121" s="434">
        <v>4.0000000000000001E-3</v>
      </c>
      <c r="CU121" s="434">
        <v>4.0000000000000001E-3</v>
      </c>
      <c r="CV121" s="434">
        <v>4.0000000000000001E-3</v>
      </c>
      <c r="CW121" s="434">
        <v>4.0000000000000001E-3</v>
      </c>
      <c r="CX121" s="1574"/>
      <c r="DB121" s="750"/>
      <c r="DC121" s="687"/>
      <c r="DD121" s="1614"/>
      <c r="DE121" s="687"/>
    </row>
    <row r="122" spans="1:116" ht="13.5" thickBot="1">
      <c r="A122" s="730"/>
      <c r="B122" s="730"/>
      <c r="C122" s="687"/>
      <c r="D122" s="687"/>
      <c r="E122" s="687"/>
      <c r="F122" s="687"/>
      <c r="G122" s="687"/>
      <c r="H122" s="687"/>
      <c r="I122" s="687"/>
      <c r="J122" s="687"/>
      <c r="K122" s="687"/>
      <c r="L122" s="687"/>
      <c r="M122" s="687"/>
      <c r="N122" s="687"/>
      <c r="O122" s="687"/>
      <c r="P122" s="687"/>
      <c r="Q122" s="687"/>
      <c r="R122" s="687"/>
      <c r="S122" s="687"/>
      <c r="T122" s="687"/>
      <c r="U122" s="687"/>
      <c r="V122" s="687"/>
      <c r="W122" s="687"/>
      <c r="X122" s="687"/>
      <c r="Y122" s="687"/>
      <c r="Z122" s="687"/>
      <c r="AA122" s="687"/>
      <c r="AB122" s="687"/>
      <c r="AC122" s="687"/>
      <c r="AD122" s="687"/>
      <c r="AE122" s="687"/>
      <c r="AF122" s="687"/>
      <c r="AG122" s="687"/>
      <c r="AH122" s="687"/>
      <c r="AI122" s="687"/>
      <c r="AJ122" s="687"/>
      <c r="AK122" s="687"/>
      <c r="AL122" s="687"/>
      <c r="AM122" s="687"/>
      <c r="AN122" s="687"/>
      <c r="AO122" s="687"/>
      <c r="AP122" s="687"/>
      <c r="AQ122" s="687"/>
      <c r="AR122" s="745"/>
      <c r="AS122" s="745"/>
      <c r="AT122" s="745"/>
      <c r="AU122" s="745"/>
      <c r="AV122" s="687"/>
      <c r="AW122" s="745"/>
      <c r="AX122" s="745"/>
      <c r="AY122" s="745"/>
      <c r="AZ122" s="745"/>
      <c r="BA122" s="687"/>
      <c r="BB122" s="745"/>
      <c r="BC122" s="745"/>
      <c r="BD122" s="745"/>
      <c r="BE122" s="745"/>
      <c r="BF122" s="687"/>
      <c r="BG122" s="745"/>
      <c r="BH122" s="745"/>
      <c r="BI122" s="745"/>
      <c r="BJ122" s="1574"/>
      <c r="BK122" s="687"/>
      <c r="BL122" s="745"/>
      <c r="BM122" s="745"/>
      <c r="BN122" s="745"/>
      <c r="BO122" s="1574"/>
      <c r="BP122" s="745"/>
      <c r="BQ122" s="745"/>
      <c r="BR122" s="745"/>
      <c r="BS122" s="745"/>
      <c r="BT122" s="1574"/>
      <c r="BU122" s="745"/>
      <c r="BV122" s="745"/>
      <c r="BW122" s="745"/>
      <c r="BX122" s="745"/>
      <c r="BY122" s="1574"/>
      <c r="BZ122" s="745"/>
      <c r="CA122" s="745"/>
      <c r="CB122" s="745"/>
      <c r="CC122" s="745"/>
      <c r="CD122" s="1574"/>
      <c r="CE122" s="745"/>
      <c r="CF122" s="745"/>
      <c r="CG122" s="745"/>
      <c r="CH122" s="745"/>
      <c r="CI122" s="1574"/>
      <c r="CJ122" s="745"/>
      <c r="CK122" s="745"/>
      <c r="CL122" s="745"/>
      <c r="CM122" s="745"/>
      <c r="CN122" s="1574"/>
      <c r="CO122" s="745"/>
      <c r="CP122" s="745"/>
      <c r="CQ122" s="745"/>
      <c r="CR122" s="745"/>
      <c r="CS122" s="1574"/>
      <c r="CT122" s="745"/>
      <c r="CU122" s="745"/>
      <c r="CV122" s="745"/>
      <c r="CW122" s="745"/>
      <c r="CX122" s="1574"/>
      <c r="DB122" s="750"/>
      <c r="DC122" s="687"/>
      <c r="DD122" s="1614"/>
      <c r="DE122" s="687"/>
    </row>
    <row r="123" spans="1:116" ht="13.5" thickBot="1">
      <c r="A123" s="746" t="s">
        <v>203</v>
      </c>
      <c r="B123" s="746"/>
      <c r="C123" s="747"/>
      <c r="D123" s="747"/>
      <c r="E123" s="747"/>
      <c r="F123" s="747"/>
      <c r="G123" s="747"/>
      <c r="H123" s="747"/>
      <c r="I123" s="747"/>
      <c r="J123" s="747"/>
      <c r="K123" s="747"/>
      <c r="L123" s="747"/>
      <c r="M123" s="747"/>
      <c r="N123" s="747"/>
      <c r="O123" s="747"/>
      <c r="P123" s="747"/>
      <c r="Q123" s="747"/>
      <c r="R123" s="747"/>
      <c r="S123" s="747"/>
      <c r="T123" s="747"/>
      <c r="U123" s="747"/>
      <c r="V123" s="747"/>
      <c r="W123" s="747"/>
      <c r="X123" s="747"/>
      <c r="Y123" s="747"/>
      <c r="Z123" s="747"/>
      <c r="AA123" s="747"/>
      <c r="AB123" s="747"/>
      <c r="AC123" s="747"/>
      <c r="AD123" s="747"/>
      <c r="AE123" s="747"/>
      <c r="AF123" s="747"/>
      <c r="AG123" s="747"/>
      <c r="AH123" s="747"/>
      <c r="AI123" s="747"/>
      <c r="AJ123" s="747"/>
      <c r="AK123" s="747"/>
      <c r="AL123" s="747"/>
      <c r="AM123" s="747"/>
      <c r="AN123" s="747"/>
      <c r="AO123" s="747"/>
      <c r="AP123" s="747"/>
      <c r="AQ123" s="747"/>
      <c r="AR123" s="748"/>
      <c r="AS123" s="748"/>
      <c r="AT123" s="748"/>
      <c r="AU123" s="748"/>
      <c r="AV123" s="747"/>
      <c r="AW123" s="748"/>
      <c r="AX123" s="748"/>
      <c r="AY123" s="748"/>
      <c r="AZ123" s="748"/>
      <c r="BA123" s="747"/>
      <c r="BB123" s="748"/>
      <c r="BC123" s="748"/>
      <c r="BD123" s="748"/>
      <c r="BE123" s="748"/>
      <c r="BF123" s="747"/>
      <c r="BG123" s="748"/>
      <c r="BH123" s="748"/>
      <c r="BI123" s="748"/>
      <c r="BJ123" s="1576"/>
      <c r="BK123" s="747"/>
      <c r="BL123" s="748"/>
      <c r="BM123" s="748"/>
      <c r="BN123" s="748"/>
      <c r="BO123" s="1576"/>
      <c r="BP123" s="748"/>
      <c r="BQ123" s="748"/>
      <c r="BR123" s="748"/>
      <c r="BS123" s="748"/>
      <c r="BT123" s="1576"/>
      <c r="BU123" s="748"/>
      <c r="BV123" s="748"/>
      <c r="BW123" s="748"/>
      <c r="BX123" s="748"/>
      <c r="BY123" s="1576"/>
      <c r="BZ123" s="748"/>
      <c r="CA123" s="748"/>
      <c r="CB123" s="748"/>
      <c r="CC123" s="748"/>
      <c r="CD123" s="1576"/>
      <c r="CE123" s="748"/>
      <c r="CF123" s="748"/>
      <c r="CG123" s="748"/>
      <c r="CH123" s="748"/>
      <c r="CI123" s="1576"/>
      <c r="CJ123" s="748"/>
      <c r="CK123" s="748"/>
      <c r="CL123" s="748"/>
      <c r="CM123" s="748"/>
      <c r="CN123" s="1576"/>
      <c r="CO123" s="748"/>
      <c r="CP123" s="748"/>
      <c r="CQ123" s="748"/>
      <c r="CR123" s="748"/>
      <c r="CS123" s="1576"/>
      <c r="CT123" s="748"/>
      <c r="CU123" s="748"/>
      <c r="CV123" s="748"/>
      <c r="CW123" s="748"/>
      <c r="CX123" s="1576"/>
      <c r="DB123" s="750"/>
      <c r="DC123" s="687"/>
      <c r="DD123" s="1614"/>
      <c r="DE123" s="687"/>
    </row>
    <row r="124" spans="1:116">
      <c r="A124" s="693"/>
      <c r="B124" s="693"/>
      <c r="C124" s="687"/>
      <c r="D124" s="687"/>
      <c r="E124" s="687"/>
      <c r="F124" s="687"/>
      <c r="G124" s="687"/>
      <c r="H124" s="687"/>
      <c r="I124" s="687"/>
      <c r="J124" s="687"/>
      <c r="K124" s="687"/>
      <c r="L124" s="687"/>
      <c r="M124" s="687"/>
      <c r="N124" s="687"/>
      <c r="O124" s="687"/>
      <c r="P124" s="687"/>
      <c r="Q124" s="687"/>
      <c r="R124" s="687"/>
      <c r="S124" s="687"/>
      <c r="T124" s="687"/>
      <c r="U124" s="687"/>
      <c r="V124" s="687"/>
      <c r="W124" s="687"/>
      <c r="X124" s="687"/>
      <c r="Y124" s="687"/>
      <c r="Z124" s="687"/>
      <c r="AA124" s="687"/>
      <c r="AB124" s="687"/>
      <c r="AC124" s="687"/>
      <c r="AD124" s="687"/>
      <c r="AE124" s="687"/>
      <c r="AF124" s="687"/>
      <c r="AG124" s="687"/>
      <c r="AH124" s="687"/>
      <c r="AI124" s="687"/>
      <c r="AJ124" s="687"/>
      <c r="AK124" s="687"/>
      <c r="AL124" s="687"/>
      <c r="AM124" s="687"/>
      <c r="AN124" s="687"/>
      <c r="AO124" s="687"/>
      <c r="AP124" s="687"/>
      <c r="AQ124" s="687"/>
      <c r="AR124" s="745"/>
      <c r="AS124" s="745"/>
      <c r="AT124" s="745"/>
      <c r="AU124" s="745"/>
      <c r="AV124" s="687"/>
      <c r="AW124" s="745"/>
      <c r="AX124" s="745"/>
      <c r="AY124" s="745"/>
      <c r="AZ124" s="745"/>
      <c r="BA124" s="687"/>
      <c r="BB124" s="745"/>
      <c r="BC124" s="745"/>
      <c r="BD124" s="745"/>
      <c r="BE124" s="1507"/>
      <c r="BF124" s="687"/>
      <c r="BG124" s="745"/>
      <c r="BH124" s="745"/>
      <c r="BI124" s="745"/>
      <c r="BJ124" s="1507"/>
      <c r="BK124" s="687"/>
      <c r="BL124" s="745"/>
      <c r="BM124" s="745"/>
      <c r="BN124" s="745"/>
      <c r="BO124" s="1507"/>
      <c r="BP124" s="745"/>
      <c r="BQ124" s="745"/>
      <c r="BR124" s="745"/>
      <c r="BS124" s="745"/>
      <c r="BT124" s="1507"/>
      <c r="BU124" s="745"/>
      <c r="BV124" s="745"/>
      <c r="BW124" s="745"/>
      <c r="BX124" s="745"/>
      <c r="BY124" s="1507"/>
      <c r="BZ124" s="745"/>
      <c r="CA124" s="745"/>
      <c r="CB124" s="745"/>
      <c r="CC124" s="745"/>
      <c r="CD124" s="1507"/>
      <c r="CE124" s="745"/>
      <c r="CF124" s="745"/>
      <c r="CG124" s="745"/>
      <c r="CH124" s="745"/>
      <c r="CI124" s="1507"/>
      <c r="CJ124" s="745"/>
      <c r="CK124" s="745"/>
      <c r="CL124" s="745"/>
      <c r="CM124" s="745"/>
      <c r="CN124" s="1507"/>
      <c r="CO124" s="745"/>
      <c r="CP124" s="745"/>
      <c r="CQ124" s="745"/>
      <c r="CR124" s="745"/>
      <c r="CS124" s="1507"/>
      <c r="CT124" s="745"/>
      <c r="CU124" s="745"/>
      <c r="CV124" s="745"/>
      <c r="CW124" s="745"/>
      <c r="CX124" s="1507"/>
      <c r="DB124" s="750"/>
      <c r="DC124" s="687"/>
      <c r="DD124" s="1614"/>
      <c r="DE124" s="687"/>
    </row>
    <row r="125" spans="1:116">
      <c r="A125" s="756" t="s">
        <v>791</v>
      </c>
      <c r="B125" s="756"/>
      <c r="C125" s="687"/>
      <c r="D125" s="687"/>
      <c r="E125" s="687"/>
      <c r="F125" s="687"/>
      <c r="G125" s="687"/>
      <c r="H125" s="687"/>
      <c r="I125" s="687"/>
      <c r="J125" s="687"/>
      <c r="K125" s="687"/>
      <c r="L125" s="687"/>
      <c r="M125" s="687"/>
      <c r="N125" s="687"/>
      <c r="O125" s="687"/>
      <c r="P125" s="687"/>
      <c r="Q125" s="687"/>
      <c r="R125" s="687"/>
      <c r="S125" s="687"/>
      <c r="T125" s="687"/>
      <c r="U125" s="687"/>
      <c r="V125" s="687"/>
      <c r="W125" s="687"/>
      <c r="X125" s="687"/>
      <c r="Y125" s="687"/>
      <c r="Z125" s="687"/>
      <c r="AA125" s="687"/>
      <c r="AB125" s="757">
        <f>AB17</f>
        <v>208.15899999999999</v>
      </c>
      <c r="AC125" s="757">
        <f>AC17</f>
        <v>210.18100000000001</v>
      </c>
      <c r="AD125" s="757">
        <f>AD17</f>
        <v>212.875</v>
      </c>
      <c r="AE125" s="757">
        <f>AE17</f>
        <v>219.31700000000001</v>
      </c>
      <c r="AF125" s="714" t="e">
        <f>SUM(#REF!)</f>
        <v>#REF!</v>
      </c>
      <c r="AG125" s="757">
        <f>AG17</f>
        <v>258.899</v>
      </c>
      <c r="AH125" s="757">
        <f>AH17</f>
        <v>266.39499999999998</v>
      </c>
      <c r="AI125" s="757">
        <f>AI17</f>
        <v>278.72199999999998</v>
      </c>
      <c r="AJ125" s="757">
        <f>AJ17</f>
        <v>289.75799999999998</v>
      </c>
      <c r="AK125" s="714" t="e">
        <f>SUM(#REF!)</f>
        <v>#REF!</v>
      </c>
      <c r="AL125" s="757">
        <f>AL17</f>
        <v>297.52199999999999</v>
      </c>
      <c r="AM125" s="757">
        <f>AM17</f>
        <v>300.37099999999998</v>
      </c>
      <c r="AN125" s="757">
        <f>AN17</f>
        <v>317.07100000000003</v>
      </c>
      <c r="AO125" s="757">
        <f>AO17</f>
        <v>313.03699999999998</v>
      </c>
      <c r="AP125" s="714">
        <f>AO125</f>
        <v>313.03699999999998</v>
      </c>
      <c r="AQ125" s="757">
        <f>AQ17</f>
        <v>300.37599999999998</v>
      </c>
      <c r="AR125" s="757">
        <f>AR17</f>
        <v>291.72000000000003</v>
      </c>
      <c r="AS125" s="757">
        <f>AS17</f>
        <v>335.75200000000001</v>
      </c>
      <c r="AT125" s="757">
        <f>AT17</f>
        <v>388.13200000000001</v>
      </c>
      <c r="AU125" s="725">
        <f>AT125</f>
        <v>388.13200000000001</v>
      </c>
      <c r="AV125" s="757">
        <f>AV17</f>
        <v>386.20499999999998</v>
      </c>
      <c r="AW125" s="757">
        <f>AW17</f>
        <v>407.62099999999998</v>
      </c>
      <c r="AX125" s="757">
        <f>AX17</f>
        <v>422.92</v>
      </c>
      <c r="AY125" s="757">
        <f>AY17</f>
        <v>448.88099999999997</v>
      </c>
      <c r="AZ125" s="725">
        <f>AY125</f>
        <v>448.88099999999997</v>
      </c>
      <c r="BA125" s="1505">
        <f>AY129</f>
        <v>0</v>
      </c>
      <c r="BB125" s="757">
        <f>BA129</f>
        <v>453.49700000000001</v>
      </c>
      <c r="BC125" s="757">
        <f>BB129</f>
        <v>463.41500000000002</v>
      </c>
      <c r="BD125" s="757">
        <f>BC129</f>
        <v>499.05900000000003</v>
      </c>
      <c r="BE125" s="764">
        <f>BD125</f>
        <v>499.05900000000003</v>
      </c>
      <c r="BF125" s="757">
        <f>BD129</f>
        <v>527.82799999999997</v>
      </c>
      <c r="BG125" s="757">
        <f>BF129</f>
        <v>549.78</v>
      </c>
      <c r="BH125" s="757">
        <f>BG129</f>
        <v>573.56600000000003</v>
      </c>
      <c r="BI125" s="757">
        <f>BH129</f>
        <v>619.39200000000005</v>
      </c>
      <c r="BJ125" s="764">
        <f>BD129</f>
        <v>527.82799999999997</v>
      </c>
      <c r="BK125" s="757">
        <f>BI129</f>
        <v>664.30200000000002</v>
      </c>
      <c r="BL125" s="757">
        <f>BK129</f>
        <v>686.01400000000001</v>
      </c>
      <c r="BM125" s="757">
        <f>BL129</f>
        <v>645.86500000000001</v>
      </c>
      <c r="BN125" s="757">
        <f>BM129</f>
        <v>659.74699999999996</v>
      </c>
      <c r="BO125" s="764">
        <f>BI129</f>
        <v>664.30200000000002</v>
      </c>
      <c r="BP125" s="757">
        <f>BN129</f>
        <v>659.774</v>
      </c>
      <c r="BQ125" s="757">
        <f>BP129</f>
        <v>651.08299999999997</v>
      </c>
      <c r="BR125" s="757">
        <f>BQ129</f>
        <v>642.45000000000005</v>
      </c>
      <c r="BS125" s="757">
        <f>BR129</f>
        <v>785.85599999999999</v>
      </c>
      <c r="BT125" s="764">
        <f>BN129</f>
        <v>659.774</v>
      </c>
      <c r="BU125" s="757">
        <f>BS129</f>
        <v>785.12300000000005</v>
      </c>
      <c r="BV125" s="757">
        <f>BU129</f>
        <v>784.31399999999996</v>
      </c>
      <c r="BW125" s="757">
        <f>BV129</f>
        <v>785.19899999999996</v>
      </c>
      <c r="BX125" s="757">
        <f>BW129</f>
        <v>797.46400000000006</v>
      </c>
      <c r="BY125" s="764">
        <f>BX125</f>
        <v>797.46400000000006</v>
      </c>
      <c r="BZ125" s="757">
        <f>BX129</f>
        <v>787.42100000000005</v>
      </c>
      <c r="CA125" s="757">
        <f>BZ129</f>
        <v>794.87599999999998</v>
      </c>
      <c r="CB125" s="757">
        <f>CA129</f>
        <v>796.077</v>
      </c>
      <c r="CC125" s="757">
        <f>CB129</f>
        <v>811.524</v>
      </c>
      <c r="CD125" s="764">
        <f>CC125</f>
        <v>811.524</v>
      </c>
      <c r="CE125" s="757">
        <f>CC129</f>
        <v>816.26400000000001</v>
      </c>
      <c r="CF125" s="757">
        <f>CE129</f>
        <v>821.73</v>
      </c>
      <c r="CG125" s="757">
        <f>CF129</f>
        <v>924.10799999999995</v>
      </c>
      <c r="CH125" s="757">
        <f>CG129</f>
        <v>939.80899999999997</v>
      </c>
      <c r="CI125" s="764">
        <f>CH125</f>
        <v>939.80899999999997</v>
      </c>
      <c r="CJ125" s="757">
        <f>CH129</f>
        <v>936.976</v>
      </c>
      <c r="CK125" s="758">
        <f>CJ129</f>
        <v>991.67399999999998</v>
      </c>
      <c r="CL125" s="758">
        <f>CK129</f>
        <v>1006.4853239876387</v>
      </c>
      <c r="CM125" s="758">
        <f>CL129</f>
        <v>1023.2394604593736</v>
      </c>
      <c r="CN125" s="766">
        <f>CM125</f>
        <v>1023.2394604593736</v>
      </c>
      <c r="CO125" s="758">
        <f>CM129</f>
        <v>1041.606063278897</v>
      </c>
      <c r="CP125" s="758">
        <f>CO129</f>
        <v>1061.6992091312597</v>
      </c>
      <c r="CQ125" s="758">
        <f>CP129</f>
        <v>1083.5640477580951</v>
      </c>
      <c r="CR125" s="758">
        <f>CQ129</f>
        <v>1107.3454771471429</v>
      </c>
      <c r="CS125" s="766">
        <f>CR125</f>
        <v>1107.3454771471429</v>
      </c>
      <c r="CT125" s="758">
        <f>CR129</f>
        <v>1133.1851874859879</v>
      </c>
      <c r="CU125" s="758">
        <f>CT129</f>
        <v>1161.076917755775</v>
      </c>
      <c r="CV125" s="758">
        <f>CU129</f>
        <v>1190.9992176721701</v>
      </c>
      <c r="CW125" s="758">
        <f>CV129</f>
        <v>1222.9100813585148</v>
      </c>
      <c r="CX125" s="766">
        <f>CW125</f>
        <v>1222.9100813585148</v>
      </c>
      <c r="DB125" s="750"/>
      <c r="DC125" s="687"/>
      <c r="DD125" s="1614"/>
      <c r="DE125" s="687"/>
    </row>
    <row r="126" spans="1:116" s="47" customFormat="1">
      <c r="A126" s="1502" t="s">
        <v>792</v>
      </c>
      <c r="B126" s="1503"/>
      <c r="C126" s="687"/>
      <c r="D126" s="687"/>
      <c r="E126" s="687"/>
      <c r="F126" s="687"/>
      <c r="G126" s="687"/>
      <c r="H126" s="687"/>
      <c r="I126" s="687"/>
      <c r="J126" s="687"/>
      <c r="K126" s="687"/>
      <c r="L126" s="687"/>
      <c r="M126" s="687"/>
      <c r="N126" s="687"/>
      <c r="O126" s="687"/>
      <c r="P126" s="687"/>
      <c r="Q126" s="687"/>
      <c r="R126" s="687"/>
      <c r="S126" s="687"/>
      <c r="T126" s="687"/>
      <c r="U126" s="687"/>
      <c r="V126" s="687"/>
      <c r="W126" s="687"/>
      <c r="X126" s="687"/>
      <c r="Y126" s="687"/>
      <c r="Z126" s="687"/>
      <c r="AA126" s="687"/>
      <c r="AB126" s="687"/>
      <c r="AC126" s="687"/>
      <c r="AD126" s="687"/>
      <c r="AE126" s="687"/>
      <c r="AF126" s="687"/>
      <c r="AG126" s="687">
        <f>-CF!AG89</f>
        <v>48.3</v>
      </c>
      <c r="AH126" s="687">
        <f>-CF!AH89</f>
        <v>23.484000000000009</v>
      </c>
      <c r="AI126" s="687">
        <f>-CF!AI89</f>
        <v>32.159999999999997</v>
      </c>
      <c r="AJ126" s="687">
        <f>-CF!AJ89</f>
        <v>28.130999999999986</v>
      </c>
      <c r="AK126" s="687">
        <f>SUM(AG126:AJ126)</f>
        <v>132.07499999999999</v>
      </c>
      <c r="AL126" s="687">
        <f>-CF!AL89</f>
        <v>26.268000000000001</v>
      </c>
      <c r="AM126" s="687">
        <f>-CF!AM89</f>
        <v>22.402999999999999</v>
      </c>
      <c r="AN126" s="687">
        <f>-CF!AN89</f>
        <v>39.809999999999995</v>
      </c>
      <c r="AO126" s="687">
        <f>-CF!AO89</f>
        <v>23.311000000000007</v>
      </c>
      <c r="AP126" s="687">
        <f>SUM(AL126:AO126)</f>
        <v>111.792</v>
      </c>
      <c r="AQ126" s="687">
        <f>-CF!AQ89</f>
        <v>15.916</v>
      </c>
      <c r="AR126" s="687">
        <f>-CF!AR89</f>
        <v>10.312000000000001</v>
      </c>
      <c r="AS126" s="687">
        <f>-CF!AS89</f>
        <v>58.43099999999999</v>
      </c>
      <c r="AT126" s="687">
        <f>-CF!AT89</f>
        <v>34.933</v>
      </c>
      <c r="AU126" s="1504">
        <f>SUM(AQ126:AT126)</f>
        <v>119.59199999999998</v>
      </c>
      <c r="AV126" s="687">
        <f>-CF!AV89</f>
        <v>25.547000000000001</v>
      </c>
      <c r="AW126" s="687">
        <f>-CF!AW89</f>
        <v>49.628</v>
      </c>
      <c r="AX126" s="687">
        <f>-CF!AX89</f>
        <v>6.8889999999999958</v>
      </c>
      <c r="AY126" s="687">
        <f>-CF!AY89</f>
        <v>55.426999999999992</v>
      </c>
      <c r="AZ126" s="1504">
        <f>SUM(AV126:AY126)</f>
        <v>137.49099999999999</v>
      </c>
      <c r="BA126" s="687">
        <f>-CF!BA89</f>
        <v>32.420999999999999</v>
      </c>
      <c r="BB126" s="687">
        <f>-CF!BB89</f>
        <v>37.500999999999998</v>
      </c>
      <c r="BC126" s="687">
        <f>-CF!BC89</f>
        <v>65.474999999999994</v>
      </c>
      <c r="BD126" s="687">
        <f>-CF!BD89</f>
        <v>74.896999999999991</v>
      </c>
      <c r="BE126" s="1508">
        <f>SUM(BA126:BD126)</f>
        <v>210.29399999999998</v>
      </c>
      <c r="BF126" s="687">
        <f>-CF!BF89</f>
        <v>51.088000000000001</v>
      </c>
      <c r="BG126" s="687">
        <f>-CF!BG89</f>
        <v>60.767000000000003</v>
      </c>
      <c r="BH126" s="687">
        <f>-CF!BH89</f>
        <v>77.432000000000002</v>
      </c>
      <c r="BI126" s="687">
        <f>-CF!BI89</f>
        <v>81.789000000000016</v>
      </c>
      <c r="BJ126" s="1508">
        <f>SUM(BF126:BI126)</f>
        <v>271.07600000000002</v>
      </c>
      <c r="BK126" s="687">
        <f>-CF!BK89</f>
        <v>60.19</v>
      </c>
      <c r="BL126" s="687">
        <f>-CF!BL89</f>
        <v>46.248999999999995</v>
      </c>
      <c r="BM126" s="687">
        <f>-CF!BM89</f>
        <v>46.798000000000002</v>
      </c>
      <c r="BN126" s="687">
        <f>-CF!BN89</f>
        <v>35.121000000000009</v>
      </c>
      <c r="BO126" s="1508">
        <f>SUM(BK126:BN126)</f>
        <v>188.358</v>
      </c>
      <c r="BP126" s="687">
        <f>-CF!BP89</f>
        <v>29.393000000000001</v>
      </c>
      <c r="BQ126" s="687">
        <f>-CF!BQ89</f>
        <v>27.198</v>
      </c>
      <c r="BR126" s="687">
        <f>-CF!BR89</f>
        <v>54.966000000000001</v>
      </c>
      <c r="BS126" s="687">
        <f>-CF!BS89</f>
        <v>36.774999999999991</v>
      </c>
      <c r="BT126" s="1508">
        <f>SUM(BP126:BS126)</f>
        <v>148.33199999999999</v>
      </c>
      <c r="BU126" s="687">
        <f>-CF!BU89</f>
        <v>35.545999999999999</v>
      </c>
      <c r="BV126" s="687">
        <f>-CF!BV89</f>
        <v>35.729999999999997</v>
      </c>
      <c r="BW126" s="687">
        <f>-CF!BW89</f>
        <v>48.983999999999995</v>
      </c>
      <c r="BX126" s="687">
        <f>-CF!BX89</f>
        <v>64.676000000000016</v>
      </c>
      <c r="BY126" s="1508">
        <f>SUM(BU126:BX126)</f>
        <v>184.93600000000001</v>
      </c>
      <c r="BZ126" s="687">
        <f>-CF!BZ89</f>
        <v>46.2</v>
      </c>
      <c r="CA126" s="687">
        <f>-CF!CA89</f>
        <v>53.759</v>
      </c>
      <c r="CB126" s="687">
        <f>-CF!CB89</f>
        <v>55.212999999999994</v>
      </c>
      <c r="CC126" s="687">
        <f>-CF!CC89</f>
        <v>48.63300000000001</v>
      </c>
      <c r="CD126" s="1508">
        <f>SUM(BZ126:CC126)</f>
        <v>203.80500000000001</v>
      </c>
      <c r="CE126" s="687">
        <f>-CF!CE89</f>
        <v>30.902999999999999</v>
      </c>
      <c r="CF126" s="687">
        <f>-CF!CF89</f>
        <v>55.297000000000004</v>
      </c>
      <c r="CG126" s="687">
        <f>-CF!CG89</f>
        <v>54.237999999999985</v>
      </c>
      <c r="CH126" s="687">
        <f>-CF!CH89</f>
        <v>37.684000000000026</v>
      </c>
      <c r="CI126" s="1508">
        <f>SUM(CE126:CH126)</f>
        <v>178.12200000000001</v>
      </c>
      <c r="CJ126" s="687">
        <f>-CF!CJ89</f>
        <v>95.141999999999996</v>
      </c>
      <c r="CK126" s="745">
        <f>CK130*Model!CK180</f>
        <v>56.711323987638806</v>
      </c>
      <c r="CL126" s="745">
        <f>CL130*Model!CL180</f>
        <v>59.654136471734816</v>
      </c>
      <c r="CM126" s="745">
        <f>CM130*Model!CM180</f>
        <v>62.266602819523477</v>
      </c>
      <c r="CN126" s="1515">
        <f>SUM(CJ126:CM126)</f>
        <v>273.77406327889713</v>
      </c>
      <c r="CO126" s="745">
        <f>CO130*Model!CO180</f>
        <v>64.993145852362787</v>
      </c>
      <c r="CP126" s="745">
        <f>CP130*Model!CP180</f>
        <v>67.764838626835427</v>
      </c>
      <c r="CQ126" s="745">
        <f>CQ130*Model!CQ180</f>
        <v>70.681429389047821</v>
      </c>
      <c r="CR126" s="745">
        <f>CR130*Model!CR180</f>
        <v>73.739710338845114</v>
      </c>
      <c r="CS126" s="1515">
        <f>SUM(CO126:CR126)</f>
        <v>277.17912420709115</v>
      </c>
      <c r="CT126" s="745">
        <f>CT130*Model!CT180</f>
        <v>76.791730269787124</v>
      </c>
      <c r="CU126" s="745">
        <f>CU130*Model!CU180</f>
        <v>79.82229991639521</v>
      </c>
      <c r="CV126" s="745">
        <f>CV130*Model!CV180</f>
        <v>82.810863686344973</v>
      </c>
      <c r="CW126" s="745">
        <f>CW130*Model!CW180</f>
        <v>85.78570128453147</v>
      </c>
      <c r="CX126" s="1515">
        <f>SUM(CT126:CW126)</f>
        <v>325.21059515705878</v>
      </c>
      <c r="CY126"/>
      <c r="CZ126"/>
      <c r="DA126"/>
      <c r="DB126" s="750"/>
      <c r="DC126" s="687"/>
      <c r="DD126" s="1614"/>
      <c r="DE126" s="687"/>
      <c r="DF126"/>
      <c r="DG126"/>
      <c r="DH126"/>
      <c r="DI126"/>
      <c r="DJ126"/>
      <c r="DK126"/>
    </row>
    <row r="127" spans="1:116">
      <c r="A127" s="1502" t="s">
        <v>793</v>
      </c>
      <c r="B127" s="756"/>
      <c r="C127" s="687"/>
      <c r="D127" s="687"/>
      <c r="E127" s="687"/>
      <c r="F127" s="687"/>
      <c r="G127" s="687"/>
      <c r="H127" s="687"/>
      <c r="I127" s="687"/>
      <c r="J127" s="687"/>
      <c r="K127" s="687"/>
      <c r="L127" s="687"/>
      <c r="M127" s="687"/>
      <c r="N127" s="687"/>
      <c r="O127" s="687"/>
      <c r="P127" s="687"/>
      <c r="Q127" s="687"/>
      <c r="R127" s="687"/>
      <c r="S127" s="687"/>
      <c r="T127" s="687"/>
      <c r="U127" s="687"/>
      <c r="V127" s="687"/>
      <c r="W127" s="687"/>
      <c r="X127" s="687"/>
      <c r="Y127" s="687"/>
      <c r="Z127" s="687"/>
      <c r="AA127" s="687"/>
      <c r="AB127" s="757"/>
      <c r="AC127" s="757"/>
      <c r="AD127" s="757"/>
      <c r="AE127" s="757"/>
      <c r="AF127" s="714"/>
      <c r="AG127" s="757"/>
      <c r="AH127" s="757"/>
      <c r="AI127" s="757"/>
      <c r="AJ127" s="757"/>
      <c r="AK127" s="714"/>
      <c r="AL127" s="757"/>
      <c r="AM127" s="757"/>
      <c r="AN127" s="757"/>
      <c r="AO127" s="757"/>
      <c r="AP127" s="714"/>
      <c r="AQ127" s="757"/>
      <c r="AR127" s="757"/>
      <c r="AS127" s="757"/>
      <c r="AT127" s="757"/>
      <c r="AU127" s="725"/>
      <c r="AV127" s="757"/>
      <c r="AW127" s="757"/>
      <c r="AX127" s="757"/>
      <c r="AY127" s="757"/>
      <c r="AZ127" s="725"/>
      <c r="BA127" s="757"/>
      <c r="BB127" s="757"/>
      <c r="BC127" s="757"/>
      <c r="BD127" s="757"/>
      <c r="BE127" s="1508"/>
      <c r="BF127" s="755">
        <f>$BJ$127/4</f>
        <v>-33.6</v>
      </c>
      <c r="BG127" s="755">
        <f>$BJ$127/4</f>
        <v>-33.6</v>
      </c>
      <c r="BH127" s="755">
        <f>$BJ$127/4</f>
        <v>-33.6</v>
      </c>
      <c r="BI127" s="755">
        <f>$BJ$127/4</f>
        <v>-33.6</v>
      </c>
      <c r="BJ127" s="1510">
        <v>-134.4</v>
      </c>
      <c r="BK127" s="755">
        <f>$BO$127/4</f>
        <v>-36.174999999999997</v>
      </c>
      <c r="BL127" s="755">
        <f>$BO$127/4</f>
        <v>-36.174999999999997</v>
      </c>
      <c r="BM127" s="755">
        <f>$BO$127/4</f>
        <v>-36.174999999999997</v>
      </c>
      <c r="BN127" s="755">
        <f>$BO$127/4</f>
        <v>-36.174999999999997</v>
      </c>
      <c r="BO127" s="1510">
        <v>-144.69999999999999</v>
      </c>
      <c r="BP127" s="755">
        <f>$BT$127/4</f>
        <v>-36.049999999999997</v>
      </c>
      <c r="BQ127" s="755">
        <f>$BT$127/4</f>
        <v>-36.049999999999997</v>
      </c>
      <c r="BR127" s="755">
        <f>$BT$127/4</f>
        <v>-36.049999999999997</v>
      </c>
      <c r="BS127" s="755">
        <f>$BT$127/4</f>
        <v>-36.049999999999997</v>
      </c>
      <c r="BT127" s="1510">
        <v>-144.19999999999999</v>
      </c>
      <c r="BU127" s="1506">
        <v>-36.5</v>
      </c>
      <c r="BV127" s="755">
        <f>BU127-1</f>
        <v>-37.5</v>
      </c>
      <c r="BW127" s="755">
        <f>$BT$127/4</f>
        <v>-36.049999999999997</v>
      </c>
      <c r="BX127" s="755">
        <f>$BT$127/4</f>
        <v>-36.049999999999997</v>
      </c>
      <c r="BY127" s="1510">
        <v>-146.30000000000001</v>
      </c>
      <c r="BZ127" s="1506">
        <f>BY127/4</f>
        <v>-36.575000000000003</v>
      </c>
      <c r="CA127" s="1696">
        <f>BZ127-1</f>
        <v>-37.575000000000003</v>
      </c>
      <c r="CB127" s="1696">
        <f>CA127-1</f>
        <v>-38.575000000000003</v>
      </c>
      <c r="CC127" s="1506">
        <f>CB127-1</f>
        <v>-39.575000000000003</v>
      </c>
      <c r="CD127" s="1510">
        <f>+-157.6</f>
        <v>-157.6</v>
      </c>
      <c r="CE127" s="1506">
        <f>CD127/4</f>
        <v>-39.4</v>
      </c>
      <c r="CF127" s="1696">
        <f>CE127-1</f>
        <v>-40.4</v>
      </c>
      <c r="CG127" s="1696">
        <f>CF127-1</f>
        <v>-41.4</v>
      </c>
      <c r="CH127" s="1696">
        <f>CG127-1</f>
        <v>-42.4</v>
      </c>
      <c r="CI127" s="1510">
        <f>SUM(CE127:CH127)</f>
        <v>-163.6</v>
      </c>
      <c r="CJ127" s="1506">
        <f>CI127/4</f>
        <v>-40.9</v>
      </c>
      <c r="CK127" s="1506">
        <f>CJ127-1</f>
        <v>-41.9</v>
      </c>
      <c r="CL127" s="1506">
        <f>CK127-1</f>
        <v>-42.9</v>
      </c>
      <c r="CM127" s="1506">
        <f>CL127-1</f>
        <v>-43.9</v>
      </c>
      <c r="CN127" s="1517">
        <f>SUM(CJ127:CM127)</f>
        <v>-169.6</v>
      </c>
      <c r="CO127" s="1506">
        <f>CM127-1</f>
        <v>-44.9</v>
      </c>
      <c r="CP127" s="1506">
        <f>CO127-1</f>
        <v>-45.9</v>
      </c>
      <c r="CQ127" s="1506">
        <f>CP127-1</f>
        <v>-46.9</v>
      </c>
      <c r="CR127" s="1506">
        <f>CQ127-1</f>
        <v>-47.9</v>
      </c>
      <c r="CS127" s="1517">
        <f>SUM(CO127:CR127)</f>
        <v>-185.6</v>
      </c>
      <c r="CT127" s="1506">
        <f>CR127-1</f>
        <v>-48.9</v>
      </c>
      <c r="CU127" s="1506">
        <f>CT127-1</f>
        <v>-49.9</v>
      </c>
      <c r="CV127" s="1506">
        <f>CU127-1</f>
        <v>-50.9</v>
      </c>
      <c r="CW127" s="1506">
        <f>CV127-1</f>
        <v>-51.9</v>
      </c>
      <c r="CX127" s="1517">
        <f>SUM(CT127:CW127)</f>
        <v>-201.6</v>
      </c>
      <c r="DB127" s="750"/>
      <c r="DC127" s="687"/>
      <c r="DD127" s="1614"/>
      <c r="DE127" s="687"/>
    </row>
    <row r="128" spans="1:116">
      <c r="A128" s="1502" t="s">
        <v>631</v>
      </c>
      <c r="B128" s="756"/>
      <c r="C128" s="687"/>
      <c r="D128" s="687"/>
      <c r="E128" s="687"/>
      <c r="F128" s="687"/>
      <c r="G128" s="687"/>
      <c r="H128" s="687"/>
      <c r="I128" s="687"/>
      <c r="J128" s="687"/>
      <c r="K128" s="687"/>
      <c r="L128" s="687"/>
      <c r="M128" s="687"/>
      <c r="N128" s="687"/>
      <c r="O128" s="687"/>
      <c r="P128" s="687"/>
      <c r="Q128" s="687"/>
      <c r="R128" s="687"/>
      <c r="S128" s="687"/>
      <c r="T128" s="687"/>
      <c r="U128" s="687"/>
      <c r="V128" s="687"/>
      <c r="W128" s="687"/>
      <c r="X128" s="687"/>
      <c r="Y128" s="687"/>
      <c r="Z128" s="687"/>
      <c r="AA128" s="687"/>
      <c r="AB128" s="757"/>
      <c r="AC128" s="757"/>
      <c r="AD128" s="757"/>
      <c r="AE128" s="757"/>
      <c r="AF128" s="714"/>
      <c r="AG128" s="757"/>
      <c r="AH128" s="757"/>
      <c r="AI128" s="757"/>
      <c r="AJ128" s="757"/>
      <c r="AK128" s="714"/>
      <c r="AL128" s="757"/>
      <c r="AM128" s="757"/>
      <c r="AN128" s="757"/>
      <c r="AO128" s="757"/>
      <c r="AP128" s="714"/>
      <c r="AQ128" s="757"/>
      <c r="AR128" s="757"/>
      <c r="AS128" s="757"/>
      <c r="AT128" s="757"/>
      <c r="AU128" s="725"/>
      <c r="AV128" s="757"/>
      <c r="AW128" s="757"/>
      <c r="AX128" s="757"/>
      <c r="AY128" s="757"/>
      <c r="AZ128" s="725"/>
      <c r="BA128" s="757"/>
      <c r="BB128" s="757"/>
      <c r="BC128" s="757"/>
      <c r="BD128" s="757"/>
      <c r="BE128" s="764"/>
      <c r="BF128" s="1511">
        <f t="shared" ref="BF128:BU128" si="136">BF129-SUM(BF125:BF127)</f>
        <v>4.4640000000000555</v>
      </c>
      <c r="BG128" s="1512">
        <f t="shared" si="136"/>
        <v>-3.3809999999999718</v>
      </c>
      <c r="BH128" s="1512">
        <f t="shared" si="136"/>
        <v>1.9940000000000282</v>
      </c>
      <c r="BI128" s="1512">
        <f t="shared" si="136"/>
        <v>-3.2789999999999964</v>
      </c>
      <c r="BJ128" s="1513">
        <f t="shared" si="136"/>
        <v>-0.20199999999999818</v>
      </c>
      <c r="BK128" s="1512">
        <f t="shared" si="136"/>
        <v>-2.3029999999999973</v>
      </c>
      <c r="BL128" s="1512">
        <f t="shared" si="136"/>
        <v>-50.22300000000007</v>
      </c>
      <c r="BM128" s="1512">
        <f t="shared" si="136"/>
        <v>3.2589999999999009</v>
      </c>
      <c r="BN128" s="1512">
        <f t="shared" si="136"/>
        <v>1.0810000000000173</v>
      </c>
      <c r="BO128" s="1513">
        <f t="shared" si="136"/>
        <v>-48.186000000000035</v>
      </c>
      <c r="BP128" s="1512">
        <f t="shared" si="136"/>
        <v>-2.0340000000001055</v>
      </c>
      <c r="BQ128" s="1512">
        <f t="shared" si="136"/>
        <v>0.21900000000005093</v>
      </c>
      <c r="BR128" s="1512">
        <f t="shared" si="136"/>
        <v>124.4899999999999</v>
      </c>
      <c r="BS128" s="1512">
        <f t="shared" si="136"/>
        <v>-1.45799999999997</v>
      </c>
      <c r="BT128" s="1513">
        <f t="shared" si="136"/>
        <v>121.2170000000001</v>
      </c>
      <c r="BU128" s="1512">
        <f t="shared" si="136"/>
        <v>0.14499999999986812</v>
      </c>
      <c r="BV128" s="1512">
        <f>BV129-SUM(BV125:BV127)</f>
        <v>2.6549999999999727</v>
      </c>
      <c r="BW128" s="1512">
        <f>BW129-SUM(BW125:BW127)</f>
        <v>-0.66899999999998272</v>
      </c>
      <c r="BX128" s="1512">
        <f>BX129-SUM(BX125:BX127)</f>
        <v>-38.669000000000096</v>
      </c>
      <c r="BY128" s="1513">
        <f>SUM(BU128:BX128)</f>
        <v>-36.538000000000238</v>
      </c>
      <c r="BZ128" s="1514"/>
      <c r="CA128" s="1512">
        <f>CA129-SUM(CA125:CA127)</f>
        <v>-14.982999999999947</v>
      </c>
      <c r="CB128" s="1512">
        <f>CB129-SUM(CB125:CB127)</f>
        <v>-1.1909999999999172</v>
      </c>
      <c r="CC128" s="1512">
        <f>CC129-SUM(CC125:CC127)</f>
        <v>-4.3179999999999836</v>
      </c>
      <c r="CD128" s="1513">
        <f>SUM(BZ128:CC128)</f>
        <v>-20.491999999999848</v>
      </c>
      <c r="CE128" s="1512">
        <f>CE129-SUM(CE125:CE127)</f>
        <v>13.962999999999965</v>
      </c>
      <c r="CF128" s="1512">
        <f>CF129-SUM(CF125:CF127)</f>
        <v>87.480999999999881</v>
      </c>
      <c r="CG128" s="1512">
        <f>CG129-SUM(CG125:CG127)</f>
        <v>2.8630000000000564</v>
      </c>
      <c r="CH128" s="1512">
        <f>CH129-SUM(CH125:CH127)</f>
        <v>1.8830000000000382</v>
      </c>
      <c r="CI128" s="1513">
        <f>SUM(CE128:CH128)</f>
        <v>106.18999999999994</v>
      </c>
      <c r="CJ128" s="1512">
        <f>CJ129-SUM(CJ125:CJ127)</f>
        <v>0.45600000000001728</v>
      </c>
      <c r="CK128" s="1514"/>
      <c r="CL128" s="1514"/>
      <c r="CM128" s="1514"/>
      <c r="CN128" s="1518">
        <f>SUM(CJ128:CM128)</f>
        <v>0.45600000000001728</v>
      </c>
      <c r="CO128" s="1514"/>
      <c r="CP128" s="1514"/>
      <c r="CQ128" s="1514"/>
      <c r="CR128" s="1514"/>
      <c r="CS128" s="1518">
        <f>SUM(CO128:CR128)</f>
        <v>0</v>
      </c>
      <c r="CT128" s="1514"/>
      <c r="CU128" s="1514"/>
      <c r="CV128" s="1514"/>
      <c r="CW128" s="1514"/>
      <c r="CX128" s="1518">
        <f>SUM(CT128:CW128)</f>
        <v>0</v>
      </c>
      <c r="DB128" s="750"/>
      <c r="DC128" s="687"/>
      <c r="DD128" s="1614"/>
      <c r="DE128" s="687"/>
    </row>
    <row r="129" spans="1:115">
      <c r="A129" s="756" t="s">
        <v>794</v>
      </c>
      <c r="B129" s="756"/>
      <c r="C129" s="687"/>
      <c r="D129" s="687"/>
      <c r="E129" s="687"/>
      <c r="F129" s="687"/>
      <c r="G129" s="687"/>
      <c r="H129" s="687"/>
      <c r="I129" s="687"/>
      <c r="J129" s="687"/>
      <c r="K129" s="687"/>
      <c r="L129" s="687"/>
      <c r="M129" s="687"/>
      <c r="N129" s="687"/>
      <c r="O129" s="687"/>
      <c r="P129" s="687"/>
      <c r="Q129" s="687"/>
      <c r="R129" s="687"/>
      <c r="S129" s="687"/>
      <c r="T129" s="687"/>
      <c r="U129" s="687"/>
      <c r="V129" s="687"/>
      <c r="W129" s="687"/>
      <c r="X129" s="687"/>
      <c r="Y129" s="687"/>
      <c r="Z129" s="687"/>
      <c r="AA129" s="687"/>
      <c r="AB129" s="757"/>
      <c r="AC129" s="757"/>
      <c r="AD129" s="757"/>
      <c r="AE129" s="757"/>
      <c r="AF129" s="714"/>
      <c r="AG129" s="757"/>
      <c r="AH129" s="757"/>
      <c r="AI129" s="757"/>
      <c r="AJ129" s="757"/>
      <c r="AK129" s="714"/>
      <c r="AL129" s="757"/>
      <c r="AM129" s="757"/>
      <c r="AN129" s="757"/>
      <c r="AO129" s="757"/>
      <c r="AP129" s="714"/>
      <c r="AQ129" s="757"/>
      <c r="AR129" s="757"/>
      <c r="AS129" s="757"/>
      <c r="AT129" s="757"/>
      <c r="AU129" s="725"/>
      <c r="AV129" s="757"/>
      <c r="AW129" s="757"/>
      <c r="AX129" s="757"/>
      <c r="AY129" s="757"/>
      <c r="AZ129" s="725"/>
      <c r="BA129" s="757">
        <f>BA17</f>
        <v>453.49700000000001</v>
      </c>
      <c r="BB129" s="757">
        <f>BB17</f>
        <v>463.41500000000002</v>
      </c>
      <c r="BC129" s="757">
        <f>BC17</f>
        <v>499.05900000000003</v>
      </c>
      <c r="BD129" s="757">
        <f>BD17</f>
        <v>527.82799999999997</v>
      </c>
      <c r="BE129" s="764"/>
      <c r="BF129" s="757">
        <f>BF17</f>
        <v>549.78</v>
      </c>
      <c r="BG129" s="757">
        <f>BG17</f>
        <v>573.56600000000003</v>
      </c>
      <c r="BH129" s="757">
        <f>BH17</f>
        <v>619.39200000000005</v>
      </c>
      <c r="BI129" s="757">
        <f>BI17</f>
        <v>664.30200000000002</v>
      </c>
      <c r="BJ129" s="764">
        <f>BI129</f>
        <v>664.30200000000002</v>
      </c>
      <c r="BK129" s="757">
        <f>BK17</f>
        <v>686.01400000000001</v>
      </c>
      <c r="BL129" s="757">
        <f>BL17</f>
        <v>645.86500000000001</v>
      </c>
      <c r="BM129" s="757">
        <f>BM17</f>
        <v>659.74699999999996</v>
      </c>
      <c r="BN129" s="757">
        <f>BN17</f>
        <v>659.774</v>
      </c>
      <c r="BO129" s="764">
        <f>BN129</f>
        <v>659.774</v>
      </c>
      <c r="BP129" s="757">
        <f>BP17</f>
        <v>651.08299999999997</v>
      </c>
      <c r="BQ129" s="757">
        <f>BQ17</f>
        <v>642.45000000000005</v>
      </c>
      <c r="BR129" s="757">
        <f>BR17</f>
        <v>785.85599999999999</v>
      </c>
      <c r="BS129" s="757">
        <f>BS17</f>
        <v>785.12300000000005</v>
      </c>
      <c r="BT129" s="764">
        <f>BS129</f>
        <v>785.12300000000005</v>
      </c>
      <c r="BU129" s="757">
        <f>BU17</f>
        <v>784.31399999999996</v>
      </c>
      <c r="BV129" s="757">
        <f>BV17</f>
        <v>785.19899999999996</v>
      </c>
      <c r="BW129" s="757">
        <f>BW17</f>
        <v>797.46400000000006</v>
      </c>
      <c r="BX129" s="757">
        <f>BX17</f>
        <v>787.42100000000005</v>
      </c>
      <c r="BY129" s="764">
        <f t="shared" ref="BY129:CN129" si="137">SUM(BY125:BY128)</f>
        <v>799.5619999999999</v>
      </c>
      <c r="BZ129" s="757">
        <f>BZ17</f>
        <v>794.87599999999998</v>
      </c>
      <c r="CA129" s="757">
        <f>CA17</f>
        <v>796.077</v>
      </c>
      <c r="CB129" s="757">
        <f>CB17</f>
        <v>811.524</v>
      </c>
      <c r="CC129" s="757">
        <f>CC17</f>
        <v>816.26400000000001</v>
      </c>
      <c r="CD129" s="764">
        <f t="shared" ref="CD129" si="138">SUM(CD125:CD128)</f>
        <v>837.23700000000008</v>
      </c>
      <c r="CE129" s="757">
        <f>CE17</f>
        <v>821.73</v>
      </c>
      <c r="CF129" s="757">
        <f>CF17</f>
        <v>924.10799999999995</v>
      </c>
      <c r="CG129" s="757">
        <f>CG17</f>
        <v>939.80899999999997</v>
      </c>
      <c r="CH129" s="757">
        <f>CH17</f>
        <v>936.976</v>
      </c>
      <c r="CI129" s="764">
        <f t="shared" si="137"/>
        <v>1060.521</v>
      </c>
      <c r="CJ129" s="757">
        <f>CJ17</f>
        <v>991.67399999999998</v>
      </c>
      <c r="CK129" s="758">
        <f t="shared" si="137"/>
        <v>1006.4853239876387</v>
      </c>
      <c r="CL129" s="758">
        <f t="shared" si="137"/>
        <v>1023.2394604593736</v>
      </c>
      <c r="CM129" s="758">
        <f t="shared" si="137"/>
        <v>1041.606063278897</v>
      </c>
      <c r="CN129" s="766">
        <f t="shared" si="137"/>
        <v>1127.8695237382708</v>
      </c>
      <c r="CO129" s="758">
        <f t="shared" ref="CO129:CX129" si="139">SUM(CO125:CO128)</f>
        <v>1061.6992091312597</v>
      </c>
      <c r="CP129" s="758">
        <f t="shared" si="139"/>
        <v>1083.5640477580951</v>
      </c>
      <c r="CQ129" s="758">
        <f t="shared" si="139"/>
        <v>1107.3454771471429</v>
      </c>
      <c r="CR129" s="758">
        <f t="shared" si="139"/>
        <v>1133.1851874859879</v>
      </c>
      <c r="CS129" s="766">
        <f t="shared" si="139"/>
        <v>1198.9246013542343</v>
      </c>
      <c r="CT129" s="758">
        <f t="shared" si="139"/>
        <v>1161.076917755775</v>
      </c>
      <c r="CU129" s="758">
        <f t="shared" si="139"/>
        <v>1190.9992176721701</v>
      </c>
      <c r="CV129" s="758">
        <f t="shared" si="139"/>
        <v>1222.9100813585148</v>
      </c>
      <c r="CW129" s="758">
        <f t="shared" si="139"/>
        <v>1256.7957826430463</v>
      </c>
      <c r="CX129" s="766">
        <f t="shared" si="139"/>
        <v>1346.5206765155738</v>
      </c>
      <c r="DB129" s="750"/>
      <c r="DC129" s="687"/>
      <c r="DD129" s="1614"/>
      <c r="DE129" s="687"/>
    </row>
    <row r="130" spans="1:115">
      <c r="A130" s="1215" t="s">
        <v>508</v>
      </c>
      <c r="B130" s="1215"/>
      <c r="C130" s="433"/>
      <c r="D130" s="433"/>
      <c r="E130" s="433"/>
      <c r="F130" s="433"/>
      <c r="G130" s="433"/>
      <c r="H130" s="433"/>
      <c r="I130" s="433"/>
      <c r="J130" s="433"/>
      <c r="K130" s="433"/>
      <c r="L130" s="433"/>
      <c r="M130" s="433"/>
      <c r="N130" s="433"/>
      <c r="O130" s="433"/>
      <c r="P130" s="433"/>
      <c r="Q130" s="433"/>
      <c r="R130" s="433"/>
      <c r="S130" s="433"/>
      <c r="T130" s="433"/>
      <c r="U130" s="433"/>
      <c r="V130" s="433"/>
      <c r="W130" s="433"/>
      <c r="X130" s="433"/>
      <c r="Y130" s="433"/>
      <c r="Z130" s="433"/>
      <c r="AA130" s="433"/>
      <c r="AB130" s="433"/>
      <c r="AC130" s="433"/>
      <c r="AD130" s="433"/>
      <c r="AE130" s="433"/>
      <c r="AF130" s="433"/>
      <c r="AG130" s="433">
        <f>AG126/Model!AG180</f>
        <v>1.8799414143309136E-2</v>
      </c>
      <c r="AH130" s="433">
        <f>AH126/Model!AH180</f>
        <v>8.7648123612070142E-3</v>
      </c>
      <c r="AI130" s="433">
        <f>AI126/Model!AI180</f>
        <v>1.0980437681065401E-2</v>
      </c>
      <c r="AJ130" s="433">
        <f>AJ126/Model!AJ180</f>
        <v>8.9081887506210593E-3</v>
      </c>
      <c r="AK130" s="433"/>
      <c r="AL130" s="433">
        <f>AL126/Model!AL180</f>
        <v>7.7283395102972453E-3</v>
      </c>
      <c r="AM130" s="433">
        <f>AM126/Model!AM180</f>
        <v>6.3281234993904341E-3</v>
      </c>
      <c r="AN130" s="433">
        <f>AN126/Model!AN180</f>
        <v>1.1133176109730998E-2</v>
      </c>
      <c r="AO130" s="433">
        <f>AO126/Model!AO180</f>
        <v>6.5116544116312E-3</v>
      </c>
      <c r="AP130" s="433"/>
      <c r="AQ130" s="433">
        <f>AQ126/Model!AQ180</f>
        <v>4.5790449141126996E-3</v>
      </c>
      <c r="AR130" s="433">
        <f>AR126/Model!AR180</f>
        <v>3.1309006106045598E-3</v>
      </c>
      <c r="AS130" s="433">
        <f>AS126/Model!AS180</f>
        <v>1.8825202464922024E-2</v>
      </c>
      <c r="AT130" s="433">
        <f>AT126/Model!AT180</f>
        <v>1.1858364962542257E-2</v>
      </c>
      <c r="AU130" s="1216"/>
      <c r="AV130" s="433">
        <f>AV126/Model!AV180</f>
        <v>8.4644202450298404E-3</v>
      </c>
      <c r="AW130" s="433">
        <f>AW126/Model!AW180</f>
        <v>1.523955750378087E-2</v>
      </c>
      <c r="AX130" s="433">
        <f>AX126/Model!AX180</f>
        <v>1.940925868690405E-3</v>
      </c>
      <c r="AY130" s="433">
        <f>AY126/Model!AY180</f>
        <v>1.4586052631578946E-2</v>
      </c>
      <c r="AZ130" s="1216"/>
      <c r="BA130" s="433">
        <f>BA126/Model!BA180</f>
        <v>8.1685439628965042E-3</v>
      </c>
      <c r="BB130" s="433">
        <f>BB126/Model!BB180</f>
        <v>9.2614499339367506E-3</v>
      </c>
      <c r="BC130" s="433">
        <f>BC126/Model!BC180</f>
        <v>1.6079152405807106E-2</v>
      </c>
      <c r="BD130" s="433">
        <f>BD126/Model!BD180</f>
        <v>1.7763856006914186E-2</v>
      </c>
      <c r="BE130" s="1509"/>
      <c r="BF130" s="433">
        <f>BF126/Model!BF180</f>
        <v>1.2066781111500573E-2</v>
      </c>
      <c r="BG130" s="433">
        <f>BG126/Model!BG180</f>
        <v>1.4017626588162239E-2</v>
      </c>
      <c r="BH130" s="433">
        <f>BH126/Model!BH180</f>
        <v>1.7588548090704866E-2</v>
      </c>
      <c r="BI130" s="433">
        <f>BI126/Model!BI180</f>
        <v>1.8572888066041179E-2</v>
      </c>
      <c r="BJ130" s="1509"/>
      <c r="BK130" s="433">
        <f>BK126/Model!BK180</f>
        <v>1.3785032281114802E-2</v>
      </c>
      <c r="BL130" s="433">
        <f>BL126/Model!BL180</f>
        <v>1.0875899191756241E-2</v>
      </c>
      <c r="BM130" s="433">
        <f>BM126/Model!BM180</f>
        <v>1.1230705100037942E-2</v>
      </c>
      <c r="BN130" s="433">
        <f>BN126/Model!BN180</f>
        <v>8.6606464722186628E-3</v>
      </c>
      <c r="BO130" s="1509"/>
      <c r="BP130" s="433">
        <f>BP126/Model!BP180</f>
        <v>7.2620369132748294E-3</v>
      </c>
      <c r="BQ130" s="433">
        <f>BQ126/Model!BQ180</f>
        <v>6.6253429232480407E-3</v>
      </c>
      <c r="BR130" s="433">
        <f>BR126/Model!BR180</f>
        <v>1.3356057535580678E-2</v>
      </c>
      <c r="BS130" s="433">
        <f>BS126/Model!BS180</f>
        <v>8.8677172892153815E-3</v>
      </c>
      <c r="BT130" s="1509"/>
      <c r="BU130" s="433">
        <f>BU126/Model!BU180</f>
        <v>8.3517264291517682E-3</v>
      </c>
      <c r="BV130" s="433">
        <f>BV126/Model!BV180</f>
        <v>8.2136496006046788E-3</v>
      </c>
      <c r="BW130" s="433">
        <f>BW126/Model!BW180</f>
        <v>1.0736372134616713E-2</v>
      </c>
      <c r="BX130" s="433">
        <f>BX126/Model!BX180</f>
        <v>1.348677961535278E-2</v>
      </c>
      <c r="BY130" s="1509"/>
      <c r="BZ130" s="433">
        <f>BZ126/Model!BZ180</f>
        <v>9.1130281783904869E-3</v>
      </c>
      <c r="CA130" s="433">
        <f>CA126/Model!CA180</f>
        <v>1.0131325223096836E-2</v>
      </c>
      <c r="CB130" s="433">
        <f>CB126/Model!CB180</f>
        <v>9.9439613213349494E-3</v>
      </c>
      <c r="CC130" s="433">
        <f>CC126/Model!CC180</f>
        <v>8.3070427009973649E-3</v>
      </c>
      <c r="CD130" s="1516"/>
      <c r="CE130" s="433">
        <f>CE126/Model!CE180</f>
        <v>5.0226395032717938E-3</v>
      </c>
      <c r="CF130" s="433">
        <f>CF126/Model!CF180</f>
        <v>8.4730491852713571E-3</v>
      </c>
      <c r="CG130" s="433">
        <f>CG126/Model!CG180</f>
        <v>4.8968442268510605E-3</v>
      </c>
      <c r="CH130" s="433">
        <f>CH126/Model!CH180</f>
        <v>3.3103341650748521E-3</v>
      </c>
      <c r="CI130" s="1516"/>
      <c r="CJ130" s="433">
        <f>CJ126/Model!CJ180</f>
        <v>1.2358020191702452E-2</v>
      </c>
      <c r="CK130" s="434">
        <v>7.0000000000000001E-3</v>
      </c>
      <c r="CL130" s="434">
        <v>7.0000000000000001E-3</v>
      </c>
      <c r="CM130" s="434">
        <v>7.0000000000000001E-3</v>
      </c>
      <c r="CN130" s="1516"/>
      <c r="CO130" s="434">
        <v>7.0000000000000001E-3</v>
      </c>
      <c r="CP130" s="434">
        <v>7.0000000000000001E-3</v>
      </c>
      <c r="CQ130" s="434">
        <v>7.0000000000000001E-3</v>
      </c>
      <c r="CR130" s="434">
        <v>7.0000000000000001E-3</v>
      </c>
      <c r="CS130" s="1516"/>
      <c r="CT130" s="434">
        <v>7.0000000000000001E-3</v>
      </c>
      <c r="CU130" s="434">
        <v>7.0000000000000001E-3</v>
      </c>
      <c r="CV130" s="434">
        <v>7.0000000000000001E-3</v>
      </c>
      <c r="CW130" s="434">
        <v>7.0000000000000001E-3</v>
      </c>
      <c r="CX130" s="1516"/>
      <c r="DB130" s="1218"/>
      <c r="DC130" s="433"/>
      <c r="DD130" s="1614"/>
      <c r="DE130" s="433"/>
    </row>
    <row r="131" spans="1:115">
      <c r="B131" s="762"/>
      <c r="C131" s="433"/>
      <c r="D131" s="687"/>
      <c r="E131" s="687"/>
      <c r="F131" s="687"/>
      <c r="G131" s="687"/>
      <c r="H131" s="687"/>
      <c r="I131" s="687"/>
      <c r="J131" s="687"/>
      <c r="K131" s="687"/>
      <c r="L131" s="687"/>
      <c r="M131" s="687"/>
      <c r="N131" s="687"/>
      <c r="O131" s="687"/>
      <c r="P131" s="687"/>
      <c r="Q131" s="687"/>
      <c r="R131" s="687"/>
      <c r="S131" s="687"/>
      <c r="T131" s="687"/>
      <c r="U131" s="687"/>
      <c r="V131" s="687"/>
      <c r="W131" s="687"/>
      <c r="X131" s="687"/>
      <c r="Y131" s="687"/>
      <c r="Z131" s="687"/>
      <c r="AA131" s="687"/>
      <c r="AB131" s="687"/>
      <c r="AC131" s="687"/>
      <c r="AD131" s="687"/>
      <c r="AE131" s="687"/>
      <c r="AF131" s="687"/>
      <c r="AG131" s="710"/>
      <c r="AH131" s="710"/>
      <c r="AI131" s="710"/>
      <c r="AJ131" s="710"/>
      <c r="AK131" s="710"/>
      <c r="AL131" s="710"/>
      <c r="AM131" s="710"/>
      <c r="AN131" s="710"/>
      <c r="AO131" s="710"/>
      <c r="AP131" s="710"/>
      <c r="AQ131" s="710"/>
      <c r="AR131" s="744"/>
      <c r="AS131" s="744"/>
      <c r="AT131" s="744"/>
      <c r="AU131" s="744"/>
      <c r="AV131" s="710"/>
      <c r="AW131" s="744"/>
      <c r="AX131" s="744"/>
      <c r="AY131" s="744"/>
      <c r="AZ131" s="744"/>
      <c r="BA131" s="710"/>
      <c r="BB131" s="744"/>
      <c r="BC131" s="744"/>
      <c r="BD131" s="744"/>
      <c r="BE131" s="1519"/>
      <c r="BF131" s="710"/>
      <c r="BG131" s="744"/>
      <c r="BH131" s="744"/>
      <c r="BI131" s="744"/>
      <c r="BJ131" s="1519"/>
      <c r="BK131" s="710"/>
      <c r="BL131" s="744"/>
      <c r="BM131" s="744"/>
      <c r="BN131" s="744"/>
      <c r="BO131" s="1519"/>
      <c r="BP131" s="744"/>
      <c r="BQ131" s="744"/>
      <c r="BR131" s="744"/>
      <c r="BS131" s="744"/>
      <c r="BT131" s="1519"/>
      <c r="BU131" s="744"/>
      <c r="BV131" s="744"/>
      <c r="BW131" s="744"/>
      <c r="BX131" s="744"/>
      <c r="BY131" s="1519"/>
      <c r="BZ131" s="744"/>
      <c r="CA131" s="744"/>
      <c r="CB131" s="744"/>
      <c r="CC131" s="744"/>
      <c r="CD131" s="1519"/>
      <c r="CE131" s="744"/>
      <c r="CF131" s="744"/>
      <c r="CG131" s="744"/>
      <c r="CH131" s="744"/>
      <c r="CI131" s="1519"/>
      <c r="CJ131" s="744"/>
      <c r="CK131" s="744"/>
      <c r="CL131" s="744"/>
      <c r="CM131" s="744"/>
      <c r="CN131" s="1519"/>
      <c r="CO131" s="744"/>
      <c r="CP131" s="744"/>
      <c r="CQ131" s="744"/>
      <c r="CR131" s="744"/>
      <c r="CS131" s="1519"/>
      <c r="CT131" s="744"/>
      <c r="CU131" s="744"/>
      <c r="CV131" s="744"/>
      <c r="CW131" s="744"/>
      <c r="CX131" s="1519"/>
      <c r="DB131" s="750"/>
      <c r="DC131" s="687"/>
      <c r="DD131" s="1614"/>
      <c r="DE131" s="687"/>
    </row>
    <row r="132" spans="1:115">
      <c r="A132" s="756" t="s">
        <v>795</v>
      </c>
      <c r="B132" s="756"/>
      <c r="C132" s="687"/>
      <c r="D132" s="687"/>
      <c r="E132" s="687"/>
      <c r="F132" s="687"/>
      <c r="G132" s="687"/>
      <c r="H132" s="687"/>
      <c r="I132" s="687"/>
      <c r="J132" s="687"/>
      <c r="K132" s="687"/>
      <c r="L132" s="687"/>
      <c r="M132" s="687"/>
      <c r="N132" s="687"/>
      <c r="O132" s="687"/>
      <c r="P132" s="687"/>
      <c r="Q132" s="687"/>
      <c r="R132" s="687"/>
      <c r="S132" s="687"/>
      <c r="T132" s="687"/>
      <c r="U132" s="687"/>
      <c r="V132" s="687"/>
      <c r="W132" s="687"/>
      <c r="X132" s="687"/>
      <c r="Y132" s="687"/>
      <c r="Z132" s="687"/>
      <c r="AA132" s="687"/>
      <c r="AB132" s="757"/>
      <c r="AC132" s="757"/>
      <c r="AD132" s="757"/>
      <c r="AE132" s="757"/>
      <c r="AF132" s="714"/>
      <c r="AG132" s="757"/>
      <c r="AH132" s="757"/>
      <c r="AI132" s="757"/>
      <c r="AJ132" s="757"/>
      <c r="AK132" s="714"/>
      <c r="AL132" s="757"/>
      <c r="AM132" s="757"/>
      <c r="AN132" s="757"/>
      <c r="AO132" s="757"/>
      <c r="AP132" s="714"/>
      <c r="AQ132" s="757"/>
      <c r="AR132" s="757"/>
      <c r="AS132" s="757"/>
      <c r="AT132" s="757"/>
      <c r="AU132" s="725"/>
      <c r="AV132" s="757"/>
      <c r="AW132" s="757"/>
      <c r="AX132" s="757"/>
      <c r="AY132" s="757"/>
      <c r="AZ132" s="725"/>
      <c r="BA132" s="1505">
        <f>AY136</f>
        <v>0</v>
      </c>
      <c r="BB132" s="757">
        <f>BA136</f>
        <v>447.61599999999999</v>
      </c>
      <c r="BC132" s="757">
        <f>BB136</f>
        <v>424.19900000000001</v>
      </c>
      <c r="BD132" s="757">
        <f>BC136</f>
        <v>419.82400000000001</v>
      </c>
      <c r="BE132" s="764"/>
      <c r="BF132" s="757">
        <f>BD136</f>
        <v>545.52599999999995</v>
      </c>
      <c r="BG132" s="757">
        <f>BF136</f>
        <v>637.82500000000005</v>
      </c>
      <c r="BH132" s="757">
        <f>BG136</f>
        <v>600.33199999999999</v>
      </c>
      <c r="BI132" s="757">
        <f>BH136</f>
        <v>576.94799999999998</v>
      </c>
      <c r="BJ132" s="764">
        <f>BD136</f>
        <v>545.52599999999995</v>
      </c>
      <c r="BK132" s="757">
        <f>BI136</f>
        <v>545.03599999999994</v>
      </c>
      <c r="BL132" s="757">
        <f>BK136</f>
        <v>580.56799999999998</v>
      </c>
      <c r="BM132" s="757">
        <f>BL136</f>
        <v>551.26499999999999</v>
      </c>
      <c r="BN132" s="757">
        <f>BM136</f>
        <v>637.95699999999999</v>
      </c>
      <c r="BO132" s="764">
        <f>BI136</f>
        <v>545.03599999999994</v>
      </c>
      <c r="BP132" s="757">
        <f>BN136</f>
        <v>605.25400000000002</v>
      </c>
      <c r="BQ132" s="757">
        <f>BP136</f>
        <v>570.17100000000005</v>
      </c>
      <c r="BR132" s="757">
        <f>BQ136</f>
        <v>532.31700000000001</v>
      </c>
      <c r="BS132" s="757">
        <f>BR136</f>
        <v>490.839</v>
      </c>
      <c r="BT132" s="764">
        <f>BN136</f>
        <v>605.25400000000002</v>
      </c>
      <c r="BU132" s="757">
        <f>BS136</f>
        <v>469.66199999999998</v>
      </c>
      <c r="BV132" s="757">
        <f>BU136</f>
        <v>629.31700000000001</v>
      </c>
      <c r="BW132" s="757">
        <f>BV136</f>
        <v>583.19799999999998</v>
      </c>
      <c r="BX132" s="757">
        <f>BW136</f>
        <v>556.80999999999995</v>
      </c>
      <c r="BY132" s="764">
        <f>BX132</f>
        <v>556.80999999999995</v>
      </c>
      <c r="BZ132" s="757">
        <f>BX136</f>
        <v>510.00700000000001</v>
      </c>
      <c r="CA132" s="757">
        <f>BZ136</f>
        <v>518.68600000000004</v>
      </c>
      <c r="CB132" s="757">
        <f>CA136</f>
        <v>494.19299999999998</v>
      </c>
      <c r="CC132" s="758">
        <f>CB136</f>
        <v>454.23</v>
      </c>
      <c r="CD132" s="764">
        <f>CC132</f>
        <v>454.23</v>
      </c>
      <c r="CE132" s="757">
        <f>CC136</f>
        <v>414.40499999999997</v>
      </c>
      <c r="CF132" s="757">
        <f>CE136</f>
        <v>489.202</v>
      </c>
      <c r="CG132" s="757">
        <f>CF136</f>
        <v>453.834</v>
      </c>
      <c r="CH132" s="757">
        <f>CG136</f>
        <v>420.66699999999997</v>
      </c>
      <c r="CI132" s="764">
        <f>CH132</f>
        <v>420.66699999999997</v>
      </c>
      <c r="CJ132" s="757">
        <f>CH136</f>
        <v>385.65800000000002</v>
      </c>
      <c r="CK132" s="758">
        <f>CJ136</f>
        <v>353.74</v>
      </c>
      <c r="CL132" s="758">
        <f>CK136</f>
        <v>323.74</v>
      </c>
      <c r="CM132" s="758">
        <f>CL136</f>
        <v>293.74</v>
      </c>
      <c r="CN132" s="766">
        <f>CM132</f>
        <v>293.74</v>
      </c>
      <c r="CO132" s="758">
        <f>CM136</f>
        <v>263.74</v>
      </c>
      <c r="CP132" s="758">
        <f>CO136</f>
        <v>233.74</v>
      </c>
      <c r="CQ132" s="758">
        <f>CP136</f>
        <v>203.74</v>
      </c>
      <c r="CR132" s="758">
        <f>CQ136</f>
        <v>173.74</v>
      </c>
      <c r="CS132" s="766">
        <f>CR132</f>
        <v>173.74</v>
      </c>
      <c r="CT132" s="758">
        <f>CR136</f>
        <v>143.74</v>
      </c>
      <c r="CU132" s="758">
        <f>CT136</f>
        <v>113.74000000000001</v>
      </c>
      <c r="CV132" s="758">
        <f>CU136</f>
        <v>83.740000000000009</v>
      </c>
      <c r="CW132" s="758">
        <f>CV136</f>
        <v>53.740000000000009</v>
      </c>
      <c r="CX132" s="766">
        <f>CW132</f>
        <v>53.740000000000009</v>
      </c>
      <c r="DB132" s="750"/>
      <c r="DC132" s="687"/>
      <c r="DD132" s="1614"/>
      <c r="DE132" s="687"/>
    </row>
    <row r="133" spans="1:115" s="47" customFormat="1">
      <c r="A133" s="1502" t="s">
        <v>796</v>
      </c>
      <c r="B133" s="1503"/>
      <c r="C133" s="687"/>
      <c r="D133" s="687"/>
      <c r="E133" s="687"/>
      <c r="F133" s="687"/>
      <c r="G133" s="687"/>
      <c r="H133" s="687"/>
      <c r="I133" s="687"/>
      <c r="J133" s="687"/>
      <c r="K133" s="687"/>
      <c r="L133" s="687"/>
      <c r="M133" s="687"/>
      <c r="N133" s="687"/>
      <c r="O133" s="687"/>
      <c r="P133" s="687"/>
      <c r="Q133" s="687"/>
      <c r="R133" s="687"/>
      <c r="S133" s="687"/>
      <c r="T133" s="687"/>
      <c r="U133" s="687"/>
      <c r="V133" s="687"/>
      <c r="W133" s="687"/>
      <c r="X133" s="687"/>
      <c r="Y133" s="687"/>
      <c r="Z133" s="687"/>
      <c r="AA133" s="687"/>
      <c r="AB133" s="687"/>
      <c r="AC133" s="687"/>
      <c r="AD133" s="687"/>
      <c r="AE133" s="687"/>
      <c r="AF133" s="687"/>
      <c r="AG133" s="687"/>
      <c r="AH133" s="687"/>
      <c r="AI133" s="687"/>
      <c r="AJ133" s="687"/>
      <c r="AK133" s="687"/>
      <c r="AL133" s="687"/>
      <c r="AM133" s="687"/>
      <c r="AN133" s="687"/>
      <c r="AO133" s="687"/>
      <c r="AP133" s="687"/>
      <c r="AQ133" s="687"/>
      <c r="AR133" s="687"/>
      <c r="AS133" s="687"/>
      <c r="AT133" s="687"/>
      <c r="AU133" s="1504"/>
      <c r="AV133" s="687"/>
      <c r="AW133" s="687"/>
      <c r="AX133" s="687"/>
      <c r="AY133" s="687"/>
      <c r="AZ133" s="1504"/>
      <c r="BA133" s="687"/>
      <c r="BB133" s="687"/>
      <c r="BC133" s="687"/>
      <c r="BD133" s="687"/>
      <c r="BE133" s="1508"/>
      <c r="BF133" s="687">
        <f>-CF!BF90</f>
        <v>353.18400000000003</v>
      </c>
      <c r="BG133" s="687">
        <f>-CF!BG90</f>
        <v>0</v>
      </c>
      <c r="BH133" s="687">
        <v>125</v>
      </c>
      <c r="BI133" s="687">
        <f>-CF!BI90</f>
        <v>0</v>
      </c>
      <c r="BJ133" s="1508">
        <f>SUM(BF133:BI133)</f>
        <v>478.18400000000003</v>
      </c>
      <c r="BK133" s="687">
        <f>-CF!BK90</f>
        <v>96.355999999999995</v>
      </c>
      <c r="BL133" s="687">
        <f>-CF!BL90</f>
        <v>0</v>
      </c>
      <c r="BM133" s="687">
        <v>125</v>
      </c>
      <c r="BN133" s="687">
        <f>-CF!BN90</f>
        <v>0.21400000000005548</v>
      </c>
      <c r="BO133" s="1508">
        <f>SUM(BK133:BN133)</f>
        <v>221.57000000000005</v>
      </c>
      <c r="BP133" s="687">
        <f>-CF!BP90</f>
        <v>0</v>
      </c>
      <c r="BQ133" s="687">
        <f>-CF!BQ90</f>
        <v>0</v>
      </c>
      <c r="BR133" s="687">
        <f>-CF!BR90</f>
        <v>0</v>
      </c>
      <c r="BS133" s="687">
        <f>-CF!BS90</f>
        <v>29.802</v>
      </c>
      <c r="BT133" s="1508">
        <f>SUM(BP133:BS133)</f>
        <v>29.802</v>
      </c>
      <c r="BU133" s="687">
        <v>200</v>
      </c>
      <c r="BV133" s="687">
        <f>-CF!BV90</f>
        <v>5.6369999999999436</v>
      </c>
      <c r="BW133" s="687">
        <f>-CF!BW90</f>
        <v>20.024999999999977</v>
      </c>
      <c r="BX133" s="687">
        <f>-CF!BX90</f>
        <v>0</v>
      </c>
      <c r="BY133" s="1508">
        <f>SUM(BU133:BX133)</f>
        <v>225.66199999999992</v>
      </c>
      <c r="BZ133" s="745">
        <v>0</v>
      </c>
      <c r="CA133" s="687">
        <f>-CF!CA90</f>
        <v>48.427</v>
      </c>
      <c r="CB133" s="687">
        <f>-CF!CB90</f>
        <v>0</v>
      </c>
      <c r="CC133" s="687">
        <f>-CF!CC90</f>
        <v>0</v>
      </c>
      <c r="CD133" s="1508">
        <f>SUM(BZ133:CC133)</f>
        <v>48.427</v>
      </c>
      <c r="CE133" s="687">
        <f>-CF!CE90</f>
        <v>459.62599999999998</v>
      </c>
      <c r="CF133" s="687">
        <f>-CF!CF90</f>
        <v>0</v>
      </c>
      <c r="CG133" s="687">
        <f>-CF!CG90</f>
        <v>0</v>
      </c>
      <c r="CH133" s="687">
        <f>-CF!CH90</f>
        <v>0</v>
      </c>
      <c r="CI133" s="1508">
        <f>SUM(CE133:CH133)</f>
        <v>459.62599999999998</v>
      </c>
      <c r="CJ133" s="687">
        <f>-CF!CJ90</f>
        <v>0</v>
      </c>
      <c r="CK133" s="745">
        <v>0</v>
      </c>
      <c r="CL133" s="745">
        <v>0</v>
      </c>
      <c r="CM133" s="745">
        <v>0</v>
      </c>
      <c r="CN133" s="1515">
        <f>SUM(CJ133:CM133)</f>
        <v>0</v>
      </c>
      <c r="CO133" s="745">
        <v>0</v>
      </c>
      <c r="CP133" s="745">
        <v>0</v>
      </c>
      <c r="CQ133" s="745">
        <v>0</v>
      </c>
      <c r="CR133" s="745">
        <v>0</v>
      </c>
      <c r="CS133" s="1515">
        <f>SUM(CO133:CR133)</f>
        <v>0</v>
      </c>
      <c r="CT133" s="745">
        <v>0</v>
      </c>
      <c r="CU133" s="745">
        <v>0</v>
      </c>
      <c r="CV133" s="745">
        <v>0</v>
      </c>
      <c r="CW133" s="745">
        <v>0</v>
      </c>
      <c r="CX133" s="1515">
        <f>SUM(CT133:CW133)</f>
        <v>0</v>
      </c>
      <c r="CY133"/>
      <c r="CZ133"/>
      <c r="DA133"/>
      <c r="DB133" s="750"/>
      <c r="DC133" s="687"/>
      <c r="DD133" s="1614"/>
      <c r="DE133" s="687"/>
      <c r="DF133"/>
      <c r="DG133"/>
      <c r="DH133"/>
      <c r="DI133"/>
      <c r="DJ133"/>
      <c r="DK133"/>
    </row>
    <row r="134" spans="1:115">
      <c r="A134" s="1502" t="s">
        <v>797</v>
      </c>
      <c r="B134" s="756"/>
      <c r="C134" s="687"/>
      <c r="D134" s="687"/>
      <c r="E134" s="687"/>
      <c r="F134" s="687"/>
      <c r="G134" s="687"/>
      <c r="H134" s="687"/>
      <c r="I134" s="687"/>
      <c r="J134" s="687"/>
      <c r="K134" s="687"/>
      <c r="L134" s="687"/>
      <c r="M134" s="687"/>
      <c r="N134" s="687"/>
      <c r="O134" s="687"/>
      <c r="P134" s="687"/>
      <c r="Q134" s="687"/>
      <c r="R134" s="687"/>
      <c r="S134" s="687"/>
      <c r="T134" s="687"/>
      <c r="U134" s="687"/>
      <c r="V134" s="687"/>
      <c r="W134" s="687"/>
      <c r="X134" s="687"/>
      <c r="Y134" s="687"/>
      <c r="Z134" s="687"/>
      <c r="AA134" s="687"/>
      <c r="AB134" s="757"/>
      <c r="AC134" s="757"/>
      <c r="AD134" s="757"/>
      <c r="AE134" s="757"/>
      <c r="AF134" s="714"/>
      <c r="AG134" s="757"/>
      <c r="AH134" s="757"/>
      <c r="AI134" s="757"/>
      <c r="AJ134" s="757"/>
      <c r="AK134" s="714"/>
      <c r="AL134" s="757"/>
      <c r="AM134" s="757"/>
      <c r="AN134" s="757"/>
      <c r="AO134" s="757"/>
      <c r="AP134" s="714"/>
      <c r="AQ134" s="757"/>
      <c r="AR134" s="757"/>
      <c r="AS134" s="757"/>
      <c r="AT134" s="757"/>
      <c r="AU134" s="725"/>
      <c r="AV134" s="757"/>
      <c r="AW134" s="757"/>
      <c r="AX134" s="757"/>
      <c r="AY134" s="757"/>
      <c r="AZ134" s="725"/>
      <c r="BA134" s="757"/>
      <c r="BB134" s="757"/>
      <c r="BC134" s="757"/>
      <c r="BD134" s="757"/>
      <c r="BE134" s="1508"/>
      <c r="BF134" s="755">
        <f>$BT$134/4</f>
        <v>-38.174999999999997</v>
      </c>
      <c r="BG134" s="755">
        <f>$BT$134/4</f>
        <v>-38.174999999999997</v>
      </c>
      <c r="BH134" s="755">
        <f>$BT$134/4</f>
        <v>-38.174999999999997</v>
      </c>
      <c r="BI134" s="755">
        <f>$BT$134/4</f>
        <v>-38.174999999999997</v>
      </c>
      <c r="BJ134" s="1510">
        <v>-146.19999999999999</v>
      </c>
      <c r="BK134" s="755">
        <f>$BT$134/4</f>
        <v>-38.174999999999997</v>
      </c>
      <c r="BL134" s="755">
        <f>$BT$134/4</f>
        <v>-38.174999999999997</v>
      </c>
      <c r="BM134" s="755">
        <f>$BT$134/4</f>
        <v>-38.174999999999997</v>
      </c>
      <c r="BN134" s="755">
        <f>$BT$134/4</f>
        <v>-38.174999999999997</v>
      </c>
      <c r="BO134" s="1510">
        <v>-156.9</v>
      </c>
      <c r="BP134" s="755">
        <f>$BT$134/4</f>
        <v>-38.174999999999997</v>
      </c>
      <c r="BQ134" s="755">
        <f>$BT$134/4</f>
        <v>-38.174999999999997</v>
      </c>
      <c r="BR134" s="755">
        <f>$BT$134/4</f>
        <v>-38.174999999999997</v>
      </c>
      <c r="BS134" s="755">
        <f>$BT$134/4</f>
        <v>-38.174999999999997</v>
      </c>
      <c r="BT134" s="1510">
        <v>-152.69999999999999</v>
      </c>
      <c r="BU134" s="755">
        <f>-150/4</f>
        <v>-37.5</v>
      </c>
      <c r="BV134" s="755">
        <v>-37.5</v>
      </c>
      <c r="BW134" s="755">
        <f>$BT$134/4</f>
        <v>-38.174999999999997</v>
      </c>
      <c r="BX134" s="755">
        <f>$BT$134/4</f>
        <v>-38.174999999999997</v>
      </c>
      <c r="BY134" s="1510">
        <v>-174.5</v>
      </c>
      <c r="BZ134" s="1696">
        <f>BY134/4</f>
        <v>-43.625</v>
      </c>
      <c r="CA134" s="1696">
        <f>$BY$134/4</f>
        <v>-43.625</v>
      </c>
      <c r="CB134" s="1696">
        <f>$BY$134/4</f>
        <v>-43.625</v>
      </c>
      <c r="CC134" s="1696">
        <f>$BY$134/4</f>
        <v>-43.625</v>
      </c>
      <c r="CD134" s="1510">
        <f>+-152.4</f>
        <v>-152.4</v>
      </c>
      <c r="CE134" s="1696">
        <f>$BY$134/4</f>
        <v>-43.625</v>
      </c>
      <c r="CF134" s="1696">
        <f>$BY$134/4</f>
        <v>-43.625</v>
      </c>
      <c r="CG134" s="1696">
        <f>$BY$134/4</f>
        <v>-43.625</v>
      </c>
      <c r="CH134" s="1696">
        <f>$BY$134/4</f>
        <v>-43.625</v>
      </c>
      <c r="CI134" s="1510">
        <f>SUM(CE134:CH134)</f>
        <v>-174.5</v>
      </c>
      <c r="CJ134" s="1696">
        <f>$BY$134/4</f>
        <v>-43.625</v>
      </c>
      <c r="CK134" s="1506">
        <v>-30</v>
      </c>
      <c r="CL134" s="1506">
        <v>-30</v>
      </c>
      <c r="CM134" s="1506">
        <v>-30</v>
      </c>
      <c r="CN134" s="1517">
        <f>SUM(CJ134:CM134)</f>
        <v>-133.625</v>
      </c>
      <c r="CO134" s="1506">
        <v>-30</v>
      </c>
      <c r="CP134" s="1506">
        <v>-30</v>
      </c>
      <c r="CQ134" s="1506">
        <v>-30</v>
      </c>
      <c r="CR134" s="1506">
        <v>-30</v>
      </c>
      <c r="CS134" s="1517">
        <f>SUM(CO134:CR134)</f>
        <v>-120</v>
      </c>
      <c r="CT134" s="1506">
        <v>-30</v>
      </c>
      <c r="CU134" s="1506">
        <v>-30</v>
      </c>
      <c r="CV134" s="1506">
        <v>-30</v>
      </c>
      <c r="CW134" s="1506">
        <v>-30</v>
      </c>
      <c r="CX134" s="1517">
        <f>SUM(CT134:CW134)</f>
        <v>-120</v>
      </c>
      <c r="DB134" s="750"/>
      <c r="DC134" s="687"/>
      <c r="DD134" s="1614"/>
      <c r="DE134" s="687"/>
    </row>
    <row r="135" spans="1:115">
      <c r="A135" s="1502" t="s">
        <v>631</v>
      </c>
      <c r="B135" s="756"/>
      <c r="C135" s="687"/>
      <c r="D135" s="687"/>
      <c r="E135" s="687"/>
      <c r="F135" s="687"/>
      <c r="G135" s="687"/>
      <c r="H135" s="687"/>
      <c r="I135" s="687"/>
      <c r="J135" s="687"/>
      <c r="K135" s="687"/>
      <c r="L135" s="687"/>
      <c r="M135" s="687"/>
      <c r="N135" s="687"/>
      <c r="O135" s="687"/>
      <c r="P135" s="687"/>
      <c r="Q135" s="687"/>
      <c r="R135" s="687"/>
      <c r="S135" s="687"/>
      <c r="T135" s="687"/>
      <c r="U135" s="687"/>
      <c r="V135" s="687"/>
      <c r="W135" s="687"/>
      <c r="X135" s="687"/>
      <c r="Y135" s="687"/>
      <c r="Z135" s="687"/>
      <c r="AA135" s="687"/>
      <c r="AB135" s="757"/>
      <c r="AC135" s="757"/>
      <c r="AD135" s="757"/>
      <c r="AE135" s="757"/>
      <c r="AF135" s="714"/>
      <c r="AG135" s="757"/>
      <c r="AH135" s="757"/>
      <c r="AI135" s="757"/>
      <c r="AJ135" s="757"/>
      <c r="AK135" s="714"/>
      <c r="AL135" s="757"/>
      <c r="AM135" s="757"/>
      <c r="AN135" s="757"/>
      <c r="AO135" s="757"/>
      <c r="AP135" s="714"/>
      <c r="AQ135" s="757"/>
      <c r="AR135" s="757"/>
      <c r="AS135" s="757"/>
      <c r="AT135" s="757"/>
      <c r="AU135" s="725"/>
      <c r="AV135" s="757"/>
      <c r="AW135" s="757"/>
      <c r="AX135" s="757"/>
      <c r="AY135" s="757"/>
      <c r="AZ135" s="725"/>
      <c r="BA135" s="757"/>
      <c r="BB135" s="757"/>
      <c r="BC135" s="757"/>
      <c r="BD135" s="757"/>
      <c r="BE135" s="764"/>
      <c r="BF135" s="1512">
        <f t="shared" ref="BF135:BU135" si="140">BF136-SUM(BF132:BF134)</f>
        <v>-222.71000000000004</v>
      </c>
      <c r="BG135" s="1512">
        <f t="shared" si="140"/>
        <v>0.68199999999990268</v>
      </c>
      <c r="BH135" s="1512">
        <f t="shared" si="140"/>
        <v>-110.20900000000006</v>
      </c>
      <c r="BI135" s="1512">
        <f t="shared" si="140"/>
        <v>6.26299999999992</v>
      </c>
      <c r="BJ135" s="1513">
        <f t="shared" si="140"/>
        <v>-332.47400000000005</v>
      </c>
      <c r="BK135" s="1512">
        <f t="shared" si="140"/>
        <v>-22.649000000000001</v>
      </c>
      <c r="BL135" s="1512">
        <f t="shared" si="140"/>
        <v>8.8719999999999573</v>
      </c>
      <c r="BM135" s="1512">
        <f t="shared" si="140"/>
        <v>-0.1330000000000382</v>
      </c>
      <c r="BN135" s="1512">
        <f t="shared" si="140"/>
        <v>5.2579999999999245</v>
      </c>
      <c r="BO135" s="1513">
        <f t="shared" si="140"/>
        <v>-4.4519999999999982</v>
      </c>
      <c r="BP135" s="1512">
        <f t="shared" si="140"/>
        <v>3.0919999999999845</v>
      </c>
      <c r="BQ135" s="1512">
        <f t="shared" si="140"/>
        <v>0.32099999999991269</v>
      </c>
      <c r="BR135" s="1512">
        <f t="shared" si="140"/>
        <v>-3.3029999999999973</v>
      </c>
      <c r="BS135" s="1512">
        <f t="shared" si="140"/>
        <v>-12.803999999999974</v>
      </c>
      <c r="BT135" s="1513">
        <f t="shared" si="140"/>
        <v>-12.694000000000074</v>
      </c>
      <c r="BU135" s="1512">
        <f t="shared" si="140"/>
        <v>-2.8450000000000273</v>
      </c>
      <c r="BV135" s="1512">
        <f>BV136-SUM(BV132:BV134)</f>
        <v>-14.255999999999972</v>
      </c>
      <c r="BW135" s="1512">
        <f>BW136-SUM(BW132:BW134)</f>
        <v>-8.2380000000000564</v>
      </c>
      <c r="BX135" s="1512">
        <f>BX136-SUM(BX132:BX134)</f>
        <v>-8.6279999999999859</v>
      </c>
      <c r="BY135" s="1513">
        <f>SUM(BU135:BX135)</f>
        <v>-33.967000000000041</v>
      </c>
      <c r="BZ135" s="1512">
        <f>BZ136-SUM(BZ132:BZ134)</f>
        <v>52.30400000000003</v>
      </c>
      <c r="CA135" s="1512">
        <f>CA136-SUM(CA132:CA134)</f>
        <v>-29.295000000000073</v>
      </c>
      <c r="CB135" s="1512">
        <f>CB136-SUM(CB132:CB134)</f>
        <v>3.6620000000000346</v>
      </c>
      <c r="CC135" s="1512">
        <f>CC136-SUM(CC132:CC134)</f>
        <v>3.7999999999999545</v>
      </c>
      <c r="CD135" s="1513">
        <f>SUM(BZ135:CC135)</f>
        <v>30.470999999999947</v>
      </c>
      <c r="CE135" s="1512">
        <f>CE136-SUM(CE132:CE134)</f>
        <v>-341.20399999999995</v>
      </c>
      <c r="CF135" s="1512">
        <f>CF136-SUM(CF132:CF134)</f>
        <v>8.257000000000005</v>
      </c>
      <c r="CG135" s="1512">
        <f>CG136-SUM(CG132:CG134)</f>
        <v>10.45799999999997</v>
      </c>
      <c r="CH135" s="1512">
        <f>CH136-SUM(CH132:CH134)</f>
        <v>8.6160000000000423</v>
      </c>
      <c r="CI135" s="1513">
        <f>SUM(CE135:CH135)</f>
        <v>-313.87299999999993</v>
      </c>
      <c r="CJ135" s="1512">
        <f>CJ136-SUM(CJ132:CJ134)</f>
        <v>11.706999999999994</v>
      </c>
      <c r="CK135" s="1514"/>
      <c r="CL135" s="1514"/>
      <c r="CM135" s="1514"/>
      <c r="CN135" s="1518">
        <f>SUM(CJ135:CM135)</f>
        <v>11.706999999999994</v>
      </c>
      <c r="CO135" s="1514"/>
      <c r="CP135" s="1514"/>
      <c r="CQ135" s="1514"/>
      <c r="CR135" s="1514"/>
      <c r="CS135" s="1518">
        <f>SUM(CO135:CR135)</f>
        <v>0</v>
      </c>
      <c r="CT135" s="1514"/>
      <c r="CU135" s="1514"/>
      <c r="CV135" s="1514"/>
      <c r="CW135" s="1514"/>
      <c r="CX135" s="1518">
        <f>SUM(CT135:CW135)</f>
        <v>0</v>
      </c>
      <c r="DB135" s="750"/>
      <c r="DC135" s="687"/>
      <c r="DD135" s="1614"/>
      <c r="DE135" s="687"/>
    </row>
    <row r="136" spans="1:115">
      <c r="A136" s="756" t="s">
        <v>798</v>
      </c>
      <c r="B136" s="756"/>
      <c r="C136" s="687"/>
      <c r="D136" s="687"/>
      <c r="E136" s="687"/>
      <c r="F136" s="687"/>
      <c r="G136" s="687"/>
      <c r="H136" s="687"/>
      <c r="I136" s="687"/>
      <c r="J136" s="687"/>
      <c r="K136" s="687"/>
      <c r="L136" s="687"/>
      <c r="M136" s="687"/>
      <c r="N136" s="687"/>
      <c r="O136" s="687"/>
      <c r="P136" s="687"/>
      <c r="Q136" s="687"/>
      <c r="R136" s="687"/>
      <c r="S136" s="687"/>
      <c r="T136" s="687"/>
      <c r="U136" s="687"/>
      <c r="V136" s="687"/>
      <c r="W136" s="687"/>
      <c r="X136" s="687"/>
      <c r="Y136" s="687"/>
      <c r="Z136" s="687"/>
      <c r="AA136" s="687"/>
      <c r="AB136" s="757"/>
      <c r="AC136" s="757"/>
      <c r="AD136" s="757"/>
      <c r="AE136" s="757"/>
      <c r="AF136" s="714"/>
      <c r="AG136" s="757"/>
      <c r="AH136" s="757"/>
      <c r="AI136" s="757"/>
      <c r="AJ136" s="757"/>
      <c r="AK136" s="714"/>
      <c r="AL136" s="757"/>
      <c r="AM136" s="757"/>
      <c r="AN136" s="757"/>
      <c r="AO136" s="757"/>
      <c r="AP136" s="714"/>
      <c r="AQ136" s="757"/>
      <c r="AR136" s="757"/>
      <c r="AS136" s="757"/>
      <c r="AT136" s="757"/>
      <c r="AU136" s="725"/>
      <c r="AV136" s="757"/>
      <c r="AW136" s="757"/>
      <c r="AX136" s="757"/>
      <c r="AY136" s="757"/>
      <c r="AZ136" s="725"/>
      <c r="BA136" s="757">
        <f>BA19</f>
        <v>447.61599999999999</v>
      </c>
      <c r="BB136" s="757">
        <f>BB19</f>
        <v>424.19900000000001</v>
      </c>
      <c r="BC136" s="757">
        <f>BC19</f>
        <v>419.82400000000001</v>
      </c>
      <c r="BD136" s="757">
        <f>BD19</f>
        <v>545.52599999999995</v>
      </c>
      <c r="BE136" s="764"/>
      <c r="BF136" s="757">
        <f>BF19</f>
        <v>637.82500000000005</v>
      </c>
      <c r="BG136" s="757">
        <f>BG19</f>
        <v>600.33199999999999</v>
      </c>
      <c r="BH136" s="757">
        <f>BH19</f>
        <v>576.94799999999998</v>
      </c>
      <c r="BI136" s="757">
        <f>BI19</f>
        <v>545.03599999999994</v>
      </c>
      <c r="BJ136" s="764">
        <f>BI136</f>
        <v>545.03599999999994</v>
      </c>
      <c r="BK136" s="757">
        <f>BK19</f>
        <v>580.56799999999998</v>
      </c>
      <c r="BL136" s="757">
        <f>BL19</f>
        <v>551.26499999999999</v>
      </c>
      <c r="BM136" s="757">
        <f>BM19</f>
        <v>637.95699999999999</v>
      </c>
      <c r="BN136" s="757">
        <f>BN19</f>
        <v>605.25400000000002</v>
      </c>
      <c r="BO136" s="764">
        <f>BN136</f>
        <v>605.25400000000002</v>
      </c>
      <c r="BP136" s="757">
        <f>BP19</f>
        <v>570.17100000000005</v>
      </c>
      <c r="BQ136" s="757">
        <f>BQ19</f>
        <v>532.31700000000001</v>
      </c>
      <c r="BR136" s="757">
        <f>BR19</f>
        <v>490.839</v>
      </c>
      <c r="BS136" s="757">
        <f>BS19</f>
        <v>469.66199999999998</v>
      </c>
      <c r="BT136" s="764">
        <f>BS136</f>
        <v>469.66199999999998</v>
      </c>
      <c r="BU136" s="757">
        <f>BU19</f>
        <v>629.31700000000001</v>
      </c>
      <c r="BV136" s="757">
        <f>BV19</f>
        <v>583.19799999999998</v>
      </c>
      <c r="BW136" s="757">
        <f>BW19</f>
        <v>556.80999999999995</v>
      </c>
      <c r="BX136" s="757">
        <f>BX19</f>
        <v>510.00700000000001</v>
      </c>
      <c r="BY136" s="764">
        <f t="shared" ref="BY136:CN136" si="141">SUM(BY132:BY135)</f>
        <v>574.00499999999988</v>
      </c>
      <c r="BZ136" s="757">
        <f>BZ19</f>
        <v>518.68600000000004</v>
      </c>
      <c r="CA136" s="757">
        <f>CA19</f>
        <v>494.19299999999998</v>
      </c>
      <c r="CB136" s="757">
        <f>CB19</f>
        <v>454.23</v>
      </c>
      <c r="CC136" s="757">
        <f>CC19</f>
        <v>414.40499999999997</v>
      </c>
      <c r="CD136" s="764">
        <f t="shared" ref="CD136" si="142">SUM(CD132:CD135)</f>
        <v>380.72800000000001</v>
      </c>
      <c r="CE136" s="757">
        <f>CE19</f>
        <v>489.202</v>
      </c>
      <c r="CF136" s="757">
        <f>CF19</f>
        <v>453.834</v>
      </c>
      <c r="CG136" s="757">
        <f>CG19</f>
        <v>420.66699999999997</v>
      </c>
      <c r="CH136" s="757">
        <f>CH19</f>
        <v>385.65800000000002</v>
      </c>
      <c r="CI136" s="764">
        <f t="shared" si="141"/>
        <v>391.91999999999996</v>
      </c>
      <c r="CJ136" s="757">
        <f>CJ19</f>
        <v>353.74</v>
      </c>
      <c r="CK136" s="758">
        <f t="shared" si="141"/>
        <v>323.74</v>
      </c>
      <c r="CL136" s="758">
        <f t="shared" si="141"/>
        <v>293.74</v>
      </c>
      <c r="CM136" s="758">
        <f t="shared" si="141"/>
        <v>263.74</v>
      </c>
      <c r="CN136" s="766">
        <f t="shared" si="141"/>
        <v>171.822</v>
      </c>
      <c r="CO136" s="758">
        <f t="shared" ref="CO136:CX136" si="143">SUM(CO132:CO135)</f>
        <v>233.74</v>
      </c>
      <c r="CP136" s="758">
        <f t="shared" si="143"/>
        <v>203.74</v>
      </c>
      <c r="CQ136" s="758">
        <f t="shared" si="143"/>
        <v>173.74</v>
      </c>
      <c r="CR136" s="758">
        <f t="shared" si="143"/>
        <v>143.74</v>
      </c>
      <c r="CS136" s="766">
        <f t="shared" si="143"/>
        <v>53.740000000000009</v>
      </c>
      <c r="CT136" s="758">
        <f t="shared" si="143"/>
        <v>113.74000000000001</v>
      </c>
      <c r="CU136" s="758">
        <f t="shared" si="143"/>
        <v>83.740000000000009</v>
      </c>
      <c r="CV136" s="758">
        <f t="shared" si="143"/>
        <v>53.740000000000009</v>
      </c>
      <c r="CW136" s="758">
        <f t="shared" si="143"/>
        <v>23.740000000000009</v>
      </c>
      <c r="CX136" s="766">
        <f t="shared" si="143"/>
        <v>-66.259999999999991</v>
      </c>
      <c r="DB136" s="750"/>
      <c r="DC136" s="687"/>
      <c r="DD136" s="1614"/>
      <c r="DE136" s="687"/>
    </row>
    <row r="137" spans="1:115">
      <c r="A137" s="1215"/>
      <c r="BJ137" s="1521"/>
      <c r="BO137" s="1521"/>
      <c r="BT137" s="1521"/>
      <c r="BY137" s="1521"/>
      <c r="CD137" s="1521"/>
      <c r="CI137" s="1521"/>
      <c r="CN137" s="1521"/>
      <c r="CS137" s="1521"/>
      <c r="CX137" s="1521"/>
      <c r="DD137" s="1614"/>
    </row>
    <row r="138" spans="1:115">
      <c r="A138" s="754" t="s">
        <v>799</v>
      </c>
      <c r="BF138" s="687">
        <f t="shared" ref="BF138:BU138" si="144">BF140-BF134-BF127</f>
        <v>1.9139999999999944</v>
      </c>
      <c r="BG138" s="687">
        <f t="shared" si="144"/>
        <v>-5.3989999999999938</v>
      </c>
      <c r="BH138" s="687">
        <f t="shared" si="144"/>
        <v>-2.3350000000000151</v>
      </c>
      <c r="BI138" s="687">
        <f t="shared" si="144"/>
        <v>-6.8460000000000107</v>
      </c>
      <c r="BJ138" s="701">
        <f t="shared" si="144"/>
        <v>-19.166000000000025</v>
      </c>
      <c r="BK138" s="687">
        <f t="shared" si="144"/>
        <v>-2.402000000000001</v>
      </c>
      <c r="BL138" s="687">
        <f t="shared" si="144"/>
        <v>-6.6000000000000085</v>
      </c>
      <c r="BM138" s="687">
        <f t="shared" si="144"/>
        <v>-7.8250000000000171</v>
      </c>
      <c r="BN138" s="687">
        <f t="shared" si="144"/>
        <v>-6.9999999999999716</v>
      </c>
      <c r="BO138" s="701">
        <f t="shared" si="144"/>
        <v>-19.626999999999981</v>
      </c>
      <c r="BP138" s="687">
        <f t="shared" si="144"/>
        <v>-3.4110000000000014</v>
      </c>
      <c r="BQ138" s="687">
        <f t="shared" si="144"/>
        <v>-3.4279999999999973</v>
      </c>
      <c r="BR138" s="687">
        <f t="shared" si="144"/>
        <v>-5.9290000000000305</v>
      </c>
      <c r="BS138" s="687">
        <f t="shared" si="144"/>
        <v>-3.9219999999999686</v>
      </c>
      <c r="BT138" s="701">
        <f t="shared" si="144"/>
        <v>-16.689999999999998</v>
      </c>
      <c r="BU138" s="687">
        <f t="shared" si="144"/>
        <v>-5.6350000000000051</v>
      </c>
      <c r="BV138" s="687">
        <f>BV140-BV134-BV127</f>
        <v>-10.929000000000016</v>
      </c>
      <c r="BW138" s="687">
        <f>BW140-BW134-BW127</f>
        <v>-13.324999999999989</v>
      </c>
      <c r="BX138" s="687">
        <f>BX140-BX134-BX127</f>
        <v>-12.134000000000015</v>
      </c>
      <c r="BY138" s="701">
        <f>SUM(BU138:BX138)</f>
        <v>-42.023000000000025</v>
      </c>
      <c r="BZ138" s="687">
        <f>BZ140-BZ134-BZ127</f>
        <v>-1</v>
      </c>
      <c r="CA138" s="687">
        <f>CA140-CA134-CA127</f>
        <v>-3.2609999999999957</v>
      </c>
      <c r="CB138" s="687">
        <f>CB140-CB134-CB127</f>
        <v>-1.8140000000000072</v>
      </c>
      <c r="CC138" s="687">
        <f>CC140-CC134-CC127</f>
        <v>1.3399999999999892</v>
      </c>
      <c r="CD138" s="701">
        <f>SUM(BZ138:CC138)</f>
        <v>-4.7350000000000136</v>
      </c>
      <c r="CE138" s="687">
        <f>CE140-CE134-CE127</f>
        <v>2.2160000000000011</v>
      </c>
      <c r="CF138" s="687">
        <f>CF140-CF134-CF127</f>
        <v>2.3900000000000077</v>
      </c>
      <c r="CG138" s="687">
        <f>CG140-CG134-CG127</f>
        <v>2.7059999999999818</v>
      </c>
      <c r="CH138" s="687">
        <f>CH140-CH134-CH127</f>
        <v>4.7909999999999897</v>
      </c>
      <c r="CI138" s="701">
        <f>SUM(CE138:CH138)</f>
        <v>12.10299999999998</v>
      </c>
      <c r="CJ138" s="687">
        <f>CJ140-CJ134-CJ127</f>
        <v>8.002999999999993</v>
      </c>
      <c r="CK138" s="1520">
        <v>-5</v>
      </c>
      <c r="CL138" s="1520">
        <v>-5</v>
      </c>
      <c r="CM138" s="1520">
        <v>-5</v>
      </c>
      <c r="CN138" s="701">
        <f>SUM(CJ138:CM138)</f>
        <v>-6.997000000000007</v>
      </c>
      <c r="CO138" s="1520">
        <v>-5</v>
      </c>
      <c r="CP138" s="1520">
        <v>-5</v>
      </c>
      <c r="CQ138" s="1520">
        <v>-5</v>
      </c>
      <c r="CR138" s="1520">
        <v>-5</v>
      </c>
      <c r="CS138" s="701">
        <f>SUM(CO138:CR138)</f>
        <v>-20</v>
      </c>
      <c r="CT138" s="1520">
        <v>-5</v>
      </c>
      <c r="CU138" s="1520">
        <v>-5</v>
      </c>
      <c r="CV138" s="1520">
        <v>-5</v>
      </c>
      <c r="CW138" s="1520">
        <v>-5</v>
      </c>
      <c r="CX138" s="701">
        <f>SUM(CT138:CW138)</f>
        <v>-20</v>
      </c>
      <c r="DD138" s="1614"/>
    </row>
    <row r="139" spans="1:115">
      <c r="A139" s="756"/>
      <c r="BJ139" s="1521"/>
      <c r="BO139" s="1521"/>
      <c r="BT139" s="1521"/>
      <c r="BY139" s="1521"/>
      <c r="CD139" s="1521"/>
      <c r="CI139" s="1521"/>
      <c r="CN139" s="1521"/>
      <c r="CS139" s="1521"/>
      <c r="CX139" s="1521"/>
      <c r="DD139" s="1614"/>
    </row>
    <row r="140" spans="1:115" s="18" customFormat="1">
      <c r="A140" s="756" t="s">
        <v>800</v>
      </c>
      <c r="BF140" s="714">
        <f>-CF!BF64</f>
        <v>-69.861000000000004</v>
      </c>
      <c r="BG140" s="714">
        <f>-CF!BG64</f>
        <v>-77.173999999999992</v>
      </c>
      <c r="BH140" s="714">
        <f>-CF!BH64</f>
        <v>-74.110000000000014</v>
      </c>
      <c r="BI140" s="714">
        <f>-CF!BI64</f>
        <v>-78.621000000000009</v>
      </c>
      <c r="BJ140" s="726">
        <f>-CF!BJ64</f>
        <v>-299.76600000000002</v>
      </c>
      <c r="BK140" s="714">
        <f>-CF!BK64</f>
        <v>-76.751999999999995</v>
      </c>
      <c r="BL140" s="714">
        <f>-CF!BL64</f>
        <v>-80.95</v>
      </c>
      <c r="BM140" s="714">
        <f>-CF!BM64</f>
        <v>-82.175000000000011</v>
      </c>
      <c r="BN140" s="714">
        <f>-CF!BN64</f>
        <v>-81.349999999999966</v>
      </c>
      <c r="BO140" s="726">
        <f>-CF!BO64</f>
        <v>-321.22699999999998</v>
      </c>
      <c r="BP140" s="714">
        <f>-CF!BP64</f>
        <v>-77.635999999999996</v>
      </c>
      <c r="BQ140" s="714">
        <f>-CF!BQ64</f>
        <v>-77.652999999999992</v>
      </c>
      <c r="BR140" s="714">
        <f>-CF!BR64</f>
        <v>-80.154000000000025</v>
      </c>
      <c r="BS140" s="714">
        <f>-CF!BS64</f>
        <v>-78.146999999999963</v>
      </c>
      <c r="BT140" s="726">
        <f>-CF!BT64</f>
        <v>-313.58999999999997</v>
      </c>
      <c r="BU140" s="714">
        <f>-CF!BU64</f>
        <v>-79.635000000000005</v>
      </c>
      <c r="BV140" s="714">
        <f>-CF!BV64</f>
        <v>-85.929000000000016</v>
      </c>
      <c r="BW140" s="714">
        <f>-CF!BW64</f>
        <v>-87.549999999999983</v>
      </c>
      <c r="BX140" s="714">
        <f>-CF!BX64</f>
        <v>-86.359000000000009</v>
      </c>
      <c r="BY140" s="726">
        <f>SUM(BU140:BX140)</f>
        <v>-339.47300000000001</v>
      </c>
      <c r="BZ140" s="714">
        <f>-CF!BZ64</f>
        <v>-81.2</v>
      </c>
      <c r="CA140" s="714">
        <f>-CF!CA64</f>
        <v>-84.460999999999999</v>
      </c>
      <c r="CB140" s="714">
        <f>-CF!CB64</f>
        <v>-84.01400000000001</v>
      </c>
      <c r="CC140" s="714">
        <f>-CF!CC64</f>
        <v>-81.860000000000014</v>
      </c>
      <c r="CD140" s="726">
        <f>SUM(BZ140:CC140)</f>
        <v>-331.53500000000003</v>
      </c>
      <c r="CE140" s="714">
        <f>-CF!CE64</f>
        <v>-80.808999999999997</v>
      </c>
      <c r="CF140" s="714">
        <f>-CF!CF64</f>
        <v>-81.634999999999991</v>
      </c>
      <c r="CG140" s="714">
        <f>-CF!CG64</f>
        <v>-82.319000000000017</v>
      </c>
      <c r="CH140" s="714">
        <f>-CF!CH64</f>
        <v>-81.234000000000009</v>
      </c>
      <c r="CI140" s="726">
        <f>SUM(CE140:CH140)</f>
        <v>-325.99700000000001</v>
      </c>
      <c r="CJ140" s="714">
        <f>-CF!CJ64</f>
        <v>-76.522000000000006</v>
      </c>
      <c r="CK140" s="714">
        <f>CK127+CK134+CK138</f>
        <v>-76.900000000000006</v>
      </c>
      <c r="CL140" s="714">
        <f>CL127+CL134+CL138</f>
        <v>-77.900000000000006</v>
      </c>
      <c r="CM140" s="714">
        <f>CM127+CM134+CM138</f>
        <v>-78.900000000000006</v>
      </c>
      <c r="CN140" s="726">
        <f>SUM(CJ140:CM140)</f>
        <v>-310.22200000000004</v>
      </c>
      <c r="CO140" s="714">
        <f>CO127+CO134+CO138</f>
        <v>-79.900000000000006</v>
      </c>
      <c r="CP140" s="714">
        <f>CP127+CP134+CP138</f>
        <v>-80.900000000000006</v>
      </c>
      <c r="CQ140" s="714">
        <f>CQ127+CQ134+CQ138</f>
        <v>-81.900000000000006</v>
      </c>
      <c r="CR140" s="714">
        <f>CR127+CR134+CR138</f>
        <v>-82.9</v>
      </c>
      <c r="CS140" s="726">
        <f>SUM(CO140:CR140)</f>
        <v>-325.60000000000002</v>
      </c>
      <c r="CT140" s="714">
        <f>CT127+CT134+CT138</f>
        <v>-83.9</v>
      </c>
      <c r="CU140" s="714">
        <f>CU127+CU134+CU138</f>
        <v>-84.9</v>
      </c>
      <c r="CV140" s="714">
        <f>CV127+CV134+CV138</f>
        <v>-85.9</v>
      </c>
      <c r="CW140" s="714">
        <f>CW127+CW134+CW138</f>
        <v>-86.9</v>
      </c>
      <c r="CX140" s="726">
        <f>SUM(CT140:CW140)</f>
        <v>-341.6</v>
      </c>
      <c r="CY140"/>
      <c r="CZ140"/>
      <c r="DA140"/>
      <c r="DD140" s="1614"/>
      <c r="DF140"/>
      <c r="DG140"/>
      <c r="DH140"/>
      <c r="DI140"/>
      <c r="DJ140"/>
      <c r="DK140"/>
    </row>
    <row r="141" spans="1:115">
      <c r="DD141" s="1614"/>
    </row>
    <row r="143" spans="1:115">
      <c r="A143" s="762"/>
    </row>
  </sheetData>
  <customSheetViews>
    <customSheetView guid="{5A095E4E-6841-4715-B354-198715F5FF0A}" scale="90" showGridLines="0" hiddenRows="1" hiddenColumns="1" showRuler="0"/>
    <customSheetView guid="{7ADDAC9C-E12E-468B-A7D0-D44A9895D58E}" scale="90" showGridLines="0" hiddenRows="1" hiddenColumns="1" showRuler="0">
      <selection activeCell="A5" sqref="A5:IV5"/>
    </customSheetView>
  </customSheetViews>
  <phoneticPr fontId="2" type="noConversion"/>
  <conditionalFormatting sqref="U52 W52:BI52 AU130 AU126 AZ130 AZ126 BO130 BO126 BK52:BR52 BZ52 BU52 CB52:CG52 CJ52:CN52">
    <cfRule type="cellIs" dxfId="72" priority="96" stopIfTrue="1" operator="between">
      <formula>-0.001</formula>
      <formula>0.001</formula>
    </cfRule>
  </conditionalFormatting>
  <conditionalFormatting sqref="BO127">
    <cfRule type="cellIs" dxfId="71" priority="83" stopIfTrue="1" operator="between">
      <formula>-0.001</formula>
      <formula>0.001</formula>
    </cfRule>
  </conditionalFormatting>
  <conditionalFormatting sqref="BS52">
    <cfRule type="cellIs" dxfId="70" priority="88" stopIfTrue="1" operator="between">
      <formula>-0.001</formula>
      <formula>0.001</formula>
    </cfRule>
  </conditionalFormatting>
  <conditionalFormatting sqref="CD130">
    <cfRule type="cellIs" dxfId="69" priority="72" stopIfTrue="1" operator="between">
      <formula>-0.001</formula>
      <formula>0.001</formula>
    </cfRule>
  </conditionalFormatting>
  <conditionalFormatting sqref="CN130">
    <cfRule type="cellIs" dxfId="68" priority="73" stopIfTrue="1" operator="between">
      <formula>-0.001</formula>
      <formula>0.001</formula>
    </cfRule>
  </conditionalFormatting>
  <conditionalFormatting sqref="BE130 BE126">
    <cfRule type="cellIs" dxfId="67" priority="77" stopIfTrue="1" operator="between">
      <formula>-0.001</formula>
      <formula>0.001</formula>
    </cfRule>
  </conditionalFormatting>
  <conditionalFormatting sqref="BE127">
    <cfRule type="cellIs" dxfId="66" priority="76" stopIfTrue="1" operator="between">
      <formula>-0.001</formula>
      <formula>0.001</formula>
    </cfRule>
  </conditionalFormatting>
  <conditionalFormatting sqref="CN126">
    <cfRule type="cellIs" dxfId="65" priority="70" stopIfTrue="1" operator="between">
      <formula>-0.001</formula>
      <formula>0.001</formula>
    </cfRule>
  </conditionalFormatting>
  <conditionalFormatting sqref="AU133 AZ133">
    <cfRule type="cellIs" dxfId="64" priority="66" stopIfTrue="1" operator="between">
      <formula>-0.001</formula>
      <formula>0.001</formula>
    </cfRule>
  </conditionalFormatting>
  <conditionalFormatting sqref="BO134">
    <cfRule type="cellIs" dxfId="63" priority="65" stopIfTrue="1" operator="between">
      <formula>-0.001</formula>
      <formula>0.001</formula>
    </cfRule>
  </conditionalFormatting>
  <conditionalFormatting sqref="BO133">
    <cfRule type="cellIs" dxfId="62" priority="52" stopIfTrue="1" operator="between">
      <formula>-0.001</formula>
      <formula>0.001</formula>
    </cfRule>
  </conditionalFormatting>
  <conditionalFormatting sqref="BE133">
    <cfRule type="cellIs" dxfId="61" priority="60" stopIfTrue="1" operator="between">
      <formula>-0.001</formula>
      <formula>0.001</formula>
    </cfRule>
  </conditionalFormatting>
  <conditionalFormatting sqref="BE134">
    <cfRule type="cellIs" dxfId="60" priority="59" stopIfTrue="1" operator="between">
      <formula>-0.001</formula>
      <formula>0.001</formula>
    </cfRule>
  </conditionalFormatting>
  <conditionalFormatting sqref="BT52 BT130 BT126">
    <cfRule type="cellIs" dxfId="59" priority="44" stopIfTrue="1" operator="between">
      <formula>-0.001</formula>
      <formula>0.001</formula>
    </cfRule>
  </conditionalFormatting>
  <conditionalFormatting sqref="BT127">
    <cfRule type="cellIs" dxfId="58" priority="43" stopIfTrue="1" operator="between">
      <formula>-0.001</formula>
      <formula>0.001</formula>
    </cfRule>
  </conditionalFormatting>
  <conditionalFormatting sqref="BT134">
    <cfRule type="cellIs" dxfId="57" priority="42" stopIfTrue="1" operator="between">
      <formula>-0.001</formula>
      <formula>0.001</formula>
    </cfRule>
  </conditionalFormatting>
  <conditionalFormatting sqref="BT133">
    <cfRule type="cellIs" dxfId="56" priority="41" stopIfTrue="1" operator="between">
      <formula>-0.001</formula>
      <formula>0.001</formula>
    </cfRule>
  </conditionalFormatting>
  <conditionalFormatting sqref="BJ130 BJ126 BJ52">
    <cfRule type="cellIs" dxfId="55" priority="40" stopIfTrue="1" operator="between">
      <formula>-0.001</formula>
      <formula>0.001</formula>
    </cfRule>
  </conditionalFormatting>
  <conditionalFormatting sqref="BJ127">
    <cfRule type="cellIs" dxfId="54" priority="39" stopIfTrue="1" operator="between">
      <formula>-0.001</formula>
      <formula>0.001</formula>
    </cfRule>
  </conditionalFormatting>
  <conditionalFormatting sqref="BJ134">
    <cfRule type="cellIs" dxfId="53" priority="38" stopIfTrue="1" operator="between">
      <formula>-0.001</formula>
      <formula>0.001</formula>
    </cfRule>
  </conditionalFormatting>
  <conditionalFormatting sqref="BJ133">
    <cfRule type="cellIs" dxfId="52" priority="37" stopIfTrue="1" operator="between">
      <formula>-0.001</formula>
      <formula>0.001</formula>
    </cfRule>
  </conditionalFormatting>
  <conditionalFormatting sqref="BW52">
    <cfRule type="cellIs" dxfId="51" priority="34" stopIfTrue="1" operator="between">
      <formula>-0.001</formula>
      <formula>0.001</formula>
    </cfRule>
  </conditionalFormatting>
  <conditionalFormatting sqref="BV52">
    <cfRule type="cellIs" dxfId="50" priority="33" stopIfTrue="1" operator="between">
      <formula>-0.001</formula>
      <formula>0.001</formula>
    </cfRule>
  </conditionalFormatting>
  <conditionalFormatting sqref="BX52">
    <cfRule type="cellIs" dxfId="49" priority="32" stopIfTrue="1" operator="between">
      <formula>-0.001</formula>
      <formula>0.001</formula>
    </cfRule>
  </conditionalFormatting>
  <conditionalFormatting sqref="BY52 BY130 BY126">
    <cfRule type="cellIs" dxfId="48" priority="31" stopIfTrue="1" operator="between">
      <formula>-0.001</formula>
      <formula>0.001</formula>
    </cfRule>
  </conditionalFormatting>
  <conditionalFormatting sqref="BY127">
    <cfRule type="cellIs" dxfId="47" priority="30" stopIfTrue="1" operator="between">
      <formula>-0.001</formula>
      <formula>0.001</formula>
    </cfRule>
  </conditionalFormatting>
  <conditionalFormatting sqref="BY134">
    <cfRule type="cellIs" dxfId="46" priority="29" stopIfTrue="1" operator="between">
      <formula>-0.001</formula>
      <formula>0.001</formula>
    </cfRule>
  </conditionalFormatting>
  <conditionalFormatting sqref="BY133">
    <cfRule type="cellIs" dxfId="45" priority="28" stopIfTrue="1" operator="between">
      <formula>-0.001</formula>
      <formula>0.001</formula>
    </cfRule>
  </conditionalFormatting>
  <conditionalFormatting sqref="CA52">
    <cfRule type="cellIs" dxfId="44" priority="27" stopIfTrue="1" operator="between">
      <formula>-0.001</formula>
      <formula>0.001</formula>
    </cfRule>
  </conditionalFormatting>
  <conditionalFormatting sqref="CO52:CS52">
    <cfRule type="cellIs" dxfId="43" priority="23" stopIfTrue="1" operator="between">
      <formula>-0.001</formula>
      <formula>0.001</formula>
    </cfRule>
  </conditionalFormatting>
  <conditionalFormatting sqref="CS130">
    <cfRule type="cellIs" dxfId="42" priority="22" stopIfTrue="1" operator="between">
      <formula>-0.001</formula>
      <formula>0.001</formula>
    </cfRule>
  </conditionalFormatting>
  <conditionalFormatting sqref="CS126">
    <cfRule type="cellIs" dxfId="41" priority="21" stopIfTrue="1" operator="between">
      <formula>-0.001</formula>
      <formula>0.001</formula>
    </cfRule>
  </conditionalFormatting>
  <conditionalFormatting sqref="CD126">
    <cfRule type="cellIs" dxfId="40" priority="20" stopIfTrue="1" operator="between">
      <formula>-0.001</formula>
      <formula>0.001</formula>
    </cfRule>
  </conditionalFormatting>
  <conditionalFormatting sqref="CD127">
    <cfRule type="cellIs" dxfId="39" priority="19" stopIfTrue="1" operator="between">
      <formula>-0.001</formula>
      <formula>0.001</formula>
    </cfRule>
  </conditionalFormatting>
  <conditionalFormatting sqref="CD134">
    <cfRule type="cellIs" dxfId="38" priority="18" stopIfTrue="1" operator="between">
      <formula>-0.001</formula>
      <formula>0.001</formula>
    </cfRule>
  </conditionalFormatting>
  <conditionalFormatting sqref="CD133">
    <cfRule type="cellIs" dxfId="37" priority="17" stopIfTrue="1" operator="between">
      <formula>-0.001</formula>
      <formula>0.001</formula>
    </cfRule>
  </conditionalFormatting>
  <conditionalFormatting sqref="CZ52">
    <cfRule type="cellIs" dxfId="36" priority="16" stopIfTrue="1" operator="between">
      <formula>-0.001</formula>
      <formula>0.001</formula>
    </cfRule>
  </conditionalFormatting>
  <conditionalFormatting sqref="CZ53">
    <cfRule type="cellIs" dxfId="35" priority="15" stopIfTrue="1" operator="between">
      <formula>-0.001</formula>
      <formula>0.001</formula>
    </cfRule>
  </conditionalFormatting>
  <conditionalFormatting sqref="CT52:CX52">
    <cfRule type="cellIs" dxfId="34" priority="11" stopIfTrue="1" operator="between">
      <formula>-0.001</formula>
      <formula>0.001</formula>
    </cfRule>
  </conditionalFormatting>
  <conditionalFormatting sqref="CX130">
    <cfRule type="cellIs" dxfId="33" priority="10" stopIfTrue="1" operator="between">
      <formula>-0.001</formula>
      <formula>0.001</formula>
    </cfRule>
  </conditionalFormatting>
  <conditionalFormatting sqref="CX126">
    <cfRule type="cellIs" dxfId="32" priority="9" stopIfTrue="1" operator="between">
      <formula>-0.001</formula>
      <formula>0.001</formula>
    </cfRule>
  </conditionalFormatting>
  <conditionalFormatting sqref="CH52">
    <cfRule type="cellIs" dxfId="31" priority="8" stopIfTrue="1" operator="between">
      <formula>-0.001</formula>
      <formula>0.001</formula>
    </cfRule>
  </conditionalFormatting>
  <conditionalFormatting sqref="CI52">
    <cfRule type="cellIs" dxfId="30" priority="6" stopIfTrue="1" operator="between">
      <formula>-0.001</formula>
      <formula>0.001</formula>
    </cfRule>
  </conditionalFormatting>
  <conditionalFormatting sqref="CI130">
    <cfRule type="cellIs" dxfId="29" priority="5" stopIfTrue="1" operator="between">
      <formula>-0.001</formula>
      <formula>0.001</formula>
    </cfRule>
  </conditionalFormatting>
  <conditionalFormatting sqref="CI126">
    <cfRule type="cellIs" dxfId="28" priority="4" stopIfTrue="1" operator="between">
      <formula>-0.001</formula>
      <formula>0.001</formula>
    </cfRule>
  </conditionalFormatting>
  <conditionalFormatting sqref="CI127">
    <cfRule type="cellIs" dxfId="27" priority="3" stopIfTrue="1" operator="between">
      <formula>-0.001</formula>
      <formula>0.001</formula>
    </cfRule>
  </conditionalFormatting>
  <conditionalFormatting sqref="CI134">
    <cfRule type="cellIs" dxfId="26" priority="2" stopIfTrue="1" operator="between">
      <formula>-0.001</formula>
      <formula>0.001</formula>
    </cfRule>
  </conditionalFormatting>
  <conditionalFormatting sqref="CI133">
    <cfRule type="cellIs" dxfId="25" priority="1" stopIfTrue="1" operator="between">
      <formula>-0.001</formula>
      <formula>0.001</formula>
    </cfRule>
  </conditionalFormatting>
  <pageMargins left="0" right="0" top="0" bottom="0" header="0" footer="0"/>
  <pageSetup paperSize="5" orientation="landscape" r:id="rId1"/>
  <headerFooter alignWithMargins="0"/>
  <rowBreaks count="1" manualBreakCount="1">
    <brk id="90" max="78" man="1"/>
  </rowBreaks>
  <ignoredErrors>
    <ignoredError sqref="BN60 BS60" formulaRange="1"/>
    <ignoredError sqref="BY61 CD61" formula="1"/>
  </ignoredError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tabColor theme="3"/>
    <pageSetUpPr autoPageBreaks="0" fitToPage="1"/>
  </sheetPr>
  <dimension ref="A1:DI120"/>
  <sheetViews>
    <sheetView showGridLines="0" workbookViewId="0">
      <pane xSplit="71" ySplit="6" topLeftCell="BY7" activePane="bottomRight" state="frozen"/>
      <selection pane="topRight" activeCell="BT1" sqref="BT1"/>
      <selection pane="bottomLeft" activeCell="A7" sqref="A7"/>
      <selection pane="bottomRight" activeCell="BY57" sqref="BY57"/>
    </sheetView>
  </sheetViews>
  <sheetFormatPr defaultRowHeight="12.75" outlineLevelRow="2" outlineLevelCol="2"/>
  <cols>
    <col min="1" max="1" width="41.85546875" customWidth="1"/>
    <col min="2" max="2" width="39.42578125" hidden="1" customWidth="1"/>
    <col min="3" max="6" width="7.7109375" hidden="1" customWidth="1" outlineLevel="2"/>
    <col min="7" max="7" width="7.7109375" hidden="1" customWidth="1" outlineLevel="1"/>
    <col min="8" max="11" width="6.85546875" hidden="1" customWidth="1" outlineLevel="2"/>
    <col min="12" max="12" width="6.85546875" hidden="1" customWidth="1" outlineLevel="1"/>
    <col min="13" max="16" width="6.85546875" hidden="1" customWidth="1" outlineLevel="2"/>
    <col min="17" max="17" width="6.7109375" hidden="1" customWidth="1" outlineLevel="1"/>
    <col min="18" max="21" width="6.7109375" hidden="1" customWidth="1" outlineLevel="2"/>
    <col min="22" max="22" width="6.7109375" hidden="1" customWidth="1" outlineLevel="1"/>
    <col min="23" max="26" width="6.7109375" hidden="1" customWidth="1" outlineLevel="2"/>
    <col min="27" max="27" width="6.7109375" hidden="1" customWidth="1" outlineLevel="1"/>
    <col min="28" max="28" width="8.7109375" hidden="1" customWidth="1" outlineLevel="2"/>
    <col min="29" max="31" width="6.7109375" hidden="1" customWidth="1" outlineLevel="2"/>
    <col min="32" max="34" width="6.7109375" hidden="1" customWidth="1" outlineLevel="1"/>
    <col min="35" max="36" width="8" hidden="1" customWidth="1" outlineLevel="1"/>
    <col min="37" max="37" width="7.85546875" hidden="1" customWidth="1" outlineLevel="1"/>
    <col min="38" max="38" width="7.42578125" hidden="1" customWidth="1" outlineLevel="1"/>
    <col min="39" max="41" width="8" hidden="1" customWidth="1" outlineLevel="1"/>
    <col min="42" max="42" width="7.85546875" hidden="1" customWidth="1" collapsed="1"/>
    <col min="43" max="43" width="7.42578125" hidden="1" customWidth="1" outlineLevel="1"/>
    <col min="44" max="46" width="7.7109375" hidden="1" customWidth="1" outlineLevel="1"/>
    <col min="47" max="47" width="7.85546875" hidden="1" customWidth="1" collapsed="1"/>
    <col min="48" max="49" width="7.42578125" hidden="1" customWidth="1" outlineLevel="1"/>
    <col min="50" max="51" width="7.7109375" hidden="1" customWidth="1" outlineLevel="1"/>
    <col min="52" max="52" width="7.7109375" hidden="1" customWidth="1" collapsed="1"/>
    <col min="53" max="53" width="7.42578125" hidden="1" customWidth="1" outlineLevel="1"/>
    <col min="54" max="56" width="7.7109375" hidden="1" customWidth="1" outlineLevel="1"/>
    <col min="57" max="57" width="7.7109375" hidden="1" customWidth="1" outlineLevel="1" collapsed="1"/>
    <col min="58" max="58" width="7.42578125" hidden="1" customWidth="1" outlineLevel="1"/>
    <col min="59" max="59" width="7.85546875" hidden="1" customWidth="1" outlineLevel="1"/>
    <col min="60" max="61" width="7.7109375" hidden="1" customWidth="1" outlineLevel="1"/>
    <col min="62" max="62" width="7.7109375" hidden="1" customWidth="1" outlineLevel="1" collapsed="1"/>
    <col min="63" max="63" width="7.7109375" hidden="1" customWidth="1" outlineLevel="1"/>
    <col min="64" max="64" width="7.85546875" hidden="1" customWidth="1" outlineLevel="1"/>
    <col min="65" max="66" width="7.7109375" hidden="1" customWidth="1" outlineLevel="1"/>
    <col min="67" max="67" width="7.7109375" hidden="1" customWidth="1" collapsed="1"/>
    <col min="68" max="68" width="7.7109375" hidden="1" customWidth="1" outlineLevel="1"/>
    <col min="69" max="69" width="7.85546875" hidden="1" customWidth="1" outlineLevel="1"/>
    <col min="70" max="71" width="7.7109375" hidden="1" customWidth="1" outlineLevel="1"/>
    <col min="72" max="72" width="7.7109375" hidden="1" customWidth="1" collapsed="1"/>
    <col min="73" max="73" width="7.7109375" hidden="1" customWidth="1" outlineLevel="1"/>
    <col min="74" max="74" width="7.85546875" hidden="1" customWidth="1" outlineLevel="1"/>
    <col min="75" max="76" width="7.7109375" hidden="1" customWidth="1" outlineLevel="1"/>
    <col min="77" max="77" width="7.7109375" customWidth="1" collapsed="1"/>
    <col min="78" max="79" width="7.7109375" style="47" hidden="1" customWidth="1" outlineLevel="1"/>
    <col min="80" max="81" width="7.7109375" hidden="1" customWidth="1" outlineLevel="1"/>
    <col min="82" max="82" width="7.7109375" customWidth="1" collapsed="1"/>
    <col min="83" max="83" width="8.42578125" bestFit="1" customWidth="1" outlineLevel="1"/>
    <col min="84" max="86" width="7.7109375" customWidth="1" outlineLevel="1"/>
    <col min="87" max="87" width="7.7109375" customWidth="1"/>
    <col min="88" max="91" width="7.7109375" customWidth="1" outlineLevel="1"/>
    <col min="92" max="92" width="7.7109375" customWidth="1"/>
    <col min="93" max="96" width="7.7109375" customWidth="1" outlineLevel="1"/>
    <col min="97" max="97" width="7.7109375" customWidth="1"/>
    <col min="98" max="101" width="7.7109375" hidden="1" customWidth="1" outlineLevel="1"/>
    <col min="102" max="102" width="7.7109375" customWidth="1" collapsed="1"/>
    <col min="103" max="103" width="7.7109375" customWidth="1"/>
    <col min="104" max="105" width="1.7109375" customWidth="1"/>
    <col min="106" max="106" width="13.140625" customWidth="1"/>
    <col min="107" max="107" width="8.42578125" customWidth="1"/>
    <col min="108" max="108" width="75.28515625" customWidth="1"/>
    <col min="109" max="113" width="7.7109375" customWidth="1"/>
  </cols>
  <sheetData>
    <row r="1" spans="1:107" ht="20.100000000000001" customHeight="1">
      <c r="A1" s="30" t="str">
        <f>Model!A1</f>
        <v>Adobe Systems</v>
      </c>
      <c r="B1" s="30"/>
      <c r="C1" s="31"/>
      <c r="D1" s="31"/>
      <c r="E1" s="31"/>
      <c r="F1" s="31"/>
      <c r="G1" s="31"/>
      <c r="H1" s="31"/>
      <c r="I1" s="31"/>
      <c r="J1" s="31"/>
      <c r="K1" s="31"/>
      <c r="L1" s="31"/>
      <c r="M1" s="670"/>
      <c r="N1" s="670"/>
      <c r="O1" s="670"/>
      <c r="P1" s="670"/>
      <c r="Q1" s="31"/>
      <c r="R1" s="670"/>
      <c r="S1" s="670"/>
      <c r="T1" s="670"/>
      <c r="U1" s="670"/>
      <c r="V1" s="31"/>
      <c r="W1" s="670"/>
      <c r="X1" s="670"/>
      <c r="Y1" s="670"/>
      <c r="Z1" s="670"/>
      <c r="AA1" s="31"/>
      <c r="AB1" s="670"/>
      <c r="AC1" s="670"/>
      <c r="AD1" s="670"/>
      <c r="AE1" s="670"/>
      <c r="AF1" s="31"/>
      <c r="AG1" s="670"/>
      <c r="AH1" s="31"/>
      <c r="AI1" s="31"/>
      <c r="AJ1" s="31"/>
      <c r="AK1" s="31"/>
      <c r="AL1" s="31"/>
      <c r="AM1" s="31"/>
      <c r="AN1" s="31"/>
      <c r="AO1" s="31"/>
      <c r="AP1" s="31"/>
      <c r="AQ1" s="31"/>
      <c r="AR1" s="53"/>
      <c r="AS1" s="53"/>
      <c r="AT1" s="53"/>
      <c r="AU1" s="53"/>
      <c r="AV1" s="31"/>
      <c r="AW1" s="31"/>
      <c r="AX1" s="53"/>
      <c r="AY1" s="53"/>
      <c r="AZ1" s="53"/>
      <c r="BA1" s="31"/>
      <c r="BB1" s="53"/>
      <c r="BC1" s="53"/>
      <c r="BD1" s="53"/>
      <c r="BE1" s="53"/>
      <c r="BF1" s="31"/>
      <c r="BG1" s="53"/>
      <c r="BH1" s="1350"/>
      <c r="BI1" s="53"/>
      <c r="BJ1" s="53"/>
      <c r="BK1" s="1410"/>
      <c r="BL1" s="53"/>
      <c r="BM1" s="1417"/>
      <c r="BN1" s="1417"/>
      <c r="BO1" s="53"/>
      <c r="BP1" s="1477"/>
      <c r="BQ1" s="53"/>
      <c r="BR1" s="53"/>
      <c r="BS1" s="53"/>
      <c r="BT1" s="53"/>
      <c r="BU1" s="1477"/>
      <c r="BV1" s="53"/>
      <c r="BW1" s="53"/>
      <c r="BX1" s="53"/>
      <c r="BY1" s="53"/>
      <c r="BZ1" s="1628"/>
      <c r="CA1" s="1628"/>
      <c r="CB1" s="53"/>
      <c r="CC1" s="53"/>
      <c r="CD1" s="53"/>
      <c r="CE1" s="1739"/>
      <c r="CF1" s="53"/>
      <c r="CG1" s="53"/>
      <c r="CH1" s="53"/>
      <c r="CI1" s="53"/>
      <c r="CJ1" s="53"/>
      <c r="CK1" s="53"/>
      <c r="CL1" s="53"/>
      <c r="CM1" s="53"/>
      <c r="CN1" s="53"/>
      <c r="CO1" s="53"/>
      <c r="CP1" s="53"/>
      <c r="CQ1" s="53"/>
      <c r="CR1" s="53"/>
      <c r="CS1" s="53"/>
      <c r="CT1" s="53"/>
      <c r="CU1" s="53"/>
      <c r="CV1" s="53"/>
      <c r="CW1" s="53"/>
      <c r="CX1" s="53"/>
      <c r="CY1" s="53"/>
      <c r="CZ1" s="4"/>
      <c r="DA1" s="23"/>
      <c r="DB1" s="4"/>
      <c r="DC1" s="4"/>
    </row>
    <row r="2" spans="1:107" ht="20.100000000000001" customHeight="1">
      <c r="A2" s="5" t="s">
        <v>671</v>
      </c>
      <c r="B2" s="5"/>
      <c r="C2" s="8"/>
      <c r="D2" s="8"/>
      <c r="E2" s="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O2" s="8"/>
      <c r="AP2" s="8"/>
      <c r="AQ2" s="8"/>
      <c r="AR2" s="54"/>
      <c r="AS2" s="54"/>
      <c r="AT2" s="54"/>
      <c r="AU2" s="54"/>
      <c r="AV2" s="1297"/>
      <c r="AW2" s="8"/>
      <c r="AX2" s="54"/>
      <c r="AY2" s="54"/>
      <c r="AZ2" s="54"/>
      <c r="BA2" s="1297"/>
      <c r="BB2" s="1300"/>
      <c r="BC2" s="54"/>
      <c r="BD2" s="54"/>
      <c r="BE2" s="54"/>
      <c r="BF2" s="1297"/>
      <c r="BG2" s="54"/>
      <c r="BH2" s="54"/>
      <c r="BI2" s="54"/>
      <c r="BJ2" s="54"/>
      <c r="BK2" s="54"/>
      <c r="BL2" s="54"/>
      <c r="BM2" s="54"/>
      <c r="BN2" s="1432"/>
      <c r="BO2" s="1300"/>
      <c r="BP2" s="54"/>
      <c r="BQ2" s="54"/>
      <c r="BR2" s="54"/>
      <c r="BS2" s="54"/>
      <c r="BT2" s="1300"/>
      <c r="BU2" s="54"/>
      <c r="BV2" s="54"/>
      <c r="BW2" s="54"/>
      <c r="BX2" s="54"/>
      <c r="BY2" s="54"/>
      <c r="BZ2" s="1656"/>
      <c r="CA2" s="1656"/>
      <c r="CB2" s="54"/>
      <c r="CC2" s="54"/>
      <c r="CD2" s="54"/>
      <c r="CE2" s="54"/>
      <c r="CF2" s="54"/>
      <c r="CG2" s="54"/>
      <c r="CH2" s="54"/>
      <c r="CI2" s="54"/>
      <c r="CJ2" s="1920"/>
      <c r="CK2" s="54"/>
      <c r="CL2" s="54"/>
      <c r="CM2" s="54"/>
      <c r="CN2" s="54"/>
      <c r="CO2" s="54"/>
      <c r="CP2" s="54"/>
      <c r="CQ2" s="54"/>
      <c r="CR2" s="54"/>
      <c r="CS2" s="54"/>
      <c r="CT2" s="54"/>
      <c r="CU2" s="54"/>
      <c r="CV2" s="54"/>
      <c r="CW2" s="54"/>
      <c r="CX2" s="54"/>
      <c r="CY2" s="53"/>
      <c r="CZ2" s="4"/>
      <c r="DA2" s="23"/>
      <c r="DB2" s="4"/>
      <c r="DC2" s="4"/>
    </row>
    <row r="3" spans="1:107" ht="12.75" hidden="1" customHeight="1" outlineLevel="1">
      <c r="BZ3"/>
      <c r="CA3"/>
    </row>
    <row r="4" spans="1:107" ht="11.25" customHeight="1" collapsed="1">
      <c r="A4" s="10" t="s">
        <v>332</v>
      </c>
      <c r="B4" s="10"/>
      <c r="C4" s="11"/>
      <c r="D4" s="11"/>
      <c r="E4" s="11"/>
      <c r="F4" s="11"/>
      <c r="G4" s="70"/>
      <c r="H4" s="11"/>
      <c r="I4" s="11"/>
      <c r="J4" s="11"/>
      <c r="K4" s="11"/>
      <c r="L4" s="70"/>
      <c r="M4" s="11"/>
      <c r="N4" s="11"/>
      <c r="O4" s="11"/>
      <c r="P4" s="11"/>
      <c r="Q4" s="70"/>
      <c r="R4" s="12"/>
      <c r="S4" s="12"/>
      <c r="T4" s="12"/>
      <c r="U4" s="12"/>
      <c r="V4" s="70"/>
      <c r="W4" s="12"/>
      <c r="X4" s="12"/>
      <c r="Y4" s="12"/>
      <c r="Z4" s="12"/>
      <c r="AA4" s="70"/>
      <c r="AB4" s="12"/>
      <c r="AC4" s="12"/>
      <c r="AD4" s="12"/>
      <c r="AE4" s="12"/>
      <c r="AF4" s="70"/>
      <c r="AG4" s="12"/>
      <c r="AH4" s="11"/>
      <c r="AI4" s="11"/>
      <c r="AJ4" s="11"/>
      <c r="AK4" s="70"/>
      <c r="AL4" s="11"/>
      <c r="AM4" s="11"/>
      <c r="AN4" s="11"/>
      <c r="AO4" s="11"/>
      <c r="AP4" s="70"/>
      <c r="AQ4" s="11"/>
      <c r="AR4" s="76"/>
      <c r="AS4" s="11"/>
      <c r="AT4" s="76"/>
      <c r="AU4" s="77"/>
      <c r="AV4" s="11"/>
      <c r="AW4" s="11"/>
      <c r="AX4" s="76"/>
      <c r="AY4" s="76"/>
      <c r="AZ4" s="77"/>
      <c r="BA4" s="11"/>
      <c r="BB4" s="76"/>
      <c r="BC4" s="76"/>
      <c r="BD4" s="76"/>
      <c r="BE4" s="77"/>
      <c r="BF4" s="11"/>
      <c r="BG4" s="76"/>
      <c r="BH4" s="76"/>
      <c r="BI4" s="76"/>
      <c r="BJ4" s="77"/>
      <c r="BK4" s="76"/>
      <c r="BL4" s="76"/>
      <c r="BM4" s="76"/>
      <c r="BN4" s="76"/>
      <c r="BO4" s="77"/>
      <c r="BP4" s="76"/>
      <c r="BQ4" s="76"/>
      <c r="BR4" s="76"/>
      <c r="BS4" s="76"/>
      <c r="BT4" s="77"/>
      <c r="BU4" s="76"/>
      <c r="BV4" s="76"/>
      <c r="BW4" s="76"/>
      <c r="BX4" s="76"/>
      <c r="BY4" s="971"/>
      <c r="BZ4" s="1629"/>
      <c r="CA4" s="1629"/>
      <c r="CB4" s="1629"/>
      <c r="CC4" s="1629"/>
      <c r="CD4" s="1674"/>
      <c r="CE4" s="76"/>
      <c r="CF4" s="76"/>
      <c r="CG4" s="76"/>
      <c r="CH4" s="76"/>
      <c r="CI4" s="971"/>
      <c r="CJ4" s="76"/>
      <c r="CK4" s="76"/>
      <c r="CL4" s="76"/>
      <c r="CM4" s="76"/>
      <c r="CN4" s="971"/>
      <c r="CO4" s="76"/>
      <c r="CP4" s="76"/>
      <c r="CQ4" s="76"/>
      <c r="CR4" s="76"/>
      <c r="CS4" s="971"/>
      <c r="CT4" s="76"/>
      <c r="CU4" s="76"/>
      <c r="CV4" s="76"/>
      <c r="CW4" s="76"/>
      <c r="CX4" s="971"/>
      <c r="CY4" s="76"/>
      <c r="CZ4" s="11"/>
      <c r="DA4" s="24"/>
      <c r="DB4" s="11"/>
      <c r="DC4" s="11"/>
    </row>
    <row r="5" spans="1:107" ht="11.25" hidden="1" customHeight="1">
      <c r="A5" s="14"/>
      <c r="B5" s="14"/>
      <c r="C5" s="13"/>
      <c r="D5" s="13"/>
      <c r="E5" s="13"/>
      <c r="F5" s="13"/>
      <c r="G5" s="73"/>
      <c r="H5" s="13"/>
      <c r="I5" s="13"/>
      <c r="J5" s="13"/>
      <c r="K5" s="13"/>
      <c r="L5" s="73"/>
      <c r="M5" s="13"/>
      <c r="N5" s="13"/>
      <c r="O5" s="13"/>
      <c r="P5" s="13"/>
      <c r="Q5" s="73"/>
      <c r="R5" s="15"/>
      <c r="S5" s="15"/>
      <c r="T5" s="15"/>
      <c r="U5" s="15"/>
      <c r="V5" s="73"/>
      <c r="W5" s="15"/>
      <c r="X5" s="15"/>
      <c r="Y5" s="15"/>
      <c r="Z5" s="15"/>
      <c r="AA5" s="73"/>
      <c r="AB5" s="15"/>
      <c r="AC5" s="15"/>
      <c r="AD5" s="15"/>
      <c r="AE5" s="15"/>
      <c r="AF5" s="70"/>
      <c r="AG5" s="15"/>
      <c r="AH5" s="15"/>
      <c r="AI5" s="15"/>
      <c r="AJ5" s="15"/>
      <c r="AK5" s="73"/>
      <c r="AL5" s="15"/>
      <c r="AM5" s="15"/>
      <c r="AN5" s="15"/>
      <c r="AO5" s="15"/>
      <c r="AP5" s="73"/>
      <c r="AQ5" s="15"/>
      <c r="AR5" s="78"/>
      <c r="AS5" s="15"/>
      <c r="AT5" s="78"/>
      <c r="AU5" s="79"/>
      <c r="AV5" s="15"/>
      <c r="AW5" s="15"/>
      <c r="AX5" s="78"/>
      <c r="AY5" s="78"/>
      <c r="AZ5" s="79"/>
      <c r="BA5" s="15"/>
      <c r="BB5" s="78"/>
      <c r="BC5" s="78"/>
      <c r="BD5" s="78"/>
      <c r="BE5" s="79"/>
      <c r="BF5" s="15"/>
      <c r="BG5" s="78"/>
      <c r="BH5" s="78"/>
      <c r="BI5" s="78"/>
      <c r="BJ5" s="79"/>
      <c r="BK5" s="78"/>
      <c r="BL5" s="78"/>
      <c r="BM5" s="78"/>
      <c r="BN5" s="78"/>
      <c r="BO5" s="79"/>
      <c r="BP5" s="78"/>
      <c r="BQ5" s="78"/>
      <c r="BR5" s="78"/>
      <c r="BS5" s="78"/>
      <c r="BT5" s="79"/>
      <c r="BU5" s="78"/>
      <c r="BV5" s="78"/>
      <c r="BW5" s="78"/>
      <c r="BX5" s="78"/>
      <c r="BY5" s="972"/>
      <c r="BZ5" s="1657"/>
      <c r="CA5" s="1657"/>
      <c r="CB5" s="1657"/>
      <c r="CC5" s="1657"/>
      <c r="CD5" s="1675"/>
      <c r="CE5" s="78"/>
      <c r="CF5" s="78"/>
      <c r="CG5" s="78"/>
      <c r="CH5" s="78"/>
      <c r="CI5" s="972"/>
      <c r="CJ5" s="78"/>
      <c r="CK5" s="78"/>
      <c r="CL5" s="78"/>
      <c r="CM5" s="78"/>
      <c r="CN5" s="972"/>
      <c r="CO5" s="78"/>
      <c r="CP5" s="78"/>
      <c r="CQ5" s="78"/>
      <c r="CR5" s="78"/>
      <c r="CS5" s="972"/>
      <c r="CT5" s="78"/>
      <c r="CU5" s="78"/>
      <c r="CV5" s="78"/>
      <c r="CW5" s="78"/>
      <c r="CX5" s="972"/>
      <c r="CZ5" s="11"/>
      <c r="DA5" s="24"/>
      <c r="DB5" s="11"/>
      <c r="DC5" s="11"/>
    </row>
    <row r="6" spans="1:107">
      <c r="A6" s="63"/>
      <c r="B6" s="63"/>
      <c r="C6" s="64" t="str">
        <f>Model!C6</f>
        <v>2/01</v>
      </c>
      <c r="D6" s="64" t="str">
        <f>Model!D6</f>
        <v>5/01</v>
      </c>
      <c r="E6" s="64" t="str">
        <f>Model!E6</f>
        <v>8/01</v>
      </c>
      <c r="F6" s="64" t="str">
        <f>Model!F6</f>
        <v>11/01</v>
      </c>
      <c r="G6" s="71" t="str">
        <f>Model!G6</f>
        <v>FY01</v>
      </c>
      <c r="H6" s="64" t="str">
        <f>Model!H6</f>
        <v>2/02</v>
      </c>
      <c r="I6" s="64" t="str">
        <f>Model!I6</f>
        <v>5/02</v>
      </c>
      <c r="J6" s="64" t="str">
        <f>Model!J6</f>
        <v>8/02</v>
      </c>
      <c r="K6" s="64" t="str">
        <f>Model!K6</f>
        <v>11/02</v>
      </c>
      <c r="L6" s="71" t="str">
        <f>Model!L6</f>
        <v>FY02</v>
      </c>
      <c r="M6" s="64" t="str">
        <f>Model!M6</f>
        <v>2/03</v>
      </c>
      <c r="N6" s="64" t="str">
        <f>Model!N6</f>
        <v>5/03</v>
      </c>
      <c r="O6" s="64" t="str">
        <f>Model!O6</f>
        <v>8/03</v>
      </c>
      <c r="P6" s="64" t="str">
        <f>Model!P6</f>
        <v>11/03</v>
      </c>
      <c r="Q6" s="71" t="str">
        <f>Model!Q6</f>
        <v>FY03</v>
      </c>
      <c r="R6" s="64" t="str">
        <f>Model!R6</f>
        <v>2/04</v>
      </c>
      <c r="S6" s="64" t="str">
        <f>Model!S6</f>
        <v>5/04</v>
      </c>
      <c r="T6" s="64" t="str">
        <f>Model!T6</f>
        <v>8/04</v>
      </c>
      <c r="U6" s="64" t="str">
        <f>Model!U6</f>
        <v>11/04</v>
      </c>
      <c r="V6" s="71" t="str">
        <f>Model!V6</f>
        <v>FY04</v>
      </c>
      <c r="W6" s="64" t="str">
        <f>Model!W6</f>
        <v>2/05</v>
      </c>
      <c r="X6" s="64" t="str">
        <f>Model!X6</f>
        <v xml:space="preserve"> 5/05</v>
      </c>
      <c r="Y6" s="64" t="str">
        <f>Model!Y6</f>
        <v>8/05</v>
      </c>
      <c r="Z6" s="64" t="str">
        <f>Model!Z6</f>
        <v>11/05</v>
      </c>
      <c r="AA6" s="71" t="str">
        <f>Model!AA6</f>
        <v>FY05</v>
      </c>
      <c r="AB6" s="64" t="str">
        <f>Model!AB6</f>
        <v>2/06</v>
      </c>
      <c r="AC6" s="64" t="str">
        <f>Model!AC6</f>
        <v xml:space="preserve"> 5/06</v>
      </c>
      <c r="AD6" s="64" t="str">
        <f>Model!AD6</f>
        <v>8/06</v>
      </c>
      <c r="AE6" s="64" t="str">
        <f>Model!AE6</f>
        <v>11/06</v>
      </c>
      <c r="AF6" s="71" t="str">
        <f>Model!AF6</f>
        <v>FY06</v>
      </c>
      <c r="AG6" s="64" t="str">
        <f>Model!AG6</f>
        <v xml:space="preserve"> 2/07</v>
      </c>
      <c r="AH6" s="64" t="str">
        <f>Model!AH6</f>
        <v>5/07</v>
      </c>
      <c r="AI6" s="64" t="str">
        <f>Model!AI6</f>
        <v>8/07</v>
      </c>
      <c r="AJ6" s="64" t="str">
        <f>Model!AJ6</f>
        <v>11/07</v>
      </c>
      <c r="AK6" s="71" t="str">
        <f>Model!AK6</f>
        <v>FY07</v>
      </c>
      <c r="AL6" s="64" t="str">
        <f>Model!AL6</f>
        <v xml:space="preserve"> 2/08</v>
      </c>
      <c r="AM6" s="64" t="str">
        <f>Model!AM6</f>
        <v>5/08</v>
      </c>
      <c r="AN6" s="64" t="str">
        <f>Model!AN6</f>
        <v>8/08</v>
      </c>
      <c r="AO6" s="64" t="str">
        <f>Model!AO6</f>
        <v>11/08</v>
      </c>
      <c r="AP6" s="71" t="str">
        <f>Model!AP6</f>
        <v>FY08</v>
      </c>
      <c r="AQ6" s="64" t="str">
        <f>Model!AQ6</f>
        <v xml:space="preserve"> 2/09</v>
      </c>
      <c r="AR6" s="64" t="str">
        <f>Model!AR6</f>
        <v>5/09</v>
      </c>
      <c r="AS6" s="64" t="str">
        <f>Model!AS6</f>
        <v>8/09</v>
      </c>
      <c r="AT6" s="64" t="str">
        <f>Model!AT6</f>
        <v>11/09</v>
      </c>
      <c r="AU6" s="71" t="str">
        <f>Model!AU6</f>
        <v>FY09</v>
      </c>
      <c r="AV6" s="64" t="str">
        <f>Model!AV6</f>
        <v xml:space="preserve"> 2/10</v>
      </c>
      <c r="AW6" s="64" t="str">
        <f>Model!AW6</f>
        <v>5/10</v>
      </c>
      <c r="AX6" s="64" t="str">
        <f>Model!AX6</f>
        <v>8/10</v>
      </c>
      <c r="AY6" s="64" t="str">
        <f>Model!AY6</f>
        <v>11/10</v>
      </c>
      <c r="AZ6" s="71" t="str">
        <f>Model!AZ6</f>
        <v>FY10</v>
      </c>
      <c r="BA6" s="64" t="str">
        <f>Model!BA6</f>
        <v xml:space="preserve"> 2/11</v>
      </c>
      <c r="BB6" s="64" t="str">
        <f>Model!BB6</f>
        <v>5/11</v>
      </c>
      <c r="BC6" s="64" t="str">
        <f>Model!BC6</f>
        <v>8/11</v>
      </c>
      <c r="BD6" s="64" t="str">
        <f>Model!BD6</f>
        <v>11/11</v>
      </c>
      <c r="BE6" s="71" t="str">
        <f>Model!BE6</f>
        <v>FY11</v>
      </c>
      <c r="BF6" s="64" t="str">
        <f>Model!BF6</f>
        <v xml:space="preserve"> 2/12</v>
      </c>
      <c r="BG6" s="64" t="str">
        <f>Model!BG6</f>
        <v>5/12</v>
      </c>
      <c r="BH6" s="64" t="str">
        <f>Model!BH6</f>
        <v>8/12</v>
      </c>
      <c r="BI6" s="64" t="str">
        <f>Model!BI6</f>
        <v>11/12</v>
      </c>
      <c r="BJ6" s="71" t="str">
        <f>Model!BJ6</f>
        <v>FY12</v>
      </c>
      <c r="BK6" s="64" t="str">
        <f>Model!BK6</f>
        <v xml:space="preserve"> 2/13</v>
      </c>
      <c r="BL6" s="64" t="str">
        <f>Model!BL6</f>
        <v>5/13</v>
      </c>
      <c r="BM6" s="64" t="str">
        <f>Model!BM6</f>
        <v>8/13</v>
      </c>
      <c r="BN6" s="64" t="str">
        <f>Model!BN6</f>
        <v>11/13</v>
      </c>
      <c r="BO6" s="71" t="str">
        <f>Model!BO6</f>
        <v>FY13</v>
      </c>
      <c r="BP6" s="64" t="str">
        <f>Model!BP6</f>
        <v xml:space="preserve"> 2/14</v>
      </c>
      <c r="BQ6" s="64" t="str">
        <f>Model!BQ6</f>
        <v>5/14</v>
      </c>
      <c r="BR6" s="1120" t="str">
        <f>Model!BR6</f>
        <v>8/14</v>
      </c>
      <c r="BS6" s="1120" t="str">
        <f>Model!BS6</f>
        <v>11/14</v>
      </c>
      <c r="BT6" s="71" t="str">
        <f>Model!BT6</f>
        <v>FY14</v>
      </c>
      <c r="BU6" s="64" t="str">
        <f>Model!BU6</f>
        <v xml:space="preserve"> 2/15</v>
      </c>
      <c r="BV6" s="64" t="str">
        <f>Model!BV6</f>
        <v>5/15</v>
      </c>
      <c r="BW6" s="1120" t="str">
        <f>Model!BW6</f>
        <v>8/15</v>
      </c>
      <c r="BX6" s="1120" t="str">
        <f>Model!BX6</f>
        <v>11/15</v>
      </c>
      <c r="BY6" s="71" t="str">
        <f>Model!BY6</f>
        <v>FY15</v>
      </c>
      <c r="BZ6" s="64" t="str">
        <f>Model!BZ6</f>
        <v xml:space="preserve"> 2/16</v>
      </c>
      <c r="CA6" s="64" t="str">
        <f>Model!CA6</f>
        <v>5/16</v>
      </c>
      <c r="CB6" s="64" t="str">
        <f>Model!CB6</f>
        <v>8/16</v>
      </c>
      <c r="CC6" s="64" t="str">
        <f>Model!CC6</f>
        <v>11/16</v>
      </c>
      <c r="CD6" s="1676" t="str">
        <f>Model!CD6</f>
        <v>FY16</v>
      </c>
      <c r="CE6" s="64" t="str">
        <f>Model!CE6</f>
        <v xml:space="preserve"> 2/17</v>
      </c>
      <c r="CF6" s="64" t="str">
        <f>Model!CF6</f>
        <v>5/17</v>
      </c>
      <c r="CG6" s="64" t="str">
        <f>Model!CG6</f>
        <v>8/17</v>
      </c>
      <c r="CH6" s="64" t="str">
        <f>Model!CH6</f>
        <v>11/17</v>
      </c>
      <c r="CI6" s="1676" t="str">
        <f>Model!CI6</f>
        <v>FY17</v>
      </c>
      <c r="CJ6" s="65" t="str">
        <f>Model!CJ6</f>
        <v xml:space="preserve"> 2/18</v>
      </c>
      <c r="CK6" s="65" t="str">
        <f>Model!CK6</f>
        <v>5/18E</v>
      </c>
      <c r="CL6" s="65" t="str">
        <f>Model!CL6</f>
        <v>8/18E</v>
      </c>
      <c r="CM6" s="65" t="str">
        <f>Model!CM6</f>
        <v>11/18E</v>
      </c>
      <c r="CN6" s="973" t="str">
        <f>Model!CN6</f>
        <v>FY18E</v>
      </c>
      <c r="CO6" s="65" t="str">
        <f>Model!CO6</f>
        <v xml:space="preserve"> 2/19E</v>
      </c>
      <c r="CP6" s="65" t="str">
        <f>Model!CP6</f>
        <v>5/19E</v>
      </c>
      <c r="CQ6" s="65" t="str">
        <f>Model!CQ6</f>
        <v>8/19E</v>
      </c>
      <c r="CR6" s="65" t="str">
        <f>Model!CR6</f>
        <v>11/19E</v>
      </c>
      <c r="CS6" s="973" t="str">
        <f>Model!CS6</f>
        <v>FY19E</v>
      </c>
      <c r="CT6" s="65" t="str">
        <f>Model!CT6</f>
        <v xml:space="preserve"> 2/20E</v>
      </c>
      <c r="CU6" s="65" t="str">
        <f>Model!CU6</f>
        <v>5/20E</v>
      </c>
      <c r="CV6" s="65" t="str">
        <f>Model!CV6</f>
        <v>8/20E</v>
      </c>
      <c r="CW6" s="65" t="str">
        <f>Model!CW6</f>
        <v>11/20E</v>
      </c>
      <c r="CX6" s="973" t="str">
        <f>Model!CX6</f>
        <v>FY20E</v>
      </c>
      <c r="CY6" s="65"/>
      <c r="CZ6" s="64"/>
      <c r="DA6" s="67"/>
      <c r="DB6" s="66"/>
      <c r="DC6" s="66"/>
    </row>
    <row r="7" spans="1:107" ht="10.5" hidden="1" customHeight="1" outlineLevel="1">
      <c r="A7" s="80" t="s">
        <v>457</v>
      </c>
      <c r="B7" s="80"/>
      <c r="C7" s="72"/>
      <c r="D7" s="72"/>
      <c r="E7" s="72"/>
      <c r="F7" s="72"/>
      <c r="G7" s="60"/>
      <c r="H7" s="72"/>
      <c r="I7" s="72"/>
      <c r="J7" s="72"/>
      <c r="K7" s="72"/>
      <c r="L7" s="60"/>
      <c r="M7" s="72"/>
      <c r="N7" s="72"/>
      <c r="O7" s="72"/>
      <c r="P7" s="75"/>
      <c r="Q7" s="60"/>
      <c r="R7" s="72"/>
      <c r="S7" s="72"/>
      <c r="T7" s="72"/>
      <c r="U7" s="72"/>
      <c r="V7" s="60"/>
      <c r="W7" s="72"/>
      <c r="X7" s="72"/>
      <c r="Y7" s="72"/>
      <c r="Z7" s="72"/>
      <c r="AA7" s="60"/>
      <c r="AB7" s="72"/>
      <c r="AC7" s="72"/>
      <c r="AD7" s="72"/>
      <c r="AE7" s="72"/>
      <c r="AF7" s="74"/>
      <c r="AG7" s="72"/>
      <c r="AH7" s="56"/>
      <c r="AI7" s="56"/>
      <c r="AJ7" s="56"/>
      <c r="AK7" s="57"/>
      <c r="AL7" s="56"/>
      <c r="AM7" s="56"/>
      <c r="AN7" s="56"/>
      <c r="AO7" s="56"/>
      <c r="AP7" s="57"/>
      <c r="AQ7" s="56"/>
      <c r="AR7" s="58"/>
      <c r="AS7" s="56"/>
      <c r="AT7" s="56"/>
      <c r="AU7" s="57"/>
      <c r="AV7" s="56"/>
      <c r="AW7" s="56"/>
      <c r="AX7" s="56"/>
      <c r="AY7" s="56"/>
      <c r="AZ7" s="57"/>
      <c r="BA7" s="56"/>
      <c r="BB7" s="56"/>
      <c r="BC7" s="56"/>
      <c r="BD7" s="56"/>
      <c r="BE7" s="57"/>
      <c r="BF7" s="56"/>
      <c r="BG7" s="56"/>
      <c r="BH7" s="56"/>
      <c r="BI7" s="56"/>
      <c r="BJ7" s="57"/>
      <c r="BK7" s="58"/>
      <c r="BL7" s="56"/>
      <c r="BM7" s="1433"/>
      <c r="BN7" s="1433"/>
      <c r="BO7" s="57"/>
      <c r="BP7" s="1433"/>
      <c r="BQ7" s="56"/>
      <c r="BR7" s="58"/>
      <c r="BS7" s="58"/>
      <c r="BT7" s="57"/>
      <c r="BU7" s="1433"/>
      <c r="BV7" s="56"/>
      <c r="BW7" s="58"/>
      <c r="BX7" s="58"/>
      <c r="BY7" s="57"/>
      <c r="BZ7" s="1433"/>
      <c r="CA7" s="1433"/>
      <c r="CB7" s="1433"/>
      <c r="CC7" s="1433"/>
      <c r="CD7" s="1677"/>
      <c r="CE7" s="1433"/>
      <c r="CF7" s="1433"/>
      <c r="CG7" s="1433"/>
      <c r="CH7" s="1433"/>
      <c r="CI7" s="1677"/>
      <c r="CJ7" s="58"/>
      <c r="CK7" s="58"/>
      <c r="CL7" s="58"/>
      <c r="CM7" s="58"/>
      <c r="CN7" s="974"/>
      <c r="CO7" s="58"/>
      <c r="CP7" s="58"/>
      <c r="CQ7" s="58"/>
      <c r="CR7" s="58"/>
      <c r="CS7" s="974"/>
      <c r="CT7" s="58"/>
      <c r="CU7" s="58"/>
      <c r="CV7" s="58"/>
      <c r="CW7" s="58"/>
      <c r="CX7" s="974"/>
      <c r="CY7" s="58"/>
      <c r="CZ7" s="56"/>
      <c r="DA7" s="59"/>
      <c r="DB7" s="56"/>
      <c r="DC7" s="56"/>
    </row>
    <row r="8" spans="1:107" ht="10.5" hidden="1" customHeight="1" outlineLevel="1">
      <c r="A8" s="706" t="s">
        <v>672</v>
      </c>
      <c r="B8" s="706"/>
      <c r="C8" s="725">
        <f>Model!C110</f>
        <v>62.950999999999972</v>
      </c>
      <c r="D8" s="725">
        <f>Model!D110+Model!C110</f>
        <v>112.83400000000002</v>
      </c>
      <c r="E8" s="725">
        <f>Model!E110+Model!D110+Model!C110</f>
        <v>138.93300000000002</v>
      </c>
      <c r="F8" s="725">
        <f>Model!F110+Model!E110+Model!D110+Model!C110</f>
        <v>166.12399999999994</v>
      </c>
      <c r="G8" s="764">
        <f>F8</f>
        <v>166.12399999999994</v>
      </c>
      <c r="H8" s="725">
        <f>Model!H110</f>
        <v>49.808</v>
      </c>
      <c r="I8" s="725">
        <f>Model!I110+Model!H110</f>
        <v>104.10900000000007</v>
      </c>
      <c r="J8" s="725">
        <f>Model!J110+Model!I110+Model!H110</f>
        <v>151.31000000000009</v>
      </c>
      <c r="K8" s="725">
        <f>Model!K110+Model!J110+Model!I110+Model!H110</f>
        <v>191.39900000000006</v>
      </c>
      <c r="L8" s="764">
        <f>K8</f>
        <v>191.39900000000006</v>
      </c>
      <c r="M8" s="725">
        <f>Model!M110</f>
        <v>54.224999999999952</v>
      </c>
      <c r="N8" s="725">
        <f>Model!N110+Model!M110</f>
        <v>118.4709999999999</v>
      </c>
      <c r="O8" s="725">
        <f>Model!O110+Model!N110+Model!M110</f>
        <v>182.99499999999989</v>
      </c>
      <c r="P8" s="725">
        <f>Model!P110+Model!O110+Model!N110+Model!M110</f>
        <v>266.34399999999982</v>
      </c>
      <c r="Q8" s="764">
        <f>P8</f>
        <v>266.34399999999982</v>
      </c>
      <c r="R8" s="707">
        <f>Model!R110</f>
        <v>123.03499999999997</v>
      </c>
      <c r="S8" s="707">
        <f>R8+Model!S110</f>
        <v>232.43599999999992</v>
      </c>
      <c r="T8" s="707">
        <f>S8+Model!T110</f>
        <v>336.89699999999988</v>
      </c>
      <c r="U8" s="707">
        <f>T8+Model!U110</f>
        <v>450.39799999999985</v>
      </c>
      <c r="V8" s="764">
        <f>U8</f>
        <v>450.39799999999985</v>
      </c>
      <c r="W8" s="707">
        <f>Model!W110</f>
        <v>151.89400000000001</v>
      </c>
      <c r="X8" s="707">
        <f>W8+Model!X110</f>
        <v>301.67199999999991</v>
      </c>
      <c r="Y8" s="707">
        <f>X8+Model!Y110</f>
        <v>446.58799999999985</v>
      </c>
      <c r="Z8" s="707">
        <f>Y8+Model!Z110</f>
        <v>602.83899999999994</v>
      </c>
      <c r="AA8" s="764">
        <f>Z8</f>
        <v>602.83899999999994</v>
      </c>
      <c r="AB8" s="1011">
        <f>Model!AB110</f>
        <v>105.07200000000006</v>
      </c>
      <c r="AC8" s="707">
        <f>AB8+Model!AC110</f>
        <v>228.16900000000007</v>
      </c>
      <c r="AD8" s="707">
        <f>AC8+Model!AD110</f>
        <v>322.56500000000005</v>
      </c>
      <c r="AE8" s="707">
        <f>AD8+Model!AE110</f>
        <v>503.92900000000003</v>
      </c>
      <c r="AF8" s="765">
        <f>AE8</f>
        <v>503.92900000000003</v>
      </c>
      <c r="AG8" s="707">
        <f>Model!AG110</f>
        <v>143.85100000000011</v>
      </c>
      <c r="AH8" s="707">
        <f>AG8+Model!AH110</f>
        <v>296.35600000000011</v>
      </c>
      <c r="AI8" s="707">
        <f>AH8+Model!AI110</f>
        <v>501.59900000000005</v>
      </c>
      <c r="AJ8" s="707">
        <f>AI8+Model!AJ110</f>
        <v>723.80700000000002</v>
      </c>
      <c r="AK8" s="764">
        <f>AJ8</f>
        <v>723.80700000000002</v>
      </c>
      <c r="AL8" s="707">
        <v>219.37899999999999</v>
      </c>
      <c r="AM8" s="707">
        <v>434.28899999999999</v>
      </c>
      <c r="AN8" s="707">
        <f>AM8+Model!AN110</f>
        <v>625.89699999999993</v>
      </c>
      <c r="AO8" s="707">
        <f>AN8+Model!AO110</f>
        <v>871.81399999999996</v>
      </c>
      <c r="AP8" s="764">
        <f>AO8</f>
        <v>871.81399999999996</v>
      </c>
      <c r="AQ8" s="707">
        <f>Model!AQ110</f>
        <v>156.43499999999992</v>
      </c>
      <c r="AR8" s="707">
        <f>AQ8+Model!AR110</f>
        <v>282.50599999999997</v>
      </c>
      <c r="AS8" s="707">
        <f>AR8+Model!AS110</f>
        <v>418.55100000000004</v>
      </c>
      <c r="AT8" s="707">
        <f>AS8+Model!AT110</f>
        <v>386.50800000000004</v>
      </c>
      <c r="AU8" s="764">
        <f>AT8</f>
        <v>386.50800000000004</v>
      </c>
      <c r="AV8" s="707">
        <f>Model!AV110</f>
        <v>127.15399999999997</v>
      </c>
      <c r="AW8" s="707">
        <f>AV8+Model!AW110</f>
        <v>275.76499999999987</v>
      </c>
      <c r="AX8" s="707">
        <f>AW8+Model!AX110</f>
        <v>505.82999999999981</v>
      </c>
      <c r="AY8" s="707">
        <f>AX8+Model!AY110</f>
        <v>774.67999999999961</v>
      </c>
      <c r="AZ8" s="764">
        <f>AY8</f>
        <v>774.67999999999961</v>
      </c>
      <c r="BA8" s="707">
        <v>234.59100000000001</v>
      </c>
      <c r="BB8" s="707">
        <v>464.02699999999999</v>
      </c>
      <c r="BC8" s="707">
        <v>659.12800000000004</v>
      </c>
      <c r="BD8" s="707">
        <v>832.84699999999998</v>
      </c>
      <c r="BE8" s="764">
        <f>BD8</f>
        <v>832.84699999999998</v>
      </c>
      <c r="BF8" s="707">
        <v>185.209</v>
      </c>
      <c r="BG8" s="707">
        <v>409.08499999999998</v>
      </c>
      <c r="BH8" s="707">
        <v>610.44200000000001</v>
      </c>
      <c r="BI8" s="707">
        <v>832.77499999999998</v>
      </c>
      <c r="BJ8" s="764">
        <f>BI8</f>
        <v>832.77499999999998</v>
      </c>
      <c r="BK8" s="707">
        <v>65.117000000000004</v>
      </c>
      <c r="BL8" s="707">
        <v>141.66300000000001</v>
      </c>
      <c r="BM8" s="707">
        <v>224.66499999999999</v>
      </c>
      <c r="BN8" s="707">
        <v>289.98500000000001</v>
      </c>
      <c r="BO8" s="764">
        <f>BN8</f>
        <v>289.98500000000001</v>
      </c>
      <c r="BP8" s="707">
        <v>47.045999999999999</v>
      </c>
      <c r="BQ8" s="707">
        <v>135.57300000000001</v>
      </c>
      <c r="BR8" s="707">
        <v>180.25899999999999</v>
      </c>
      <c r="BS8" s="707">
        <v>268.39499999999998</v>
      </c>
      <c r="BT8" s="764">
        <f>BS8</f>
        <v>268.39499999999998</v>
      </c>
      <c r="BU8" s="707">
        <v>84.888000000000048</v>
      </c>
      <c r="BV8" s="707">
        <v>232.381</v>
      </c>
      <c r="BW8" s="707">
        <v>406.846</v>
      </c>
      <c r="BX8" s="707">
        <v>629.55100000000004</v>
      </c>
      <c r="BY8" s="764">
        <f>BX8</f>
        <v>629.55100000000004</v>
      </c>
      <c r="BZ8" s="1373">
        <v>254.30699999999999</v>
      </c>
      <c r="CA8" s="1373">
        <v>498.38099999999997</v>
      </c>
      <c r="CB8" s="1373">
        <v>769.16899999999998</v>
      </c>
      <c r="CC8" s="1373">
        <v>1168.7819999999999</v>
      </c>
      <c r="CD8" s="1678">
        <f>CC8</f>
        <v>1168.7819999999999</v>
      </c>
      <c r="CE8" s="1373">
        <v>398.44600000000003</v>
      </c>
      <c r="CF8" s="1373">
        <v>772.83600000000001</v>
      </c>
      <c r="CG8" s="1373">
        <v>1192.405</v>
      </c>
      <c r="CH8" s="1373">
        <f>501.549+CG8</f>
        <v>1693.954</v>
      </c>
      <c r="CI8" s="1678">
        <f>CH8</f>
        <v>1693.954</v>
      </c>
      <c r="CJ8" s="1257">
        <v>583.07600000000002</v>
      </c>
      <c r="CK8" s="1257">
        <f>CJ8+Model!CK110</f>
        <v>1192.7375359429147</v>
      </c>
      <c r="CL8" s="1257">
        <f>CK8+Model!CL110</f>
        <v>1839.3762967590542</v>
      </c>
      <c r="CM8" s="1257">
        <f>CL8+Model!CM110</f>
        <v>2527.8162810054791</v>
      </c>
      <c r="CN8" s="1611">
        <f>CM8</f>
        <v>2527.8162810054791</v>
      </c>
      <c r="CO8" s="1257">
        <f>Model!CO110</f>
        <v>701.24395298212164</v>
      </c>
      <c r="CP8" s="1257">
        <f>CO8+Model!CP110</f>
        <v>1408.7402873611013</v>
      </c>
      <c r="CQ8" s="1257">
        <f>CP8+Model!CQ110</f>
        <v>2149.0594901229388</v>
      </c>
      <c r="CR8" s="1257">
        <f>CQ8+Model!CR110</f>
        <v>2936.7812409692115</v>
      </c>
      <c r="CS8" s="1611">
        <f>CR8</f>
        <v>2936.7812409692115</v>
      </c>
      <c r="CT8" s="1257">
        <f>Model!CT110</f>
        <v>848.75901943722727</v>
      </c>
      <c r="CU8" s="1257">
        <f>CT8+Model!CU110</f>
        <v>1709.6860011729673</v>
      </c>
      <c r="CV8" s="1257">
        <f>CU8+Model!CV110</f>
        <v>2602.1660942347244</v>
      </c>
      <c r="CW8" s="1257">
        <f>CV8+Model!CW110</f>
        <v>3542.3937192886433</v>
      </c>
      <c r="CX8" s="1611">
        <f>CW8</f>
        <v>3542.3937192886433</v>
      </c>
      <c r="CZ8" s="686"/>
      <c r="DA8" s="767"/>
      <c r="DB8" s="686"/>
      <c r="DC8" s="686"/>
    </row>
    <row r="9" spans="1:107" ht="10.5" hidden="1" customHeight="1" outlineLevel="1">
      <c r="A9" s="743" t="s">
        <v>458</v>
      </c>
      <c r="B9" s="743"/>
      <c r="C9" s="715"/>
      <c r="D9" s="715"/>
      <c r="E9" s="715"/>
      <c r="F9" s="715"/>
      <c r="G9" s="705"/>
      <c r="H9" s="715"/>
      <c r="I9" s="715"/>
      <c r="J9" s="715"/>
      <c r="K9" s="715"/>
      <c r="L9" s="705"/>
      <c r="M9" s="715"/>
      <c r="N9" s="715"/>
      <c r="O9" s="715"/>
      <c r="P9" s="715"/>
      <c r="Q9" s="705"/>
      <c r="R9" s="687"/>
      <c r="S9" s="687"/>
      <c r="T9" s="687"/>
      <c r="U9" s="687"/>
      <c r="V9" s="705"/>
      <c r="W9" s="687"/>
      <c r="X9" s="687"/>
      <c r="Y9" s="687"/>
      <c r="Z9" s="687"/>
      <c r="AA9" s="705"/>
      <c r="AB9" s="687"/>
      <c r="AC9" s="687"/>
      <c r="AD9" s="687"/>
      <c r="AE9" s="687"/>
      <c r="AF9" s="768"/>
      <c r="AG9" s="687"/>
      <c r="AH9" s="687"/>
      <c r="AI9" s="687"/>
      <c r="AJ9" s="687"/>
      <c r="AK9" s="705"/>
      <c r="AL9" s="687"/>
      <c r="AM9" s="687"/>
      <c r="AN9" s="687"/>
      <c r="AO9" s="687"/>
      <c r="AP9" s="705"/>
      <c r="AQ9" s="687"/>
      <c r="AR9" s="687"/>
      <c r="AS9" s="687"/>
      <c r="AT9" s="687"/>
      <c r="AU9" s="705"/>
      <c r="AV9" s="687"/>
      <c r="AW9" s="1008"/>
      <c r="AX9" s="1008"/>
      <c r="AY9" s="687"/>
      <c r="AZ9" s="705"/>
      <c r="BA9" s="687"/>
      <c r="BB9" s="687"/>
      <c r="BC9" s="687"/>
      <c r="BD9" s="687"/>
      <c r="BE9" s="705"/>
      <c r="BF9" s="687"/>
      <c r="BG9" s="687"/>
      <c r="BH9" s="687"/>
      <c r="BI9" s="687"/>
      <c r="BJ9" s="705"/>
      <c r="BK9" s="687"/>
      <c r="BL9" s="687"/>
      <c r="BM9" s="687"/>
      <c r="BN9" s="687"/>
      <c r="BO9" s="705"/>
      <c r="BP9" s="687"/>
      <c r="BQ9" s="687"/>
      <c r="BR9" s="687"/>
      <c r="BS9" s="687"/>
      <c r="BT9" s="705"/>
      <c r="BU9" s="687"/>
      <c r="BV9" s="687"/>
      <c r="BW9" s="687"/>
      <c r="BX9" s="687"/>
      <c r="BY9" s="705"/>
      <c r="BZ9" s="1106"/>
      <c r="CA9" s="1106"/>
      <c r="CB9" s="1106"/>
      <c r="CC9" s="1106"/>
      <c r="CD9" s="1655"/>
      <c r="CE9" s="1106"/>
      <c r="CF9" s="1106"/>
      <c r="CG9" s="1106"/>
      <c r="CH9" s="1106"/>
      <c r="CI9" s="1655"/>
      <c r="CJ9" s="1569"/>
      <c r="CK9" s="1569"/>
      <c r="CL9" s="1569"/>
      <c r="CM9" s="1569"/>
      <c r="CN9" s="1612"/>
      <c r="CO9" s="1569"/>
      <c r="CP9" s="1569"/>
      <c r="CQ9" s="1569"/>
      <c r="CR9" s="1569"/>
      <c r="CS9" s="1612"/>
      <c r="CT9" s="1569"/>
      <c r="CU9" s="1569"/>
      <c r="CV9" s="1569"/>
      <c r="CW9" s="1569"/>
      <c r="CX9" s="1612"/>
      <c r="CZ9" s="697"/>
      <c r="DA9" s="769"/>
      <c r="DB9" s="697"/>
      <c r="DC9" s="697"/>
    </row>
    <row r="10" spans="1:107" ht="10.5" hidden="1" customHeight="1" outlineLevel="1">
      <c r="A10" s="706" t="s">
        <v>404</v>
      </c>
      <c r="B10" s="706"/>
      <c r="C10" s="725"/>
      <c r="D10" s="725"/>
      <c r="E10" s="725"/>
      <c r="F10" s="725">
        <v>56.645000000000003</v>
      </c>
      <c r="G10" s="764">
        <f>F10</f>
        <v>56.645000000000003</v>
      </c>
      <c r="H10" s="725">
        <v>13.803000000000001</v>
      </c>
      <c r="I10" s="725">
        <v>29.524999999999999</v>
      </c>
      <c r="J10" s="725">
        <v>46.366</v>
      </c>
      <c r="K10" s="725">
        <v>63.481999999999999</v>
      </c>
      <c r="L10" s="764">
        <f>K10</f>
        <v>63.481999999999999</v>
      </c>
      <c r="M10" s="725">
        <v>11.992000000000001</v>
      </c>
      <c r="N10" s="725">
        <v>24.056999999999999</v>
      </c>
      <c r="O10" s="725">
        <v>36.238999999999997</v>
      </c>
      <c r="P10" s="725">
        <v>49.014000000000003</v>
      </c>
      <c r="Q10" s="764">
        <f>P10</f>
        <v>49.014000000000003</v>
      </c>
      <c r="R10" s="725">
        <v>13.438000000000001</v>
      </c>
      <c r="S10" s="725">
        <v>28.178999999999998</v>
      </c>
      <c r="T10" s="725">
        <v>43.006999999999998</v>
      </c>
      <c r="U10" s="725">
        <v>60.808</v>
      </c>
      <c r="V10" s="764">
        <f t="shared" ref="V10:V16" si="0">U10</f>
        <v>60.808</v>
      </c>
      <c r="W10" s="725">
        <v>14.954000000000001</v>
      </c>
      <c r="X10" s="725">
        <v>30.082000000000001</v>
      </c>
      <c r="Y10" s="725">
        <v>47.88</v>
      </c>
      <c r="Z10" s="725">
        <v>64.334999999999994</v>
      </c>
      <c r="AA10" s="764">
        <f t="shared" ref="AA10:AA30" si="1">Z10</f>
        <v>64.334999999999994</v>
      </c>
      <c r="AB10" s="725">
        <f>73.783-AB11</f>
        <v>16.828000000000003</v>
      </c>
      <c r="AC10" s="707">
        <f>146.361-AC11</f>
        <v>37.864999999999995</v>
      </c>
      <c r="AD10" s="707">
        <f>216.809-AD11</f>
        <v>56.085999999999984</v>
      </c>
      <c r="AE10" s="707">
        <f>(AD10+72.543)</f>
        <v>128.62899999999999</v>
      </c>
      <c r="AF10" s="765">
        <f t="shared" ref="AF10:AF30" si="2">AE10</f>
        <v>128.62899999999999</v>
      </c>
      <c r="AG10" s="707">
        <f>68.488-AG11</f>
        <v>15.927000000000007</v>
      </c>
      <c r="AH10" s="707">
        <f>155.51-AH11</f>
        <v>40.923000000000002</v>
      </c>
      <c r="AI10" s="707">
        <f>237.274-AI11</f>
        <v>76.117000000000019</v>
      </c>
      <c r="AJ10" s="707">
        <f>AI10+78.19-AJ11+AI11</f>
        <v>107.73700000000002</v>
      </c>
      <c r="AK10" s="764">
        <f t="shared" ref="AK10:AK30" si="3">AJ10</f>
        <v>107.73700000000002</v>
      </c>
      <c r="AL10" s="707">
        <f>69.202-39.071</f>
        <v>30.131</v>
      </c>
      <c r="AM10" s="707">
        <f>137.858-AM11</f>
        <v>57.617000000000019</v>
      </c>
      <c r="AN10" s="707">
        <f>200.537-AN11</f>
        <v>103.27200000000002</v>
      </c>
      <c r="AO10" s="707">
        <f>AN10+52.708</f>
        <v>155.98000000000002</v>
      </c>
      <c r="AP10" s="765">
        <f t="shared" ref="AP10:AP30" si="4">AO10</f>
        <v>155.98000000000002</v>
      </c>
      <c r="AQ10" s="707">
        <f>68.74-AQ11</f>
        <v>51.715999999999994</v>
      </c>
      <c r="AR10" s="707">
        <f>AQ10+64.725</f>
        <v>116.44099999999999</v>
      </c>
      <c r="AS10" s="707">
        <f>197.386-AS11</f>
        <v>176.93599999999998</v>
      </c>
      <c r="AT10" s="707">
        <f t="shared" ref="AT10:AT19" si="5">AS10+AT64</f>
        <v>261.97299999999996</v>
      </c>
      <c r="AU10" s="764">
        <f t="shared" ref="AU10:AU30" si="6">AT10</f>
        <v>261.97299999999996</v>
      </c>
      <c r="AV10" s="707">
        <v>68.581000000000003</v>
      </c>
      <c r="AW10" s="707">
        <f>AV10+74.906</f>
        <v>143.48700000000002</v>
      </c>
      <c r="AX10" s="707">
        <f>AW10+73.154</f>
        <v>216.64100000000002</v>
      </c>
      <c r="AY10" s="707">
        <f>AX10+76.097</f>
        <v>292.738</v>
      </c>
      <c r="AZ10" s="764">
        <f t="shared" ref="AZ10:AZ30" si="7">AY10</f>
        <v>292.738</v>
      </c>
      <c r="BA10" s="707">
        <v>66.286000000000001</v>
      </c>
      <c r="BB10" s="707">
        <v>132.90600000000001</v>
      </c>
      <c r="BC10" s="707">
        <v>196.91499999999999</v>
      </c>
      <c r="BD10" s="707">
        <v>270.20499999999998</v>
      </c>
      <c r="BE10" s="764">
        <f t="shared" ref="BE10:BE30" si="8">BD10</f>
        <v>270.20499999999998</v>
      </c>
      <c r="BF10" s="707">
        <v>69.861000000000004</v>
      </c>
      <c r="BG10" s="707">
        <v>147.035</v>
      </c>
      <c r="BH10" s="707">
        <v>221.14500000000001</v>
      </c>
      <c r="BI10" s="707">
        <v>299.76600000000002</v>
      </c>
      <c r="BJ10" s="764">
        <f t="shared" ref="BJ10:BJ30" si="9">BI10</f>
        <v>299.76600000000002</v>
      </c>
      <c r="BK10" s="707">
        <v>76.751999999999995</v>
      </c>
      <c r="BL10" s="707">
        <v>157.702</v>
      </c>
      <c r="BM10" s="707">
        <v>239.87700000000001</v>
      </c>
      <c r="BN10" s="707">
        <v>321.22699999999998</v>
      </c>
      <c r="BO10" s="764">
        <f t="shared" ref="BO10:BO30" si="10">BN10</f>
        <v>321.22699999999998</v>
      </c>
      <c r="BP10" s="707">
        <v>77.635999999999996</v>
      </c>
      <c r="BQ10" s="707">
        <v>155.28899999999999</v>
      </c>
      <c r="BR10" s="1373">
        <v>235.44300000000001</v>
      </c>
      <c r="BS10" s="1373">
        <v>313.58999999999997</v>
      </c>
      <c r="BT10" s="764">
        <f t="shared" ref="BT10:BT30" si="11">BS10</f>
        <v>313.58999999999997</v>
      </c>
      <c r="BU10" s="707">
        <v>79.635000000000005</v>
      </c>
      <c r="BV10" s="707">
        <v>165.56400000000002</v>
      </c>
      <c r="BW10" s="707">
        <v>253.114</v>
      </c>
      <c r="BX10" s="707">
        <v>339.47300000000001</v>
      </c>
      <c r="BY10" s="764">
        <f t="shared" ref="BY10:BY30" si="12">BX10</f>
        <v>339.47300000000001</v>
      </c>
      <c r="BZ10" s="707">
        <v>81.2</v>
      </c>
      <c r="CA10" s="1373">
        <v>165.661</v>
      </c>
      <c r="CB10" s="1373">
        <v>249.67500000000001</v>
      </c>
      <c r="CC10" s="1373">
        <v>331.53500000000003</v>
      </c>
      <c r="CD10" s="1678">
        <f t="shared" ref="CD10:CD30" si="13">CC10</f>
        <v>331.53500000000003</v>
      </c>
      <c r="CE10" s="1373">
        <v>80.808999999999997</v>
      </c>
      <c r="CF10" s="1373">
        <v>162.44399999999999</v>
      </c>
      <c r="CG10" s="1373">
        <v>244.76300000000001</v>
      </c>
      <c r="CH10" s="1373">
        <v>325.99700000000001</v>
      </c>
      <c r="CI10" s="1678">
        <f t="shared" ref="CI10:CI30" si="14">CH10</f>
        <v>325.99700000000001</v>
      </c>
      <c r="CJ10" s="1257">
        <v>76.522000000000006</v>
      </c>
      <c r="CK10" s="1257">
        <f>CJ10-BS!CK140</f>
        <v>153.42200000000003</v>
      </c>
      <c r="CL10" s="1257">
        <f>CK10-BS!CL140</f>
        <v>231.32200000000003</v>
      </c>
      <c r="CM10" s="1257">
        <f>CL10-BS!CM140</f>
        <v>310.22200000000004</v>
      </c>
      <c r="CN10" s="1611">
        <f t="shared" ref="CN10:CN30" si="15">CM10</f>
        <v>310.22200000000004</v>
      </c>
      <c r="CO10" s="1257">
        <f>-BS!CO140</f>
        <v>79.900000000000006</v>
      </c>
      <c r="CP10" s="1257">
        <f>CO10-BS!CP140</f>
        <v>160.80000000000001</v>
      </c>
      <c r="CQ10" s="1257">
        <f>CP10-BS!CQ140</f>
        <v>242.70000000000002</v>
      </c>
      <c r="CR10" s="1257">
        <f>CQ10-BS!CR140</f>
        <v>325.60000000000002</v>
      </c>
      <c r="CS10" s="1611">
        <f t="shared" ref="CS10:CS20" si="16">CR10</f>
        <v>325.60000000000002</v>
      </c>
      <c r="CT10" s="1257">
        <f>-BS!CT140</f>
        <v>83.9</v>
      </c>
      <c r="CU10" s="1257">
        <f>CT10-BS!CU140</f>
        <v>168.8</v>
      </c>
      <c r="CV10" s="1257">
        <f>CU10-BS!CV140</f>
        <v>254.70000000000002</v>
      </c>
      <c r="CW10" s="1257">
        <f>CV10-BS!CW140</f>
        <v>341.6</v>
      </c>
      <c r="CX10" s="1611">
        <f t="shared" ref="CX10:CX30" si="17">CW10</f>
        <v>341.6</v>
      </c>
      <c r="CZ10" s="686"/>
      <c r="DA10" s="767"/>
      <c r="DB10" s="686"/>
      <c r="DC10" s="686"/>
    </row>
    <row r="11" spans="1:107" ht="10.5" hidden="1" customHeight="1" outlineLevel="1">
      <c r="A11" s="699" t="s">
        <v>502</v>
      </c>
      <c r="B11" s="699"/>
      <c r="C11" s="715"/>
      <c r="D11" s="715"/>
      <c r="E11" s="715"/>
      <c r="F11" s="715"/>
      <c r="G11" s="705">
        <f t="shared" ref="G11:G30" si="18">F11</f>
        <v>0</v>
      </c>
      <c r="H11" s="715"/>
      <c r="I11" s="715"/>
      <c r="J11" s="715">
        <v>5.5449999999999999</v>
      </c>
      <c r="K11" s="715">
        <v>13.175000000000001</v>
      </c>
      <c r="L11" s="705">
        <f t="shared" ref="L11:L30" si="19">K11</f>
        <v>13.175000000000001</v>
      </c>
      <c r="M11" s="715"/>
      <c r="N11" s="715"/>
      <c r="O11" s="715"/>
      <c r="P11" s="715"/>
      <c r="Q11" s="705">
        <f t="shared" ref="Q11:Q30" si="20">P11</f>
        <v>0</v>
      </c>
      <c r="R11" s="715"/>
      <c r="S11" s="715"/>
      <c r="T11" s="715"/>
      <c r="U11" s="715"/>
      <c r="V11" s="705">
        <f t="shared" si="0"/>
        <v>0</v>
      </c>
      <c r="W11" s="715"/>
      <c r="X11" s="715"/>
      <c r="Y11" s="687">
        <v>1.115</v>
      </c>
      <c r="Z11" s="687"/>
      <c r="AA11" s="705">
        <f t="shared" si="1"/>
        <v>0</v>
      </c>
      <c r="AB11" s="687">
        <f>SUM(Model!AB57:AB58)</f>
        <v>56.954999999999998</v>
      </c>
      <c r="AC11" s="687">
        <f>AB11+SUM(Model!AC57:AC58)</f>
        <v>108.496</v>
      </c>
      <c r="AD11" s="687">
        <f>AC11+SUM(Model!AD57:AD58)</f>
        <v>160.72300000000001</v>
      </c>
      <c r="AE11" s="687">
        <f>AD11</f>
        <v>160.72300000000001</v>
      </c>
      <c r="AF11" s="768">
        <f t="shared" si="2"/>
        <v>160.72300000000001</v>
      </c>
      <c r="AG11" s="687">
        <f>SUM(Model!AG57:AG58)</f>
        <v>52.560999999999993</v>
      </c>
      <c r="AH11" s="687">
        <f>AG11+SUM(Model!AH57:AH58)</f>
        <v>114.58699999999999</v>
      </c>
      <c r="AI11" s="687">
        <f>AH11+SUM(Model!AI57:AI58)</f>
        <v>161.15699999999998</v>
      </c>
      <c r="AJ11" s="687">
        <f>AI11+SUM(Model!AJ57:AJ58)</f>
        <v>207.72699999999998</v>
      </c>
      <c r="AK11" s="705">
        <f t="shared" si="3"/>
        <v>207.72699999999998</v>
      </c>
      <c r="AL11" s="687">
        <f>0.099+39.071</f>
        <v>39.169999999999995</v>
      </c>
      <c r="AM11" s="687">
        <f>AL11+41.071</f>
        <v>80.240999999999985</v>
      </c>
      <c r="AN11" s="710">
        <f>AM11+17.024</f>
        <v>97.264999999999986</v>
      </c>
      <c r="AO11" s="710">
        <f>AN11+17.024</f>
        <v>114.28899999999999</v>
      </c>
      <c r="AP11" s="768">
        <f t="shared" si="4"/>
        <v>114.28899999999999</v>
      </c>
      <c r="AQ11" s="710">
        <v>17.024000000000001</v>
      </c>
      <c r="AR11" s="710">
        <f>AQ11+3.426</f>
        <v>20.450000000000003</v>
      </c>
      <c r="AS11" s="710">
        <f>AR11</f>
        <v>20.450000000000003</v>
      </c>
      <c r="AT11" s="710">
        <f t="shared" si="5"/>
        <v>20.450000000000003</v>
      </c>
      <c r="AU11" s="705">
        <f t="shared" si="6"/>
        <v>20.450000000000003</v>
      </c>
      <c r="AV11" s="710">
        <v>0</v>
      </c>
      <c r="AW11" s="710">
        <v>0</v>
      </c>
      <c r="AX11" s="710">
        <v>0</v>
      </c>
      <c r="AY11" s="710">
        <v>0</v>
      </c>
      <c r="AZ11" s="705">
        <f t="shared" si="7"/>
        <v>0</v>
      </c>
      <c r="BA11" s="710">
        <v>0</v>
      </c>
      <c r="BB11" s="687">
        <v>0</v>
      </c>
      <c r="BC11" s="687">
        <v>0</v>
      </c>
      <c r="BD11" s="687">
        <v>0</v>
      </c>
      <c r="BE11" s="705">
        <f t="shared" si="8"/>
        <v>0</v>
      </c>
      <c r="BF11" s="710">
        <v>0</v>
      </c>
      <c r="BG11" s="687">
        <v>0</v>
      </c>
      <c r="BH11" s="687">
        <v>0</v>
      </c>
      <c r="BI11" s="687">
        <v>0</v>
      </c>
      <c r="BJ11" s="705">
        <f t="shared" si="9"/>
        <v>0</v>
      </c>
      <c r="BK11" s="710">
        <v>0</v>
      </c>
      <c r="BL11" s="687">
        <v>0</v>
      </c>
      <c r="BM11" s="687">
        <v>0</v>
      </c>
      <c r="BN11" s="687">
        <v>0</v>
      </c>
      <c r="BO11" s="705">
        <f t="shared" si="10"/>
        <v>0</v>
      </c>
      <c r="BP11" s="710">
        <v>0</v>
      </c>
      <c r="BQ11" s="687">
        <v>0</v>
      </c>
      <c r="BR11" s="687">
        <v>0</v>
      </c>
      <c r="BS11" s="687">
        <v>0</v>
      </c>
      <c r="BT11" s="705">
        <f t="shared" si="11"/>
        <v>0</v>
      </c>
      <c r="BU11" s="710">
        <v>0</v>
      </c>
      <c r="BV11" s="687">
        <v>0</v>
      </c>
      <c r="BW11" s="687">
        <v>0</v>
      </c>
      <c r="BX11" s="687">
        <v>0</v>
      </c>
      <c r="BY11" s="705">
        <f t="shared" si="12"/>
        <v>0</v>
      </c>
      <c r="BZ11" s="710">
        <v>0</v>
      </c>
      <c r="CA11" s="1106">
        <v>0</v>
      </c>
      <c r="CB11" s="1106">
        <v>0</v>
      </c>
      <c r="CC11" s="1106">
        <v>0</v>
      </c>
      <c r="CD11" s="1613">
        <f t="shared" si="13"/>
        <v>0</v>
      </c>
      <c r="CE11" s="1106">
        <v>0</v>
      </c>
      <c r="CF11" s="1106">
        <v>0</v>
      </c>
      <c r="CG11" s="1106">
        <v>0</v>
      </c>
      <c r="CH11" s="1106">
        <v>0</v>
      </c>
      <c r="CI11" s="1613">
        <f t="shared" si="14"/>
        <v>0</v>
      </c>
      <c r="CJ11" s="1569">
        <v>0</v>
      </c>
      <c r="CK11" s="1569">
        <v>0</v>
      </c>
      <c r="CL11" s="1569">
        <v>0</v>
      </c>
      <c r="CM11" s="1569">
        <v>0</v>
      </c>
      <c r="CN11" s="1599">
        <f t="shared" si="15"/>
        <v>0</v>
      </c>
      <c r="CO11" s="1569">
        <v>0</v>
      </c>
      <c r="CP11" s="1569">
        <v>0</v>
      </c>
      <c r="CQ11" s="1569">
        <v>0</v>
      </c>
      <c r="CR11" s="1569">
        <v>0</v>
      </c>
      <c r="CS11" s="1599">
        <f t="shared" si="16"/>
        <v>0</v>
      </c>
      <c r="CT11" s="1569">
        <v>0</v>
      </c>
      <c r="CU11" s="1569">
        <v>0</v>
      </c>
      <c r="CV11" s="1569">
        <v>0</v>
      </c>
      <c r="CW11" s="1569">
        <v>0</v>
      </c>
      <c r="CX11" s="1599">
        <f t="shared" si="17"/>
        <v>0</v>
      </c>
      <c r="CZ11" s="697"/>
      <c r="DA11" s="769"/>
      <c r="DB11" s="697"/>
      <c r="DC11" s="686"/>
    </row>
    <row r="12" spans="1:107" ht="10.5" hidden="1" customHeight="1" outlineLevel="1">
      <c r="A12" s="699" t="s">
        <v>625</v>
      </c>
      <c r="B12" s="699"/>
      <c r="C12" s="715"/>
      <c r="D12" s="715"/>
      <c r="E12" s="715"/>
      <c r="F12" s="715"/>
      <c r="G12" s="705">
        <f t="shared" si="18"/>
        <v>0</v>
      </c>
      <c r="H12" s="715"/>
      <c r="I12" s="715">
        <v>0.41</v>
      </c>
      <c r="J12" s="715">
        <v>0.41</v>
      </c>
      <c r="K12" s="715">
        <v>0.41</v>
      </c>
      <c r="L12" s="705">
        <f t="shared" si="19"/>
        <v>0.41</v>
      </c>
      <c r="M12" s="715"/>
      <c r="N12" s="715"/>
      <c r="O12" s="715"/>
      <c r="P12" s="715"/>
      <c r="Q12" s="705">
        <f t="shared" si="20"/>
        <v>0</v>
      </c>
      <c r="R12" s="715"/>
      <c r="S12" s="715"/>
      <c r="T12" s="715"/>
      <c r="U12" s="715"/>
      <c r="V12" s="705">
        <f t="shared" si="0"/>
        <v>0</v>
      </c>
      <c r="W12" s="715"/>
      <c r="X12" s="715"/>
      <c r="Y12" s="715"/>
      <c r="Z12" s="715"/>
      <c r="AA12" s="705">
        <f t="shared" si="1"/>
        <v>0</v>
      </c>
      <c r="AB12" s="715">
        <v>2.2549999999999999</v>
      </c>
      <c r="AC12" s="687">
        <f>+AB12</f>
        <v>2.2549999999999999</v>
      </c>
      <c r="AD12" s="687">
        <v>2.2549999999999999</v>
      </c>
      <c r="AE12" s="687">
        <f>AD12</f>
        <v>2.2549999999999999</v>
      </c>
      <c r="AF12" s="768">
        <f t="shared" si="2"/>
        <v>2.2549999999999999</v>
      </c>
      <c r="AG12" s="687"/>
      <c r="AH12" s="687"/>
      <c r="AI12" s="687"/>
      <c r="AJ12" s="687"/>
      <c r="AK12" s="705">
        <f t="shared" si="3"/>
        <v>0</v>
      </c>
      <c r="AL12" s="687"/>
      <c r="AM12" s="687"/>
      <c r="AN12" s="710"/>
      <c r="AO12" s="710"/>
      <c r="AP12" s="768">
        <f t="shared" si="4"/>
        <v>0</v>
      </c>
      <c r="AQ12" s="710">
        <v>0</v>
      </c>
      <c r="AR12" s="710">
        <v>0</v>
      </c>
      <c r="AS12" s="710">
        <v>0</v>
      </c>
      <c r="AT12" s="710">
        <f t="shared" si="5"/>
        <v>0</v>
      </c>
      <c r="AU12" s="705">
        <f t="shared" si="6"/>
        <v>0</v>
      </c>
      <c r="AV12" s="710">
        <v>0</v>
      </c>
      <c r="AW12" s="710">
        <v>0</v>
      </c>
      <c r="AX12" s="710">
        <v>0</v>
      </c>
      <c r="AY12" s="710">
        <v>0</v>
      </c>
      <c r="AZ12" s="705">
        <f t="shared" si="7"/>
        <v>0</v>
      </c>
      <c r="BA12" s="710">
        <v>0</v>
      </c>
      <c r="BB12" s="687">
        <v>0</v>
      </c>
      <c r="BC12" s="687">
        <v>0</v>
      </c>
      <c r="BD12" s="687">
        <v>0</v>
      </c>
      <c r="BE12" s="705">
        <f t="shared" si="8"/>
        <v>0</v>
      </c>
      <c r="BF12" s="710">
        <v>0</v>
      </c>
      <c r="BG12" s="687">
        <v>0</v>
      </c>
      <c r="BH12" s="687">
        <v>0</v>
      </c>
      <c r="BI12" s="687">
        <v>0</v>
      </c>
      <c r="BJ12" s="705">
        <f t="shared" si="9"/>
        <v>0</v>
      </c>
      <c r="BK12" s="710">
        <v>0</v>
      </c>
      <c r="BL12" s="687">
        <v>0</v>
      </c>
      <c r="BM12" s="687">
        <v>0</v>
      </c>
      <c r="BN12" s="687">
        <v>0</v>
      </c>
      <c r="BO12" s="705">
        <f t="shared" si="10"/>
        <v>0</v>
      </c>
      <c r="BP12" s="710">
        <v>0</v>
      </c>
      <c r="BQ12" s="687">
        <v>0</v>
      </c>
      <c r="BR12" s="687">
        <v>0</v>
      </c>
      <c r="BS12" s="687">
        <v>0</v>
      </c>
      <c r="BT12" s="705">
        <f t="shared" si="11"/>
        <v>0</v>
      </c>
      <c r="BU12" s="710">
        <v>0</v>
      </c>
      <c r="BV12" s="687">
        <f>BU12</f>
        <v>0</v>
      </c>
      <c r="BW12" s="687">
        <v>0</v>
      </c>
      <c r="BX12" s="687">
        <f>BW12</f>
        <v>0</v>
      </c>
      <c r="BY12" s="705">
        <f t="shared" si="12"/>
        <v>0</v>
      </c>
      <c r="BZ12" s="710">
        <v>0</v>
      </c>
      <c r="CA12" s="1106">
        <v>0</v>
      </c>
      <c r="CB12" s="1106">
        <v>0</v>
      </c>
      <c r="CC12" s="1106">
        <v>0</v>
      </c>
      <c r="CD12" s="1613">
        <f t="shared" si="13"/>
        <v>0</v>
      </c>
      <c r="CE12" s="1106">
        <v>0</v>
      </c>
      <c r="CF12" s="1106">
        <v>0</v>
      </c>
      <c r="CG12" s="1106">
        <v>0</v>
      </c>
      <c r="CH12" s="1106">
        <v>0</v>
      </c>
      <c r="CI12" s="1613">
        <f t="shared" si="14"/>
        <v>0</v>
      </c>
      <c r="CJ12" s="1569">
        <v>0</v>
      </c>
      <c r="CK12" s="1569">
        <f>CJ12</f>
        <v>0</v>
      </c>
      <c r="CL12" s="1569">
        <f>CK12</f>
        <v>0</v>
      </c>
      <c r="CM12" s="1569">
        <f>CL12</f>
        <v>0</v>
      </c>
      <c r="CN12" s="1599">
        <f t="shared" si="15"/>
        <v>0</v>
      </c>
      <c r="CO12" s="1569">
        <v>0</v>
      </c>
      <c r="CP12" s="1569">
        <f>CO12</f>
        <v>0</v>
      </c>
      <c r="CQ12" s="1569">
        <f>CP12</f>
        <v>0</v>
      </c>
      <c r="CR12" s="1569">
        <f>CQ12</f>
        <v>0</v>
      </c>
      <c r="CS12" s="1599">
        <f t="shared" si="16"/>
        <v>0</v>
      </c>
      <c r="CT12" s="1569">
        <v>0</v>
      </c>
      <c r="CU12" s="1569">
        <f>CT12</f>
        <v>0</v>
      </c>
      <c r="CV12" s="1569">
        <f>CU12</f>
        <v>0</v>
      </c>
      <c r="CW12" s="1569">
        <f>CV12</f>
        <v>0</v>
      </c>
      <c r="CX12" s="1599">
        <f t="shared" si="17"/>
        <v>0</v>
      </c>
      <c r="CZ12" s="697"/>
      <c r="DA12" s="769"/>
      <c r="DB12" s="697"/>
      <c r="DC12" s="686"/>
    </row>
    <row r="13" spans="1:107" ht="10.5" hidden="1" customHeight="1" outlineLevel="1">
      <c r="A13" s="699" t="s">
        <v>623</v>
      </c>
      <c r="B13" s="699"/>
      <c r="C13" s="715"/>
      <c r="D13" s="715"/>
      <c r="E13" s="715"/>
      <c r="F13" s="715">
        <v>17.997</v>
      </c>
      <c r="G13" s="705">
        <f t="shared" si="18"/>
        <v>17.997</v>
      </c>
      <c r="H13" s="715">
        <v>2.7869999999999999</v>
      </c>
      <c r="I13" s="715">
        <v>4.5739999999999998</v>
      </c>
      <c r="J13" s="715">
        <v>5.79</v>
      </c>
      <c r="K13" s="715">
        <v>6.7859999999999996</v>
      </c>
      <c r="L13" s="705">
        <f t="shared" si="19"/>
        <v>6.7859999999999996</v>
      </c>
      <c r="M13" s="715">
        <v>0.95199999999999996</v>
      </c>
      <c r="N13" s="715">
        <v>1.7989999999999999</v>
      </c>
      <c r="O13" s="715">
        <v>2.4590000000000001</v>
      </c>
      <c r="P13" s="715">
        <v>2.827</v>
      </c>
      <c r="Q13" s="705">
        <f t="shared" si="20"/>
        <v>2.827</v>
      </c>
      <c r="R13" s="715">
        <v>0.184</v>
      </c>
      <c r="S13" s="715">
        <v>0.247</v>
      </c>
      <c r="T13" s="715">
        <v>0.29399999999999998</v>
      </c>
      <c r="U13" s="715">
        <v>0.34</v>
      </c>
      <c r="V13" s="705">
        <f t="shared" si="0"/>
        <v>0.34</v>
      </c>
      <c r="W13" s="715">
        <v>7.5999999999999998E-2</v>
      </c>
      <c r="X13" s="715">
        <v>0.18099999999999999</v>
      </c>
      <c r="Y13" s="715">
        <v>0.29199999999999998</v>
      </c>
      <c r="Z13" s="715">
        <v>0.39100000000000001</v>
      </c>
      <c r="AA13" s="705">
        <f t="shared" si="1"/>
        <v>0.39100000000000001</v>
      </c>
      <c r="AB13" s="715">
        <v>46.481999999999999</v>
      </c>
      <c r="AC13" s="687">
        <f>41.883+AB13</f>
        <v>88.365000000000009</v>
      </c>
      <c r="AD13" s="687">
        <f>131.023</f>
        <v>131.023</v>
      </c>
      <c r="AE13" s="687">
        <f>AD13+39.512</f>
        <v>170.535</v>
      </c>
      <c r="AF13" s="768">
        <f t="shared" si="2"/>
        <v>170.535</v>
      </c>
      <c r="AG13" s="687">
        <v>31.905999999999999</v>
      </c>
      <c r="AH13" s="687">
        <v>71.521000000000001</v>
      </c>
      <c r="AI13" s="687">
        <v>110.09</v>
      </c>
      <c r="AJ13" s="687">
        <f>AI13+78.19</f>
        <v>188.28</v>
      </c>
      <c r="AK13" s="705">
        <f t="shared" si="3"/>
        <v>188.28</v>
      </c>
      <c r="AL13" s="687">
        <v>43.033999999999999</v>
      </c>
      <c r="AM13" s="687">
        <v>91.421000000000006</v>
      </c>
      <c r="AN13" s="710">
        <v>137.613</v>
      </c>
      <c r="AO13" s="710">
        <v>172.47399999999999</v>
      </c>
      <c r="AP13" s="768">
        <f t="shared" si="4"/>
        <v>172.47399999999999</v>
      </c>
      <c r="AQ13" s="710">
        <v>45.618000000000002</v>
      </c>
      <c r="AR13" s="710">
        <v>86.576999999999998</v>
      </c>
      <c r="AS13" s="710">
        <v>126.23099999999999</v>
      </c>
      <c r="AT13" s="710">
        <f t="shared" si="5"/>
        <v>197.35499999999999</v>
      </c>
      <c r="AU13" s="705">
        <f t="shared" si="6"/>
        <v>197.35499999999999</v>
      </c>
      <c r="AV13" s="710">
        <v>64.48</v>
      </c>
      <c r="AW13" s="710">
        <v>124.577</v>
      </c>
      <c r="AX13" s="710">
        <f>AW13+47.225</f>
        <v>171.80199999999999</v>
      </c>
      <c r="AY13" s="710">
        <f>AX13+23.703</f>
        <v>195.505</v>
      </c>
      <c r="AZ13" s="705">
        <f t="shared" si="7"/>
        <v>195.505</v>
      </c>
      <c r="BA13" s="710">
        <v>70.992000000000004</v>
      </c>
      <c r="BB13" s="687">
        <v>145.851</v>
      </c>
      <c r="BC13" s="687">
        <v>210.96899999999999</v>
      </c>
      <c r="BD13" s="687">
        <v>286.10300000000001</v>
      </c>
      <c r="BE13" s="705">
        <f t="shared" si="8"/>
        <v>286.10300000000001</v>
      </c>
      <c r="BF13" s="710">
        <v>71.581999999999994</v>
      </c>
      <c r="BG13" s="687">
        <v>142.97999999999999</v>
      </c>
      <c r="BH13" s="687">
        <v>222.649</v>
      </c>
      <c r="BI13" s="687">
        <v>298.50200000000001</v>
      </c>
      <c r="BJ13" s="705">
        <f t="shared" si="9"/>
        <v>298.50200000000001</v>
      </c>
      <c r="BK13" s="710">
        <v>84.195999999999998</v>
      </c>
      <c r="BL13" s="687">
        <v>163.066</v>
      </c>
      <c r="BM13" s="687">
        <v>244.09</v>
      </c>
      <c r="BN13" s="687">
        <v>328.98700000000002</v>
      </c>
      <c r="BO13" s="705">
        <f t="shared" si="10"/>
        <v>328.98700000000002</v>
      </c>
      <c r="BP13" s="710">
        <v>82.787999999999997</v>
      </c>
      <c r="BQ13" s="687">
        <v>165.798</v>
      </c>
      <c r="BR13" s="687">
        <v>248.81100000000001</v>
      </c>
      <c r="BS13" s="687">
        <v>333.70100000000002</v>
      </c>
      <c r="BT13" s="705">
        <f t="shared" si="11"/>
        <v>333.70100000000002</v>
      </c>
      <c r="BU13" s="710">
        <v>84.207999999999998</v>
      </c>
      <c r="BV13" s="687">
        <v>168.86</v>
      </c>
      <c r="BW13" s="687">
        <v>254.83600000000001</v>
      </c>
      <c r="BX13" s="687">
        <v>335.85899999999998</v>
      </c>
      <c r="BY13" s="705">
        <f t="shared" si="12"/>
        <v>335.85899999999998</v>
      </c>
      <c r="BZ13" s="710">
        <v>92.31</v>
      </c>
      <c r="CA13" s="1106">
        <v>177.87899999999999</v>
      </c>
      <c r="CB13" s="1106">
        <v>262.38200000000001</v>
      </c>
      <c r="CC13" s="1106">
        <v>349.91199999999998</v>
      </c>
      <c r="CD13" s="1613">
        <f t="shared" si="13"/>
        <v>349.91199999999998</v>
      </c>
      <c r="CE13" s="1106">
        <v>98.31</v>
      </c>
      <c r="CF13" s="1106">
        <v>214.35900000000001</v>
      </c>
      <c r="CG13" s="1106">
        <v>331.40100000000001</v>
      </c>
      <c r="CH13" s="1106">
        <v>451.45100000000002</v>
      </c>
      <c r="CI13" s="1613">
        <f t="shared" si="14"/>
        <v>451.45100000000002</v>
      </c>
      <c r="CJ13" s="1569">
        <v>130.488</v>
      </c>
      <c r="CK13" s="1569">
        <f>CJ13+Model!CK59</f>
        <v>290.58584999999999</v>
      </c>
      <c r="CL13" s="1569">
        <f>CK13+Model!CL59</f>
        <v>449.84265000000005</v>
      </c>
      <c r="CM13" s="1569">
        <f>CL13+Model!CM59</f>
        <v>614.78565000000003</v>
      </c>
      <c r="CN13" s="1599">
        <f t="shared" si="15"/>
        <v>614.78565000000003</v>
      </c>
      <c r="CO13" s="1569">
        <f>Model!CO59</f>
        <v>162.82461600000002</v>
      </c>
      <c r="CP13" s="1569">
        <f>CO13+Model!CP59</f>
        <v>354.94203600000003</v>
      </c>
      <c r="CQ13" s="1569">
        <f>CP13+Model!CQ59</f>
        <v>546.05019600000003</v>
      </c>
      <c r="CR13" s="1569">
        <f>CQ13+Model!CR59</f>
        <v>743.98179600000003</v>
      </c>
      <c r="CS13" s="1599">
        <f t="shared" si="16"/>
        <v>743.98179600000003</v>
      </c>
      <c r="CT13" s="1569">
        <f>Model!CT59</f>
        <v>195.38953920000003</v>
      </c>
      <c r="CU13" s="1569">
        <f>CT13+Model!CU59</f>
        <v>425.93044320000001</v>
      </c>
      <c r="CV13" s="1569">
        <f>CU13+Model!CV59</f>
        <v>655.26023520000001</v>
      </c>
      <c r="CW13" s="1569">
        <f>CV13+Model!CW59</f>
        <v>892.77815520000001</v>
      </c>
      <c r="CX13" s="1599">
        <f t="shared" si="17"/>
        <v>892.77815520000001</v>
      </c>
      <c r="CZ13" s="697"/>
      <c r="DA13" s="769"/>
      <c r="DB13" s="697"/>
      <c r="DC13" s="686"/>
    </row>
    <row r="14" spans="1:107" ht="10.5" hidden="1" customHeight="1" outlineLevel="1">
      <c r="A14" s="699" t="s">
        <v>765</v>
      </c>
      <c r="B14" s="699"/>
      <c r="C14" s="715"/>
      <c r="D14" s="715"/>
      <c r="E14" s="715"/>
      <c r="F14" s="715">
        <v>-17.600000000000001</v>
      </c>
      <c r="G14" s="705">
        <f t="shared" si="18"/>
        <v>-17.600000000000001</v>
      </c>
      <c r="H14" s="715">
        <v>2.7509999999999999</v>
      </c>
      <c r="I14" s="715">
        <v>-6.9329999999999998</v>
      </c>
      <c r="J14" s="715">
        <v>-17.728999999999999</v>
      </c>
      <c r="K14" s="715">
        <v>-5.4859999999999998</v>
      </c>
      <c r="L14" s="705">
        <f t="shared" si="19"/>
        <v>-5.4859999999999998</v>
      </c>
      <c r="M14" s="715">
        <v>5.7439999999999998</v>
      </c>
      <c r="N14" s="715">
        <v>7.7770000000000001</v>
      </c>
      <c r="O14" s="715">
        <v>17.324000000000002</v>
      </c>
      <c r="P14" s="715">
        <v>36.46</v>
      </c>
      <c r="Q14" s="705">
        <f t="shared" si="20"/>
        <v>36.46</v>
      </c>
      <c r="R14" s="715">
        <v>23.11</v>
      </c>
      <c r="S14" s="715">
        <v>38.198999999999998</v>
      </c>
      <c r="T14" s="715">
        <v>48.442</v>
      </c>
      <c r="U14" s="715">
        <v>46.27</v>
      </c>
      <c r="V14" s="705">
        <f t="shared" si="0"/>
        <v>46.27</v>
      </c>
      <c r="W14" s="715">
        <v>-56.482999999999997</v>
      </c>
      <c r="X14" s="715">
        <v>-55.448999999999998</v>
      </c>
      <c r="Y14" s="715">
        <v>-40.292999999999999</v>
      </c>
      <c r="Z14" s="715">
        <v>-7.0679999999999996</v>
      </c>
      <c r="AA14" s="705">
        <f t="shared" si="1"/>
        <v>-7.0679999999999996</v>
      </c>
      <c r="AB14" s="715">
        <v>39.966999999999999</v>
      </c>
      <c r="AC14" s="687">
        <f>-5.904+AB14</f>
        <v>34.063000000000002</v>
      </c>
      <c r="AD14" s="687">
        <v>7.8710000000000004</v>
      </c>
      <c r="AE14" s="687">
        <f>AD14-41.124</f>
        <v>-33.253</v>
      </c>
      <c r="AF14" s="768">
        <f t="shared" si="2"/>
        <v>-33.253</v>
      </c>
      <c r="AG14" s="687">
        <v>0.90400000000000003</v>
      </c>
      <c r="AH14" s="687">
        <v>16.029</v>
      </c>
      <c r="AI14" s="687">
        <v>-20.405000000000001</v>
      </c>
      <c r="AJ14" s="687">
        <f>AI14-11.75</f>
        <v>-32.155000000000001</v>
      </c>
      <c r="AK14" s="705">
        <f t="shared" si="3"/>
        <v>-32.155000000000001</v>
      </c>
      <c r="AL14" s="687">
        <v>35.844000000000001</v>
      </c>
      <c r="AM14" s="687">
        <v>69.655000000000001</v>
      </c>
      <c r="AN14" s="710">
        <v>34.335999999999999</v>
      </c>
      <c r="AO14" s="710">
        <v>46.584000000000003</v>
      </c>
      <c r="AP14" s="768">
        <f t="shared" si="4"/>
        <v>46.584000000000003</v>
      </c>
      <c r="AQ14" s="710">
        <v>26.518000000000001</v>
      </c>
      <c r="AR14" s="710">
        <v>19.984000000000002</v>
      </c>
      <c r="AS14" s="710">
        <v>22.670999999999999</v>
      </c>
      <c r="AT14" s="710">
        <f t="shared" si="5"/>
        <v>22.670999999999999</v>
      </c>
      <c r="AU14" s="705">
        <f t="shared" si="6"/>
        <v>22.670999999999999</v>
      </c>
      <c r="AV14" s="710">
        <v>-157.93199999999999</v>
      </c>
      <c r="AW14" s="710">
        <v>-178.03800000000001</v>
      </c>
      <c r="AX14" s="710">
        <f>AW14</f>
        <v>-178.03800000000001</v>
      </c>
      <c r="AY14" s="710">
        <f>AX14</f>
        <v>-178.03800000000001</v>
      </c>
      <c r="AZ14" s="705">
        <f t="shared" si="7"/>
        <v>-178.03800000000001</v>
      </c>
      <c r="BA14" s="710">
        <v>28.645</v>
      </c>
      <c r="BB14" s="687">
        <v>28.795999999999999</v>
      </c>
      <c r="BC14" s="687">
        <v>50.716000000000001</v>
      </c>
      <c r="BD14" s="687">
        <v>51.414999999999999</v>
      </c>
      <c r="BE14" s="705">
        <f t="shared" si="8"/>
        <v>51.414999999999999</v>
      </c>
      <c r="BF14" s="710">
        <v>63.377000000000002</v>
      </c>
      <c r="BG14" s="687">
        <v>58.094000000000001</v>
      </c>
      <c r="BH14" s="687">
        <v>82.212999999999994</v>
      </c>
      <c r="BI14" s="687">
        <v>89.212000000000003</v>
      </c>
      <c r="BJ14" s="705">
        <f t="shared" si="9"/>
        <v>89.212000000000003</v>
      </c>
      <c r="BK14" s="710">
        <v>15.176</v>
      </c>
      <c r="BL14" s="687">
        <v>18.661000000000001</v>
      </c>
      <c r="BM14" s="687">
        <v>41.002000000000002</v>
      </c>
      <c r="BN14" s="687">
        <v>29.704000000000001</v>
      </c>
      <c r="BO14" s="705">
        <f t="shared" si="10"/>
        <v>29.704000000000001</v>
      </c>
      <c r="BP14" s="710">
        <v>-3.3410000000000002</v>
      </c>
      <c r="BQ14" s="687">
        <v>4.6319999999999997</v>
      </c>
      <c r="BR14" s="687">
        <v>-7.9119999999999999</v>
      </c>
      <c r="BS14" s="687">
        <v>-26.088999999999999</v>
      </c>
      <c r="BT14" s="705">
        <f t="shared" si="11"/>
        <v>-26.088999999999999</v>
      </c>
      <c r="BU14" s="710">
        <v>4.8789999999999996</v>
      </c>
      <c r="BV14" s="687">
        <v>-25.431000000000001</v>
      </c>
      <c r="BW14" s="687">
        <v>-47.768999999999998</v>
      </c>
      <c r="BX14" s="687">
        <v>-69.656999999999996</v>
      </c>
      <c r="BY14" s="705">
        <f t="shared" si="12"/>
        <v>-69.656999999999996</v>
      </c>
      <c r="BZ14" s="710">
        <v>56.905999999999999</v>
      </c>
      <c r="CA14" s="1106">
        <v>50.853000000000002</v>
      </c>
      <c r="CB14" s="1106">
        <v>44.164000000000001</v>
      </c>
      <c r="CC14" s="1106">
        <v>24.222000000000001</v>
      </c>
      <c r="CD14" s="1613">
        <f t="shared" si="13"/>
        <v>24.222000000000001</v>
      </c>
      <c r="CE14" s="1106">
        <v>60.314999999999998</v>
      </c>
      <c r="CF14" s="1106">
        <v>52.274999999999999</v>
      </c>
      <c r="CG14" s="1106">
        <v>47.859000000000002</v>
      </c>
      <c r="CH14" s="1106">
        <v>51.604999999999997</v>
      </c>
      <c r="CI14" s="1613">
        <f t="shared" si="14"/>
        <v>51.604999999999997</v>
      </c>
      <c r="CJ14" s="1569">
        <v>0</v>
      </c>
      <c r="CK14" s="1569">
        <f>CJ14+(BS!CJ13+BS!CJ21)-(BS!CK13+BS!CK21)</f>
        <v>0</v>
      </c>
      <c r="CL14" s="1569">
        <f>CK14+(BS!CK13+BS!CK21)-(BS!CL13+BS!CL21)</f>
        <v>0</v>
      </c>
      <c r="CM14" s="1569">
        <f>CL14+(BS!CL13+BS!CL21)-(BS!CM13+BS!CM21)</f>
        <v>0</v>
      </c>
      <c r="CN14" s="1599">
        <f t="shared" si="15"/>
        <v>0</v>
      </c>
      <c r="CO14" s="1569">
        <f>(BS!CN13+BS!CN21)-(BS!CO13+BS!CO21)</f>
        <v>0</v>
      </c>
      <c r="CP14" s="1569">
        <f>CO14+(BS!CO13+BS!CO21)-(BS!CP13+BS!CP21)</f>
        <v>0</v>
      </c>
      <c r="CQ14" s="1569">
        <f>CP14+(BS!CP13+BS!CP21)-(BS!CQ13+BS!CQ21)</f>
        <v>0</v>
      </c>
      <c r="CR14" s="1569">
        <f>CQ14+(BS!CQ13+BS!CQ21)-(BS!CR13+BS!CR21)</f>
        <v>0</v>
      </c>
      <c r="CS14" s="1599">
        <f t="shared" si="16"/>
        <v>0</v>
      </c>
      <c r="CT14" s="1569">
        <f>(BS!CS13+BS!CS21)-(BS!CT13+BS!CT21)</f>
        <v>0</v>
      </c>
      <c r="CU14" s="1569">
        <f>CT14+(BS!CT13+BS!CT21)-(BS!CU13+BS!CU21)</f>
        <v>0</v>
      </c>
      <c r="CV14" s="1569">
        <f>CU14+(BS!CU13+BS!CU21)-(BS!CV13+BS!CV21)</f>
        <v>0</v>
      </c>
      <c r="CW14" s="1569">
        <f>CV14+(BS!CV13+BS!CV21)-(BS!CW13+BS!CW21)</f>
        <v>0</v>
      </c>
      <c r="CX14" s="1599">
        <f t="shared" si="17"/>
        <v>0</v>
      </c>
      <c r="CZ14" s="697"/>
      <c r="DA14" s="769"/>
      <c r="DB14" s="697"/>
      <c r="DC14" s="686"/>
    </row>
    <row r="15" spans="1:107" ht="10.5" hidden="1" customHeight="1" outlineLevel="1">
      <c r="A15" s="699" t="s">
        <v>624</v>
      </c>
      <c r="B15" s="699"/>
      <c r="C15" s="715"/>
      <c r="D15" s="715"/>
      <c r="E15" s="715"/>
      <c r="F15" s="715">
        <v>1.4350000000000001</v>
      </c>
      <c r="G15" s="705">
        <f t="shared" si="18"/>
        <v>1.4350000000000001</v>
      </c>
      <c r="H15" s="715">
        <v>7.6999999999999999E-2</v>
      </c>
      <c r="I15" s="715">
        <v>0.999</v>
      </c>
      <c r="J15" s="715">
        <v>0.42599999999999999</v>
      </c>
      <c r="K15" s="715">
        <v>1.5269999999999999</v>
      </c>
      <c r="L15" s="705">
        <f t="shared" si="19"/>
        <v>1.5269999999999999</v>
      </c>
      <c r="M15" s="715">
        <v>0.495</v>
      </c>
      <c r="N15" s="715">
        <v>1.3160000000000001</v>
      </c>
      <c r="O15" s="715">
        <v>1.3</v>
      </c>
      <c r="P15" s="715">
        <v>2.0379999999999998</v>
      </c>
      <c r="Q15" s="705">
        <f t="shared" si="20"/>
        <v>2.0379999999999998</v>
      </c>
      <c r="R15" s="715">
        <v>-2.1139999999999999</v>
      </c>
      <c r="S15" s="715">
        <v>-2.3420000000000001</v>
      </c>
      <c r="T15" s="715">
        <v>-2.1520000000000001</v>
      </c>
      <c r="U15" s="715">
        <v>-0.443</v>
      </c>
      <c r="V15" s="705">
        <f t="shared" si="0"/>
        <v>-0.443</v>
      </c>
      <c r="W15" s="715">
        <v>0.13700000000000001</v>
      </c>
      <c r="X15" s="715">
        <v>-0.22900000000000001</v>
      </c>
      <c r="Y15" s="715">
        <v>-0.67800000000000005</v>
      </c>
      <c r="Z15" s="715">
        <v>0.39400000000000002</v>
      </c>
      <c r="AA15" s="705">
        <f t="shared" si="1"/>
        <v>0.39400000000000002</v>
      </c>
      <c r="AB15" s="715">
        <v>-0.247</v>
      </c>
      <c r="AC15" s="687">
        <f>1.535+AB15</f>
        <v>1.2879999999999998</v>
      </c>
      <c r="AD15" s="687">
        <v>0.72399999999999998</v>
      </c>
      <c r="AE15" s="687">
        <f>AD15+0.383</f>
        <v>1.107</v>
      </c>
      <c r="AF15" s="768">
        <f t="shared" si="2"/>
        <v>1.107</v>
      </c>
      <c r="AG15" s="687">
        <v>-0.16300000000000001</v>
      </c>
      <c r="AH15" s="687">
        <v>9.1999999999999998E-2</v>
      </c>
      <c r="AI15" s="687">
        <v>-1.6319999999999999</v>
      </c>
      <c r="AJ15" s="687">
        <f>AI15</f>
        <v>-1.6319999999999999</v>
      </c>
      <c r="AK15" s="705">
        <f t="shared" si="3"/>
        <v>-1.6319999999999999</v>
      </c>
      <c r="AL15" s="715">
        <f>19.587-0.224</f>
        <v>19.363</v>
      </c>
      <c r="AM15" s="687">
        <f>35.584</f>
        <v>35.584000000000003</v>
      </c>
      <c r="AN15" s="710">
        <v>93.683000000000007</v>
      </c>
      <c r="AO15" s="710">
        <v>0</v>
      </c>
      <c r="AP15" s="768">
        <f t="shared" si="4"/>
        <v>0</v>
      </c>
      <c r="AQ15" s="753">
        <v>0</v>
      </c>
      <c r="AR15" s="710">
        <v>3.2810000000000001</v>
      </c>
      <c r="AS15" s="710">
        <v>3.0489999999999999</v>
      </c>
      <c r="AT15" s="710">
        <f t="shared" si="5"/>
        <v>3.0489999999999999</v>
      </c>
      <c r="AU15" s="705">
        <f t="shared" si="6"/>
        <v>3.0489999999999999</v>
      </c>
      <c r="AV15" s="753">
        <v>0.81599999999999995</v>
      </c>
      <c r="AW15" s="753">
        <v>0</v>
      </c>
      <c r="AX15" s="753">
        <f t="shared" ref="AX15:AY19" si="21">AW15</f>
        <v>0</v>
      </c>
      <c r="AY15" s="710">
        <f t="shared" si="21"/>
        <v>0</v>
      </c>
      <c r="AZ15" s="705">
        <f t="shared" si="7"/>
        <v>0</v>
      </c>
      <c r="BA15" s="753">
        <v>0</v>
      </c>
      <c r="BB15" s="687">
        <v>0</v>
      </c>
      <c r="BC15" s="687">
        <v>0</v>
      </c>
      <c r="BD15" s="687">
        <v>0</v>
      </c>
      <c r="BE15" s="705">
        <f t="shared" si="8"/>
        <v>0</v>
      </c>
      <c r="BF15" s="753">
        <v>0</v>
      </c>
      <c r="BG15" s="687">
        <v>0</v>
      </c>
      <c r="BH15" s="687">
        <v>0</v>
      </c>
      <c r="BI15" s="687">
        <v>0</v>
      </c>
      <c r="BJ15" s="705">
        <f t="shared" si="9"/>
        <v>0</v>
      </c>
      <c r="BK15" s="753">
        <v>0</v>
      </c>
      <c r="BL15" s="687">
        <v>0</v>
      </c>
      <c r="BM15" s="687">
        <v>0</v>
      </c>
      <c r="BN15" s="687">
        <v>0</v>
      </c>
      <c r="BO15" s="705">
        <f t="shared" si="10"/>
        <v>0</v>
      </c>
      <c r="BP15" s="753">
        <v>0</v>
      </c>
      <c r="BQ15" s="687">
        <v>0</v>
      </c>
      <c r="BR15" s="687">
        <v>0</v>
      </c>
      <c r="BS15" s="687">
        <v>0</v>
      </c>
      <c r="BT15" s="705">
        <f t="shared" si="11"/>
        <v>0</v>
      </c>
      <c r="BU15" s="753">
        <v>0</v>
      </c>
      <c r="BV15" s="687">
        <f>BU15</f>
        <v>0</v>
      </c>
      <c r="BW15" s="687">
        <f>BV15</f>
        <v>0</v>
      </c>
      <c r="BX15" s="687">
        <v>0</v>
      </c>
      <c r="BY15" s="705">
        <f t="shared" si="12"/>
        <v>0</v>
      </c>
      <c r="BZ15" s="753">
        <v>0</v>
      </c>
      <c r="CA15" s="1106">
        <v>0</v>
      </c>
      <c r="CB15" s="1106">
        <v>0</v>
      </c>
      <c r="CC15" s="1106">
        <v>0</v>
      </c>
      <c r="CD15" s="1613">
        <f t="shared" si="13"/>
        <v>0</v>
      </c>
      <c r="CE15" s="1372">
        <v>0</v>
      </c>
      <c r="CF15" s="1106">
        <v>0</v>
      </c>
      <c r="CG15" s="1106">
        <v>0</v>
      </c>
      <c r="CH15" s="1106">
        <v>0</v>
      </c>
      <c r="CI15" s="1613">
        <f t="shared" si="14"/>
        <v>0</v>
      </c>
      <c r="CJ15" s="1255">
        <v>0</v>
      </c>
      <c r="CK15" s="1569">
        <f t="shared" ref="CK15:CM19" si="22">CJ15</f>
        <v>0</v>
      </c>
      <c r="CL15" s="1569">
        <f t="shared" si="22"/>
        <v>0</v>
      </c>
      <c r="CM15" s="1569">
        <f t="shared" si="22"/>
        <v>0</v>
      </c>
      <c r="CN15" s="1599">
        <f t="shared" si="15"/>
        <v>0</v>
      </c>
      <c r="CO15" s="1255">
        <v>0</v>
      </c>
      <c r="CP15" s="1569">
        <f t="shared" ref="CP15:CR19" si="23">CO15</f>
        <v>0</v>
      </c>
      <c r="CQ15" s="1569">
        <f t="shared" si="23"/>
        <v>0</v>
      </c>
      <c r="CR15" s="1569">
        <f t="shared" si="23"/>
        <v>0</v>
      </c>
      <c r="CS15" s="1599">
        <f t="shared" si="16"/>
        <v>0</v>
      </c>
      <c r="CT15" s="1255">
        <v>0</v>
      </c>
      <c r="CU15" s="1569">
        <f t="shared" ref="CU15:CU19" si="24">CT15</f>
        <v>0</v>
      </c>
      <c r="CV15" s="1569">
        <f t="shared" ref="CV15:CV19" si="25">CU15</f>
        <v>0</v>
      </c>
      <c r="CW15" s="1569">
        <f t="shared" ref="CW15:CW19" si="26">CV15</f>
        <v>0</v>
      </c>
      <c r="CX15" s="1599">
        <f t="shared" si="17"/>
        <v>0</v>
      </c>
      <c r="CZ15" s="697"/>
      <c r="DA15" s="769"/>
      <c r="DB15" s="697"/>
      <c r="DC15" s="686"/>
    </row>
    <row r="16" spans="1:107" ht="10.5" hidden="1" customHeight="1" outlineLevel="1">
      <c r="A16" s="699" t="s">
        <v>401</v>
      </c>
      <c r="B16" s="699"/>
      <c r="C16" s="715"/>
      <c r="D16" s="715"/>
      <c r="E16" s="715"/>
      <c r="F16" s="715">
        <v>45.692</v>
      </c>
      <c r="G16" s="705">
        <f t="shared" si="18"/>
        <v>45.692</v>
      </c>
      <c r="H16" s="715">
        <v>6.0359999999999996</v>
      </c>
      <c r="I16" s="715">
        <v>18.588999999999999</v>
      </c>
      <c r="J16" s="715">
        <v>19.584</v>
      </c>
      <c r="K16" s="715">
        <v>21.83</v>
      </c>
      <c r="L16" s="705">
        <f t="shared" si="19"/>
        <v>21.83</v>
      </c>
      <c r="M16" s="715">
        <v>2.0139999999999998</v>
      </c>
      <c r="N16" s="715">
        <v>10.105</v>
      </c>
      <c r="O16" s="715">
        <v>12.349</v>
      </c>
      <c r="P16" s="715">
        <v>37.436</v>
      </c>
      <c r="Q16" s="705">
        <f t="shared" si="20"/>
        <v>37.436</v>
      </c>
      <c r="R16" s="715">
        <v>5.1239999999999997</v>
      </c>
      <c r="S16" s="715">
        <v>18.427</v>
      </c>
      <c r="T16" s="715">
        <v>29.972000000000001</v>
      </c>
      <c r="U16" s="715">
        <v>97.793999999999997</v>
      </c>
      <c r="V16" s="705">
        <f t="shared" si="0"/>
        <v>97.793999999999997</v>
      </c>
      <c r="W16" s="715">
        <v>27.196999999999999</v>
      </c>
      <c r="X16" s="715">
        <v>47.542000000000002</v>
      </c>
      <c r="Y16" s="715">
        <v>63.802</v>
      </c>
      <c r="Z16" s="715">
        <v>82.852000000000004</v>
      </c>
      <c r="AA16" s="705">
        <f t="shared" si="1"/>
        <v>82.852000000000004</v>
      </c>
      <c r="AB16" s="715">
        <v>-23.42</v>
      </c>
      <c r="AC16" s="687">
        <f>-22.732+AB16</f>
        <v>-46.152000000000001</v>
      </c>
      <c r="AD16" s="687">
        <v>-81.587000000000003</v>
      </c>
      <c r="AE16" s="687">
        <f>AD16-61.531</f>
        <v>-143.11799999999999</v>
      </c>
      <c r="AF16" s="768">
        <f t="shared" si="2"/>
        <v>-143.11799999999999</v>
      </c>
      <c r="AG16" s="687">
        <f>15.935</f>
        <v>15.935</v>
      </c>
      <c r="AH16" s="687">
        <f>52.121</f>
        <v>52.121000000000002</v>
      </c>
      <c r="AI16" s="687">
        <f>75.878</f>
        <v>75.878</v>
      </c>
      <c r="AJ16" s="687">
        <f>AI16</f>
        <v>75.878</v>
      </c>
      <c r="AK16" s="705">
        <f t="shared" si="3"/>
        <v>75.878</v>
      </c>
      <c r="AL16" s="687">
        <v>0</v>
      </c>
      <c r="AM16" s="687">
        <f>9.329</f>
        <v>9.3290000000000006</v>
      </c>
      <c r="AN16" s="710">
        <f>83.74</f>
        <v>83.74</v>
      </c>
      <c r="AO16" s="710">
        <f>90.36</f>
        <v>90.36</v>
      </c>
      <c r="AP16" s="768">
        <f t="shared" si="4"/>
        <v>90.36</v>
      </c>
      <c r="AQ16" s="710">
        <v>2.7109999999999999</v>
      </c>
      <c r="AR16" s="710">
        <f>2.711</f>
        <v>2.7109999999999999</v>
      </c>
      <c r="AS16" s="710">
        <v>2.7109999999999999</v>
      </c>
      <c r="AT16" s="710">
        <f t="shared" si="5"/>
        <v>2.7109999999999999</v>
      </c>
      <c r="AU16" s="705">
        <f t="shared" si="6"/>
        <v>2.7109999999999999</v>
      </c>
      <c r="AV16" s="710">
        <v>35.609000000000002</v>
      </c>
      <c r="AW16" s="710">
        <v>38.743000000000002</v>
      </c>
      <c r="AX16" s="710">
        <f t="shared" si="21"/>
        <v>38.743000000000002</v>
      </c>
      <c r="AY16" s="710">
        <f t="shared" si="21"/>
        <v>38.743000000000002</v>
      </c>
      <c r="AZ16" s="705">
        <f t="shared" si="7"/>
        <v>38.743000000000002</v>
      </c>
      <c r="BA16" s="710">
        <v>0</v>
      </c>
      <c r="BB16" s="687">
        <v>0</v>
      </c>
      <c r="BC16" s="687">
        <v>0</v>
      </c>
      <c r="BD16" s="687">
        <v>0</v>
      </c>
      <c r="BE16" s="705">
        <f t="shared" si="8"/>
        <v>0</v>
      </c>
      <c r="BF16" s="710">
        <v>0</v>
      </c>
      <c r="BG16" s="687">
        <v>0</v>
      </c>
      <c r="BH16" s="687">
        <v>0</v>
      </c>
      <c r="BI16" s="687">
        <v>0</v>
      </c>
      <c r="BJ16" s="705">
        <f t="shared" si="9"/>
        <v>0</v>
      </c>
      <c r="BK16" s="710">
        <v>0</v>
      </c>
      <c r="BL16" s="687">
        <v>0</v>
      </c>
      <c r="BM16" s="687">
        <v>0</v>
      </c>
      <c r="BN16" s="687">
        <v>0</v>
      </c>
      <c r="BO16" s="705">
        <f t="shared" si="10"/>
        <v>0</v>
      </c>
      <c r="BP16" s="710">
        <v>0</v>
      </c>
      <c r="BQ16" s="687">
        <v>0</v>
      </c>
      <c r="BR16" s="687">
        <v>31.882999999999999</v>
      </c>
      <c r="BS16" s="687">
        <v>53.225000000000001</v>
      </c>
      <c r="BT16" s="705">
        <f t="shared" si="11"/>
        <v>53.225000000000001</v>
      </c>
      <c r="BU16" s="710">
        <v>33.584000000000003</v>
      </c>
      <c r="BV16" s="687">
        <v>44.720999999999997</v>
      </c>
      <c r="BW16" s="687">
        <v>58.326000000000001</v>
      </c>
      <c r="BX16" s="687">
        <v>68.132999999999996</v>
      </c>
      <c r="BY16" s="705">
        <f t="shared" si="12"/>
        <v>68.132999999999996</v>
      </c>
      <c r="BZ16" s="710">
        <v>14.855</v>
      </c>
      <c r="CA16" s="1106">
        <v>65.286000000000001</v>
      </c>
      <c r="CB16" s="1106">
        <v>69.266000000000005</v>
      </c>
      <c r="CC16" s="1106">
        <v>75.102000000000004</v>
      </c>
      <c r="CD16" s="1613">
        <f t="shared" si="13"/>
        <v>75.102000000000004</v>
      </c>
      <c r="CE16" s="1106">
        <v>0</v>
      </c>
      <c r="CF16" s="1106">
        <v>0</v>
      </c>
      <c r="CG16" s="1106">
        <v>0</v>
      </c>
      <c r="CH16" s="1106">
        <v>0</v>
      </c>
      <c r="CI16" s="1613">
        <f t="shared" si="14"/>
        <v>0</v>
      </c>
      <c r="CJ16" s="1569">
        <v>0</v>
      </c>
      <c r="CK16" s="1569">
        <f t="shared" si="22"/>
        <v>0</v>
      </c>
      <c r="CL16" s="1569">
        <f t="shared" si="22"/>
        <v>0</v>
      </c>
      <c r="CM16" s="1569">
        <f t="shared" si="22"/>
        <v>0</v>
      </c>
      <c r="CN16" s="1599">
        <f t="shared" si="15"/>
        <v>0</v>
      </c>
      <c r="CO16" s="1569">
        <v>0</v>
      </c>
      <c r="CP16" s="1569">
        <f t="shared" si="23"/>
        <v>0</v>
      </c>
      <c r="CQ16" s="1569">
        <f t="shared" si="23"/>
        <v>0</v>
      </c>
      <c r="CR16" s="1569">
        <f t="shared" si="23"/>
        <v>0</v>
      </c>
      <c r="CS16" s="1599">
        <f t="shared" si="16"/>
        <v>0</v>
      </c>
      <c r="CT16" s="1569">
        <v>0</v>
      </c>
      <c r="CU16" s="1569">
        <f t="shared" si="24"/>
        <v>0</v>
      </c>
      <c r="CV16" s="1569">
        <f t="shared" si="25"/>
        <v>0</v>
      </c>
      <c r="CW16" s="1569">
        <f t="shared" si="26"/>
        <v>0</v>
      </c>
      <c r="CX16" s="1599">
        <f t="shared" si="17"/>
        <v>0</v>
      </c>
      <c r="CZ16" s="697"/>
      <c r="DA16" s="769"/>
      <c r="DB16" s="697"/>
      <c r="DC16" s="686"/>
    </row>
    <row r="17" spans="1:107" ht="10.5" hidden="1" customHeight="1" outlineLevel="1">
      <c r="A17" s="699" t="s">
        <v>75</v>
      </c>
      <c r="B17" s="699"/>
      <c r="C17" s="715"/>
      <c r="D17" s="715"/>
      <c r="E17" s="715"/>
      <c r="F17" s="715"/>
      <c r="G17" s="705"/>
      <c r="H17" s="715"/>
      <c r="I17" s="715"/>
      <c r="J17" s="715"/>
      <c r="K17" s="715"/>
      <c r="L17" s="705"/>
      <c r="M17" s="715"/>
      <c r="N17" s="715"/>
      <c r="O17" s="715"/>
      <c r="P17" s="715"/>
      <c r="Q17" s="705"/>
      <c r="R17" s="715"/>
      <c r="S17" s="715"/>
      <c r="T17" s="715"/>
      <c r="U17" s="715"/>
      <c r="V17" s="705"/>
      <c r="W17" s="715"/>
      <c r="X17" s="715"/>
      <c r="Y17" s="715"/>
      <c r="Z17" s="715"/>
      <c r="AA17" s="705"/>
      <c r="AB17" s="715"/>
      <c r="AC17" s="687"/>
      <c r="AD17" s="687"/>
      <c r="AE17" s="687"/>
      <c r="AF17" s="768"/>
      <c r="AG17" s="687">
        <f>-AG45</f>
        <v>-1.556</v>
      </c>
      <c r="AH17" s="687">
        <f>-AH45</f>
        <v>-37.421999999999997</v>
      </c>
      <c r="AI17" s="687">
        <f>-AI45</f>
        <v>-54.396000000000001</v>
      </c>
      <c r="AJ17" s="687">
        <f>-AJ45+30.654</f>
        <v>-54.396000000000001</v>
      </c>
      <c r="AK17" s="705">
        <f t="shared" si="3"/>
        <v>-54.396000000000001</v>
      </c>
      <c r="AL17" s="687">
        <f>-AL45</f>
        <v>0</v>
      </c>
      <c r="AM17" s="687">
        <f>-AM45</f>
        <v>-9.3290000000000006</v>
      </c>
      <c r="AN17" s="710">
        <f>-AN45</f>
        <v>-23.634999999999998</v>
      </c>
      <c r="AO17" s="710">
        <f>-31.983</f>
        <v>-31.983000000000001</v>
      </c>
      <c r="AP17" s="768">
        <f t="shared" si="4"/>
        <v>-31.983000000000001</v>
      </c>
      <c r="AQ17" s="710">
        <v>-8.4000000000000005E-2</v>
      </c>
      <c r="AR17" s="710">
        <f>-0.084</f>
        <v>-8.4000000000000005E-2</v>
      </c>
      <c r="AS17" s="710">
        <v>-8.4000000000000005E-2</v>
      </c>
      <c r="AT17" s="710">
        <f t="shared" si="5"/>
        <v>-8.4000000000000005E-2</v>
      </c>
      <c r="AU17" s="705">
        <f>AT17</f>
        <v>-8.4000000000000005E-2</v>
      </c>
      <c r="AV17" s="710">
        <v>-7.0579999999999998</v>
      </c>
      <c r="AW17" s="710">
        <v>-8.4849999999999994</v>
      </c>
      <c r="AX17" s="710">
        <f t="shared" si="21"/>
        <v>-8.4849999999999994</v>
      </c>
      <c r="AY17" s="710">
        <f t="shared" si="21"/>
        <v>-8.4849999999999994</v>
      </c>
      <c r="AZ17" s="705">
        <f t="shared" si="7"/>
        <v>-8.4849999999999994</v>
      </c>
      <c r="BA17" s="710">
        <v>0</v>
      </c>
      <c r="BB17" s="687">
        <v>-8.7780000000000005</v>
      </c>
      <c r="BC17" s="687">
        <v>-9.0960000000000001</v>
      </c>
      <c r="BD17" s="687">
        <v>-9.9489999999999998</v>
      </c>
      <c r="BE17" s="705">
        <f t="shared" si="8"/>
        <v>-9.9489999999999998</v>
      </c>
      <c r="BF17" s="710">
        <v>-2.67</v>
      </c>
      <c r="BG17" s="687">
        <v>-5.3540000000000001</v>
      </c>
      <c r="BH17" s="687">
        <v>-6.5259999999999998</v>
      </c>
      <c r="BI17" s="687">
        <v>-10.003</v>
      </c>
      <c r="BJ17" s="705">
        <f t="shared" si="9"/>
        <v>-10.003</v>
      </c>
      <c r="BK17" s="710">
        <v>0</v>
      </c>
      <c r="BL17" s="687">
        <v>0</v>
      </c>
      <c r="BM17" s="687">
        <v>0</v>
      </c>
      <c r="BN17" s="687">
        <v>-40.619</v>
      </c>
      <c r="BO17" s="705">
        <f t="shared" si="10"/>
        <v>-40.619</v>
      </c>
      <c r="BP17" s="710">
        <v>0</v>
      </c>
      <c r="BQ17" s="687">
        <v>-4.875</v>
      </c>
      <c r="BR17" s="687">
        <v>-31.952999999999999</v>
      </c>
      <c r="BS17" s="687">
        <v>-53.234999999999999</v>
      </c>
      <c r="BT17" s="705">
        <f t="shared" si="11"/>
        <v>-53.234999999999999</v>
      </c>
      <c r="BU17" s="710">
        <v>-33.598999999999997</v>
      </c>
      <c r="BV17" s="687">
        <v>-44.738999999999997</v>
      </c>
      <c r="BW17" s="687">
        <v>-58.344999999999999</v>
      </c>
      <c r="BX17" s="687">
        <v>-68.153000000000006</v>
      </c>
      <c r="BY17" s="705">
        <f t="shared" si="12"/>
        <v>-68.153000000000006</v>
      </c>
      <c r="BZ17" s="710">
        <v>-14.859</v>
      </c>
      <c r="CA17" s="1106">
        <f>+-65.289</f>
        <v>-65.289000000000001</v>
      </c>
      <c r="CB17" s="1106">
        <f>+-69.269</f>
        <v>-69.269000000000005</v>
      </c>
      <c r="CC17" s="1106">
        <f>+-75.105</f>
        <v>-75.105000000000004</v>
      </c>
      <c r="CD17" s="1613">
        <f t="shared" si="13"/>
        <v>-75.105000000000004</v>
      </c>
      <c r="CE17" s="1106">
        <v>0</v>
      </c>
      <c r="CF17" s="1106">
        <v>0</v>
      </c>
      <c r="CG17" s="1106">
        <v>0</v>
      </c>
      <c r="CH17" s="1106">
        <v>0</v>
      </c>
      <c r="CI17" s="1613">
        <f t="shared" si="14"/>
        <v>0</v>
      </c>
      <c r="CJ17" s="1569">
        <v>0</v>
      </c>
      <c r="CK17" s="1569">
        <f t="shared" si="22"/>
        <v>0</v>
      </c>
      <c r="CL17" s="1569">
        <f t="shared" si="22"/>
        <v>0</v>
      </c>
      <c r="CM17" s="1569">
        <f t="shared" si="22"/>
        <v>0</v>
      </c>
      <c r="CN17" s="1599">
        <f t="shared" si="15"/>
        <v>0</v>
      </c>
      <c r="CO17" s="1569">
        <v>0</v>
      </c>
      <c r="CP17" s="1569">
        <f t="shared" si="23"/>
        <v>0</v>
      </c>
      <c r="CQ17" s="1569">
        <f t="shared" si="23"/>
        <v>0</v>
      </c>
      <c r="CR17" s="1569">
        <f t="shared" si="23"/>
        <v>0</v>
      </c>
      <c r="CS17" s="1599">
        <f t="shared" si="16"/>
        <v>0</v>
      </c>
      <c r="CT17" s="1569">
        <v>0</v>
      </c>
      <c r="CU17" s="1569">
        <f t="shared" si="24"/>
        <v>0</v>
      </c>
      <c r="CV17" s="1569">
        <f t="shared" si="25"/>
        <v>0</v>
      </c>
      <c r="CW17" s="1569">
        <f t="shared" si="26"/>
        <v>0</v>
      </c>
      <c r="CX17" s="1599">
        <f t="shared" si="17"/>
        <v>0</v>
      </c>
      <c r="CZ17" s="697"/>
      <c r="DA17" s="769"/>
      <c r="DB17" s="697"/>
      <c r="DC17" s="686"/>
    </row>
    <row r="18" spans="1:107" ht="10.5" hidden="1" customHeight="1" outlineLevel="1">
      <c r="A18" s="699" t="s">
        <v>766</v>
      </c>
      <c r="B18" s="699"/>
      <c r="C18" s="715"/>
      <c r="D18" s="715"/>
      <c r="E18" s="715"/>
      <c r="F18" s="715">
        <f>59.873-20.054+53.068</f>
        <v>92.887</v>
      </c>
      <c r="G18" s="705">
        <f t="shared" si="18"/>
        <v>92.887</v>
      </c>
      <c r="H18" s="715">
        <f>2.236-6.865+0.096</f>
        <v>-4.5329999999999995</v>
      </c>
      <c r="I18" s="715">
        <f>7.408-7.124+8.911</f>
        <v>9.1950000000000003</v>
      </c>
      <c r="J18" s="715">
        <f>10.397-7.194+10.19</f>
        <v>13.393000000000001</v>
      </c>
      <c r="K18" s="715">
        <f>13.122-7.194+11.257</f>
        <v>17.184999999999999</v>
      </c>
      <c r="L18" s="705">
        <f t="shared" si="19"/>
        <v>17.184999999999999</v>
      </c>
      <c r="M18" s="687">
        <f>3.554-0.771+3.91</f>
        <v>6.6929999999999996</v>
      </c>
      <c r="N18" s="687">
        <f>7.18-0.831+3.909</f>
        <v>10.257999999999999</v>
      </c>
      <c r="O18" s="687">
        <f>10.002-0.732+3.984</f>
        <v>13.254000000000001</v>
      </c>
      <c r="P18" s="687">
        <f>11.981-3.09+3.984</f>
        <v>12.875</v>
      </c>
      <c r="Q18" s="705">
        <f t="shared" si="20"/>
        <v>12.875</v>
      </c>
      <c r="R18" s="687">
        <v>1.0309999999999999</v>
      </c>
      <c r="S18" s="687">
        <v>-0.39800000000000002</v>
      </c>
      <c r="T18" s="687">
        <v>1.645</v>
      </c>
      <c r="U18" s="687">
        <v>-2.5059999999999998</v>
      </c>
      <c r="V18" s="705">
        <f t="shared" ref="V18:V30" si="27">U18</f>
        <v>-2.5059999999999998</v>
      </c>
      <c r="W18" s="687">
        <v>1.554</v>
      </c>
      <c r="X18" s="687">
        <v>4.2549999999999999</v>
      </c>
      <c r="Y18" s="687">
        <v>6.3179999999999996</v>
      </c>
      <c r="Z18" s="687">
        <v>1.3220000000000001</v>
      </c>
      <c r="AA18" s="705">
        <f t="shared" si="1"/>
        <v>1.3220000000000001</v>
      </c>
      <c r="AB18" s="687">
        <v>1.31</v>
      </c>
      <c r="AC18" s="687">
        <f>5.486+AB18</f>
        <v>6.7959999999999994</v>
      </c>
      <c r="AD18" s="687">
        <v>12.055</v>
      </c>
      <c r="AE18" s="687">
        <f>AD18-74.269</f>
        <v>-62.214000000000006</v>
      </c>
      <c r="AF18" s="768">
        <f t="shared" si="2"/>
        <v>-62.214000000000006</v>
      </c>
      <c r="AG18" s="687">
        <v>-5.835</v>
      </c>
      <c r="AH18" s="687">
        <f>-9.923+0.276</f>
        <v>-9.6470000000000002</v>
      </c>
      <c r="AI18" s="687">
        <f>-10.834+0.604</f>
        <v>-10.23</v>
      </c>
      <c r="AJ18" s="687">
        <f>AI18+4.058</f>
        <v>-6.1720000000000006</v>
      </c>
      <c r="AK18" s="705">
        <f t="shared" si="3"/>
        <v>-6.1720000000000006</v>
      </c>
      <c r="AL18" s="687">
        <v>-9.4930000000000003</v>
      </c>
      <c r="AM18" s="687">
        <v>-8.5790000000000006</v>
      </c>
      <c r="AN18" s="710">
        <v>-9.69</v>
      </c>
      <c r="AO18" s="710">
        <v>-17.376999999999999</v>
      </c>
      <c r="AP18" s="768">
        <f t="shared" si="4"/>
        <v>-17.376999999999999</v>
      </c>
      <c r="AQ18" s="710">
        <v>15.784000000000001</v>
      </c>
      <c r="AR18" s="710">
        <v>16.498000000000001</v>
      </c>
      <c r="AS18" s="710">
        <v>13.308</v>
      </c>
      <c r="AT18" s="710">
        <f t="shared" si="5"/>
        <v>11.622999999999999</v>
      </c>
      <c r="AU18" s="705">
        <f t="shared" si="6"/>
        <v>11.622999999999999</v>
      </c>
      <c r="AV18" s="710">
        <v>2.331</v>
      </c>
      <c r="AW18" s="710">
        <v>12.222</v>
      </c>
      <c r="AX18" s="710">
        <f>AW18+-3.456</f>
        <v>8.766</v>
      </c>
      <c r="AY18" s="710">
        <f>AX18+2.751</f>
        <v>11.516999999999999</v>
      </c>
      <c r="AZ18" s="705">
        <f t="shared" si="7"/>
        <v>11.516999999999999</v>
      </c>
      <c r="BA18" s="710">
        <v>-1.33</v>
      </c>
      <c r="BB18" s="687">
        <v>-0.56699999999999995</v>
      </c>
      <c r="BC18" s="687">
        <v>1.462</v>
      </c>
      <c r="BD18" s="687">
        <v>-4.3490000000000002</v>
      </c>
      <c r="BE18" s="705">
        <f t="shared" si="8"/>
        <v>-4.3490000000000002</v>
      </c>
      <c r="BF18" s="710">
        <v>-3.1680000000000001</v>
      </c>
      <c r="BG18" s="687">
        <v>-7.4029999999999996</v>
      </c>
      <c r="BH18" s="687">
        <v>-8.2539999999999996</v>
      </c>
      <c r="BI18" s="687">
        <v>-8.5350000000000001</v>
      </c>
      <c r="BJ18" s="705">
        <f t="shared" si="9"/>
        <v>-8.5350000000000001</v>
      </c>
      <c r="BK18" s="710">
        <v>-0.41799999999999998</v>
      </c>
      <c r="BL18" s="687">
        <f>23.838+3.894</f>
        <v>27.731999999999999</v>
      </c>
      <c r="BM18" s="687">
        <f>23.838+6.719</f>
        <v>30.557000000000002</v>
      </c>
      <c r="BN18" s="687">
        <f>23.151+5.665</f>
        <v>28.815999999999999</v>
      </c>
      <c r="BO18" s="705">
        <f t="shared" si="10"/>
        <v>28.815999999999999</v>
      </c>
      <c r="BP18" s="710">
        <v>0.97499999999999998</v>
      </c>
      <c r="BQ18" s="687">
        <v>0.623</v>
      </c>
      <c r="BR18" s="687">
        <v>4.7E-2</v>
      </c>
      <c r="BS18" s="687">
        <v>-7.3999999999999996E-2</v>
      </c>
      <c r="BT18" s="705">
        <f t="shared" si="11"/>
        <v>-7.3999999999999996E-2</v>
      </c>
      <c r="BU18" s="710">
        <v>-9.6869999999999994</v>
      </c>
      <c r="BV18" s="687">
        <v>-9.9629999999999992</v>
      </c>
      <c r="BW18" s="687">
        <v>-8.548</v>
      </c>
      <c r="BX18" s="687">
        <f>-21.415-9.21</f>
        <v>-30.625</v>
      </c>
      <c r="BY18" s="705">
        <f t="shared" si="12"/>
        <v>-30.625</v>
      </c>
      <c r="BZ18" s="710">
        <v>2.0470000000000002</v>
      </c>
      <c r="CA18" s="1106">
        <v>5.3869999999999996</v>
      </c>
      <c r="CB18" s="1106">
        <v>3.9159999999999999</v>
      </c>
      <c r="CC18" s="1106">
        <v>3.145</v>
      </c>
      <c r="CD18" s="1613">
        <f t="shared" si="13"/>
        <v>3.145</v>
      </c>
      <c r="CE18" s="1106">
        <v>-1.0209999999999999</v>
      </c>
      <c r="CF18" s="1106">
        <f>+-2.6</f>
        <v>-2.6</v>
      </c>
      <c r="CG18" s="1106">
        <f>+-3.243</f>
        <v>-3.2429999999999999</v>
      </c>
      <c r="CH18" s="1106">
        <f>+-5.494</f>
        <v>-5.4939999999999998</v>
      </c>
      <c r="CI18" s="1613">
        <f t="shared" si="14"/>
        <v>-5.4939999999999998</v>
      </c>
      <c r="CJ18" s="1569">
        <v>-0.92900000000000005</v>
      </c>
      <c r="CK18" s="1569">
        <f t="shared" si="22"/>
        <v>-0.92900000000000005</v>
      </c>
      <c r="CL18" s="1569">
        <f t="shared" si="22"/>
        <v>-0.92900000000000005</v>
      </c>
      <c r="CM18" s="1569">
        <f t="shared" si="22"/>
        <v>-0.92900000000000005</v>
      </c>
      <c r="CN18" s="1599">
        <f t="shared" si="15"/>
        <v>-0.92900000000000005</v>
      </c>
      <c r="CO18" s="1569">
        <v>0</v>
      </c>
      <c r="CP18" s="1569">
        <f t="shared" si="23"/>
        <v>0</v>
      </c>
      <c r="CQ18" s="1569">
        <f t="shared" si="23"/>
        <v>0</v>
      </c>
      <c r="CR18" s="1569">
        <f t="shared" si="23"/>
        <v>0</v>
      </c>
      <c r="CS18" s="1599">
        <f t="shared" si="16"/>
        <v>0</v>
      </c>
      <c r="CT18" s="1569">
        <v>0</v>
      </c>
      <c r="CU18" s="1569">
        <f t="shared" si="24"/>
        <v>0</v>
      </c>
      <c r="CV18" s="1569">
        <f t="shared" si="25"/>
        <v>0</v>
      </c>
      <c r="CW18" s="1569">
        <f t="shared" si="26"/>
        <v>0</v>
      </c>
      <c r="CX18" s="1599">
        <f t="shared" si="17"/>
        <v>0</v>
      </c>
      <c r="CZ18" s="697"/>
      <c r="DA18" s="769"/>
      <c r="DB18" s="697"/>
      <c r="DC18" s="686"/>
    </row>
    <row r="19" spans="1:107" ht="10.5" hidden="1" customHeight="1" outlineLevel="1">
      <c r="A19" s="699" t="s">
        <v>767</v>
      </c>
      <c r="B19" s="699"/>
      <c r="C19" s="715"/>
      <c r="D19" s="715"/>
      <c r="E19" s="715"/>
      <c r="F19" s="715"/>
      <c r="G19" s="705">
        <f t="shared" si="18"/>
        <v>0</v>
      </c>
      <c r="H19" s="715"/>
      <c r="I19" s="715"/>
      <c r="J19" s="715"/>
      <c r="K19" s="715">
        <v>0</v>
      </c>
      <c r="L19" s="705">
        <f t="shared" si="19"/>
        <v>0</v>
      </c>
      <c r="M19" s="687"/>
      <c r="N19" s="687"/>
      <c r="O19" s="687">
        <v>-0.439</v>
      </c>
      <c r="P19" s="687">
        <v>-0.54400000000000004</v>
      </c>
      <c r="Q19" s="705">
        <f t="shared" si="20"/>
        <v>-0.54400000000000004</v>
      </c>
      <c r="R19" s="687"/>
      <c r="S19" s="687"/>
      <c r="T19" s="687"/>
      <c r="U19" s="687">
        <v>0.80400000000000005</v>
      </c>
      <c r="V19" s="705">
        <f t="shared" si="27"/>
        <v>0.80400000000000005</v>
      </c>
      <c r="W19" s="687"/>
      <c r="X19" s="687"/>
      <c r="Y19" s="687"/>
      <c r="Z19" s="687">
        <v>1.093</v>
      </c>
      <c r="AA19" s="705">
        <f t="shared" si="1"/>
        <v>1.093</v>
      </c>
      <c r="AB19" s="687">
        <v>18.984000000000002</v>
      </c>
      <c r="AC19" s="687">
        <f>+AB19</f>
        <v>18.984000000000002</v>
      </c>
      <c r="AD19" s="687">
        <v>0</v>
      </c>
      <c r="AE19" s="687">
        <f>AD19+0</f>
        <v>0</v>
      </c>
      <c r="AF19" s="768">
        <f t="shared" si="2"/>
        <v>0</v>
      </c>
      <c r="AG19" s="687">
        <v>0.16300000000000001</v>
      </c>
      <c r="AH19" s="687"/>
      <c r="AI19" s="687"/>
      <c r="AJ19" s="687"/>
      <c r="AK19" s="705">
        <f t="shared" si="3"/>
        <v>0</v>
      </c>
      <c r="AL19" s="687">
        <v>3.1469999999999998</v>
      </c>
      <c r="AM19" s="687">
        <v>-7.7670000000000003</v>
      </c>
      <c r="AN19" s="710">
        <v>6.7640000000000002</v>
      </c>
      <c r="AO19" s="710">
        <v>4.7839999999999998</v>
      </c>
      <c r="AP19" s="768">
        <f t="shared" si="4"/>
        <v>4.7839999999999998</v>
      </c>
      <c r="AQ19" s="710">
        <f>3.157+1.567+2.701</f>
        <v>7.4250000000000007</v>
      </c>
      <c r="AR19" s="710">
        <v>1.0660000000000001</v>
      </c>
      <c r="AS19" s="710">
        <f>2.464+3.435</f>
        <v>5.899</v>
      </c>
      <c r="AT19" s="710">
        <f t="shared" si="5"/>
        <v>5.899</v>
      </c>
      <c r="AU19" s="705">
        <f t="shared" si="6"/>
        <v>5.899</v>
      </c>
      <c r="AV19" s="710">
        <f>0.13+5.025</f>
        <v>5.1550000000000002</v>
      </c>
      <c r="AW19" s="710">
        <v>21.158000000000001</v>
      </c>
      <c r="AX19" s="710">
        <f t="shared" si="21"/>
        <v>21.158000000000001</v>
      </c>
      <c r="AY19" s="710">
        <f t="shared" si="21"/>
        <v>21.158000000000001</v>
      </c>
      <c r="AZ19" s="705">
        <f t="shared" si="7"/>
        <v>21.158000000000001</v>
      </c>
      <c r="BA19" s="710">
        <v>2.7029999999999998</v>
      </c>
      <c r="BB19" s="687">
        <v>10.714</v>
      </c>
      <c r="BC19" s="687">
        <v>17.109000000000002</v>
      </c>
      <c r="BD19" s="687">
        <f>14.772+24.56</f>
        <v>39.332000000000001</v>
      </c>
      <c r="BE19" s="705">
        <f t="shared" si="8"/>
        <v>39.332000000000001</v>
      </c>
      <c r="BF19" s="710">
        <v>-6.65</v>
      </c>
      <c r="BG19" s="687">
        <v>-13.577999999999999</v>
      </c>
      <c r="BH19" s="687">
        <v>-22.984000000000002</v>
      </c>
      <c r="BI19" s="687">
        <f>1.113-13.658</f>
        <v>-12.545</v>
      </c>
      <c r="BJ19" s="705">
        <f t="shared" si="9"/>
        <v>-12.545</v>
      </c>
      <c r="BK19" s="710">
        <v>-4.6470000000000002</v>
      </c>
      <c r="BL19" s="687">
        <v>-9.1910000000000007</v>
      </c>
      <c r="BM19" s="687">
        <v>-14.214</v>
      </c>
      <c r="BN19" s="687">
        <f>2.759+28.185</f>
        <v>30.943999999999999</v>
      </c>
      <c r="BO19" s="705">
        <f t="shared" si="10"/>
        <v>30.943999999999999</v>
      </c>
      <c r="BP19" s="710">
        <v>-0.71899999999999997</v>
      </c>
      <c r="BQ19" s="687">
        <v>4.375</v>
      </c>
      <c r="BR19" s="687">
        <v>0.82899999999999996</v>
      </c>
      <c r="BS19" s="687">
        <v>1.889</v>
      </c>
      <c r="BT19" s="705">
        <f t="shared" si="11"/>
        <v>1.889</v>
      </c>
      <c r="BU19" s="710">
        <v>-1.2410000000000001</v>
      </c>
      <c r="BV19" s="687">
        <v>-0.70199999999999996</v>
      </c>
      <c r="BW19" s="687">
        <v>0.26</v>
      </c>
      <c r="BX19" s="687">
        <f>1.216</f>
        <v>1.216</v>
      </c>
      <c r="BY19" s="705">
        <f t="shared" si="12"/>
        <v>1.216</v>
      </c>
      <c r="BZ19" s="710">
        <v>-1.42</v>
      </c>
      <c r="CA19" s="1106">
        <f>+-0.875</f>
        <v>-0.875</v>
      </c>
      <c r="CB19" s="1106">
        <f>+-0.124</f>
        <v>-0.124</v>
      </c>
      <c r="CC19" s="1106">
        <v>2.0219999999999998</v>
      </c>
      <c r="CD19" s="1613">
        <f t="shared" si="13"/>
        <v>2.0219999999999998</v>
      </c>
      <c r="CE19" s="1106">
        <v>0.115</v>
      </c>
      <c r="CF19" s="1106">
        <v>1.4810000000000001</v>
      </c>
      <c r="CG19" s="1106">
        <v>2.6059999999999999</v>
      </c>
      <c r="CH19" s="1106">
        <v>4.625</v>
      </c>
      <c r="CI19" s="1613">
        <f t="shared" si="14"/>
        <v>4.625</v>
      </c>
      <c r="CJ19" s="1569">
        <v>0</v>
      </c>
      <c r="CK19" s="1569">
        <f t="shared" si="22"/>
        <v>0</v>
      </c>
      <c r="CL19" s="1569">
        <f t="shared" si="22"/>
        <v>0</v>
      </c>
      <c r="CM19" s="1569">
        <f t="shared" si="22"/>
        <v>0</v>
      </c>
      <c r="CN19" s="1599">
        <f t="shared" si="15"/>
        <v>0</v>
      </c>
      <c r="CO19" s="1569">
        <v>0</v>
      </c>
      <c r="CP19" s="1569">
        <f t="shared" si="23"/>
        <v>0</v>
      </c>
      <c r="CQ19" s="1569">
        <f t="shared" si="23"/>
        <v>0</v>
      </c>
      <c r="CR19" s="1569">
        <f t="shared" si="23"/>
        <v>0</v>
      </c>
      <c r="CS19" s="1599">
        <f t="shared" si="16"/>
        <v>0</v>
      </c>
      <c r="CT19" s="1569">
        <v>0</v>
      </c>
      <c r="CU19" s="1569">
        <f t="shared" si="24"/>
        <v>0</v>
      </c>
      <c r="CV19" s="1569">
        <f t="shared" si="25"/>
        <v>0</v>
      </c>
      <c r="CW19" s="1569">
        <f t="shared" si="26"/>
        <v>0</v>
      </c>
      <c r="CX19" s="1599">
        <f t="shared" si="17"/>
        <v>0</v>
      </c>
      <c r="CZ19" s="697"/>
      <c r="DA19" s="769"/>
      <c r="DB19" s="697"/>
      <c r="DC19" s="686"/>
    </row>
    <row r="20" spans="1:107" ht="10.5" hidden="1" customHeight="1" outlineLevel="2">
      <c r="A20" s="699" t="s">
        <v>768</v>
      </c>
      <c r="B20" s="699"/>
      <c r="C20" s="715"/>
      <c r="D20" s="715"/>
      <c r="E20" s="715"/>
      <c r="F20" s="715">
        <v>16.273</v>
      </c>
      <c r="G20" s="705">
        <f t="shared" si="18"/>
        <v>16.273</v>
      </c>
      <c r="H20" s="715">
        <v>-21.495000000000001</v>
      </c>
      <c r="I20" s="715">
        <v>-9.4239999999999995</v>
      </c>
      <c r="J20" s="715">
        <v>-18.701000000000001</v>
      </c>
      <c r="K20" s="715">
        <v>5.91</v>
      </c>
      <c r="L20" s="705">
        <f t="shared" si="19"/>
        <v>5.91</v>
      </c>
      <c r="M20" s="715">
        <v>-12.56</v>
      </c>
      <c r="N20" s="715">
        <v>-12.975</v>
      </c>
      <c r="O20" s="715">
        <v>4.577</v>
      </c>
      <c r="P20" s="715">
        <v>-29.148</v>
      </c>
      <c r="Q20" s="705">
        <f t="shared" si="20"/>
        <v>-29.148</v>
      </c>
      <c r="R20" s="715">
        <v>21.166</v>
      </c>
      <c r="S20" s="715">
        <v>33.264000000000003</v>
      </c>
      <c r="T20" s="715">
        <v>39.518000000000001</v>
      </c>
      <c r="U20" s="715">
        <v>9.2210000000000001</v>
      </c>
      <c r="V20" s="705">
        <f t="shared" si="27"/>
        <v>9.2210000000000001</v>
      </c>
      <c r="W20" s="715">
        <v>1.6739999999999999</v>
      </c>
      <c r="X20" s="715">
        <v>-40.058999999999997</v>
      </c>
      <c r="Y20" s="715">
        <v>-28.096</v>
      </c>
      <c r="Z20" s="715">
        <v>-36.091000000000001</v>
      </c>
      <c r="AA20" s="705">
        <f t="shared" si="1"/>
        <v>-36.091000000000001</v>
      </c>
      <c r="AB20" s="715">
        <v>-40.326999999999998</v>
      </c>
      <c r="AC20" s="687">
        <f>2.495+AB20</f>
        <v>-37.832000000000001</v>
      </c>
      <c r="AD20" s="687">
        <v>-35.402999999999999</v>
      </c>
      <c r="AE20" s="687">
        <f>-78.358+AD20</f>
        <v>-113.761</v>
      </c>
      <c r="AF20" s="768">
        <f t="shared" si="2"/>
        <v>-113.761</v>
      </c>
      <c r="AG20" s="687">
        <v>53.484000000000002</v>
      </c>
      <c r="AH20" s="687">
        <v>40.639000000000003</v>
      </c>
      <c r="AI20" s="687">
        <v>94.903000000000006</v>
      </c>
      <c r="AJ20" s="687">
        <f>AI20+BS!AI10-BS!AJ10</f>
        <v>37.711000000000013</v>
      </c>
      <c r="AK20" s="705">
        <f t="shared" si="3"/>
        <v>37.711000000000013</v>
      </c>
      <c r="AL20" s="687">
        <v>11.343</v>
      </c>
      <c r="AM20" s="687">
        <v>-31.582999999999998</v>
      </c>
      <c r="AN20" s="710">
        <v>-96.399000000000001</v>
      </c>
      <c r="AO20" s="710">
        <v>-153.386</v>
      </c>
      <c r="AP20" s="768">
        <f t="shared" si="4"/>
        <v>-153.386</v>
      </c>
      <c r="AQ20" s="710">
        <v>164.48400000000001</v>
      </c>
      <c r="AR20" s="710">
        <v>201.35400000000001</v>
      </c>
      <c r="AS20" s="710">
        <v>182.37700000000001</v>
      </c>
      <c r="AT20" s="687">
        <f>AS20+BS!AS10-BS!AT10</f>
        <v>53.305000000000007</v>
      </c>
      <c r="AU20" s="705">
        <f t="shared" si="6"/>
        <v>53.305000000000007</v>
      </c>
      <c r="AV20" s="687">
        <v>59.600999999999999</v>
      </c>
      <c r="AW20" s="687">
        <v>-27.998999999999999</v>
      </c>
      <c r="AX20" s="687">
        <f>AW20+BS!AV10-BS!AW10</f>
        <v>-116.57300000000004</v>
      </c>
      <c r="AY20" s="687">
        <f>AX20+BS!AX10-BS!AY10</f>
        <v>-186.351</v>
      </c>
      <c r="AZ20" s="705">
        <f t="shared" si="7"/>
        <v>-186.351</v>
      </c>
      <c r="BA20" s="687">
        <v>20.605</v>
      </c>
      <c r="BB20" s="687">
        <v>-16.032</v>
      </c>
      <c r="BC20" s="687">
        <v>-8.3219999999999992</v>
      </c>
      <c r="BD20" s="687">
        <v>-81.064999999999998</v>
      </c>
      <c r="BE20" s="705">
        <f t="shared" si="8"/>
        <v>-81.064999999999998</v>
      </c>
      <c r="BF20" s="687">
        <v>152.721</v>
      </c>
      <c r="BG20" s="687">
        <v>134.65799999999999</v>
      </c>
      <c r="BH20" s="687">
        <v>95.734999999999999</v>
      </c>
      <c r="BI20" s="687">
        <v>45.165999999999997</v>
      </c>
      <c r="BJ20" s="705">
        <f t="shared" si="9"/>
        <v>45.165999999999997</v>
      </c>
      <c r="BK20" s="687">
        <v>131.511</v>
      </c>
      <c r="BL20" s="687">
        <v>147.839</v>
      </c>
      <c r="BM20" s="687">
        <v>112.015</v>
      </c>
      <c r="BN20" s="687">
        <v>33.649000000000001</v>
      </c>
      <c r="BO20" s="705">
        <f t="shared" si="10"/>
        <v>33.649000000000001</v>
      </c>
      <c r="BP20" s="687">
        <v>90.492000000000004</v>
      </c>
      <c r="BQ20" s="687">
        <v>69.337000000000003</v>
      </c>
      <c r="BR20" s="687">
        <v>71.972999999999999</v>
      </c>
      <c r="BS20" s="687">
        <v>7.9279999999999999</v>
      </c>
      <c r="BT20" s="705">
        <f t="shared" si="11"/>
        <v>7.9279999999999999</v>
      </c>
      <c r="BU20" s="687">
        <v>62.058</v>
      </c>
      <c r="BV20" s="687">
        <v>91.266999999999996</v>
      </c>
      <c r="BW20" s="687">
        <v>-0.104</v>
      </c>
      <c r="BX20" s="687">
        <v>-79.501999999999995</v>
      </c>
      <c r="BY20" s="705">
        <f t="shared" si="12"/>
        <v>-79.501999999999995</v>
      </c>
      <c r="BZ20" s="710">
        <v>74.274000000000001</v>
      </c>
      <c r="CA20" s="1106">
        <v>8.6219999999999999</v>
      </c>
      <c r="CB20" s="1106">
        <f>+-57.033</f>
        <v>-57.033000000000001</v>
      </c>
      <c r="CC20" s="1106">
        <f>+-160.416</f>
        <v>-160.416</v>
      </c>
      <c r="CD20" s="1613">
        <f t="shared" si="13"/>
        <v>-160.416</v>
      </c>
      <c r="CE20" s="1106">
        <v>184.25</v>
      </c>
      <c r="CF20" s="1106">
        <v>132.27500000000001</v>
      </c>
      <c r="CG20" s="1106">
        <v>26.460999999999999</v>
      </c>
      <c r="CH20" s="1106">
        <f>+-187.173</f>
        <v>-187.173</v>
      </c>
      <c r="CI20" s="1613">
        <f t="shared" si="14"/>
        <v>-187.173</v>
      </c>
      <c r="CJ20" s="1569">
        <f>BS!CI10-BS!CJ10+41.1295</f>
        <v>196.40750000000003</v>
      </c>
      <c r="CK20" s="1569">
        <f>CJ20+BS!CJ10-BS!CK10</f>
        <v>200.42032935573729</v>
      </c>
      <c r="CL20" s="1569">
        <f>CK20+BS!CK10-BS!CL10</f>
        <v>72.718370552357783</v>
      </c>
      <c r="CM20" s="1569">
        <f>CL20+BS!CL10-BS!CM10</f>
        <v>-55.00186752851846</v>
      </c>
      <c r="CN20" s="1599">
        <f t="shared" si="15"/>
        <v>-55.00186752851846</v>
      </c>
      <c r="CO20" s="1569">
        <f>BS!CN10-BS!CO10</f>
        <v>52.306510198202886</v>
      </c>
      <c r="CP20" s="1569">
        <f>CO20+BS!CO10-BS!CP10</f>
        <v>62.691454422035349</v>
      </c>
      <c r="CQ20" s="1569">
        <f>CP20+BS!CP10-BS!CQ10</f>
        <v>-90.859052661338865</v>
      </c>
      <c r="CR20" s="1569">
        <f>CQ20+BS!CQ10-BS!CR10</f>
        <v>-241.24941466974883</v>
      </c>
      <c r="CS20" s="1599">
        <f t="shared" si="16"/>
        <v>-241.24941466974883</v>
      </c>
      <c r="CT20" s="1569">
        <f>BS!CS10-BS!CT10</f>
        <v>70.685468924028328</v>
      </c>
      <c r="CU20" s="1569">
        <f>CT20+BS!CT10-BS!CU10</f>
        <v>93.209021949966882</v>
      </c>
      <c r="CV20" s="1569">
        <f>CU20+BS!CU10-BS!CV10</f>
        <v>-73.582832186988298</v>
      </c>
      <c r="CW20" s="1569">
        <f>CV20+BS!CV10-BS!CW10</f>
        <v>-234.66706986080544</v>
      </c>
      <c r="CX20" s="1599">
        <f t="shared" si="17"/>
        <v>-234.66706986080544</v>
      </c>
      <c r="CZ20" s="697"/>
      <c r="DA20" s="769"/>
      <c r="DB20" s="697"/>
      <c r="DC20" s="686"/>
    </row>
    <row r="21" spans="1:107" ht="10.5" hidden="1" customHeight="1" outlineLevel="2">
      <c r="A21" s="699" t="s">
        <v>175</v>
      </c>
      <c r="B21" s="699"/>
      <c r="C21" s="715"/>
      <c r="D21" s="715"/>
      <c r="E21" s="715"/>
      <c r="F21" s="715">
        <v>-3.552</v>
      </c>
      <c r="G21" s="705">
        <f>F21</f>
        <v>-3.552</v>
      </c>
      <c r="H21" s="715">
        <v>2.0659999999999998</v>
      </c>
      <c r="I21" s="715">
        <v>-0.129</v>
      </c>
      <c r="J21" s="715">
        <v>-3.7189999999999999</v>
      </c>
      <c r="K21" s="715">
        <v>1.8560000000000001</v>
      </c>
      <c r="L21" s="705">
        <f>K21</f>
        <v>1.8560000000000001</v>
      </c>
      <c r="M21" s="715">
        <v>-2.492</v>
      </c>
      <c r="N21" s="715">
        <v>-6.984</v>
      </c>
      <c r="O21" s="715">
        <v>-12.246</v>
      </c>
      <c r="P21" s="715">
        <v>-2.0550000000000002</v>
      </c>
      <c r="Q21" s="705">
        <f>P21</f>
        <v>-2.0550000000000002</v>
      </c>
      <c r="R21" s="715">
        <v>-4.2809999999999997</v>
      </c>
      <c r="S21" s="715">
        <v>-2.5150000000000001</v>
      </c>
      <c r="T21" s="715">
        <v>-1.5089999999999999</v>
      </c>
      <c r="U21" s="715">
        <v>4.9080000000000004</v>
      </c>
      <c r="V21" s="705">
        <f>U21</f>
        <v>4.9080000000000004</v>
      </c>
      <c r="W21" s="715">
        <v>-9.3529999999999998</v>
      </c>
      <c r="X21" s="715">
        <v>-19.067</v>
      </c>
      <c r="Y21" s="715">
        <v>-16.106000000000002</v>
      </c>
      <c r="Z21" s="715">
        <v>-20.181000000000001</v>
      </c>
      <c r="AA21" s="705">
        <f>Z21</f>
        <v>-20.181000000000001</v>
      </c>
      <c r="AB21" s="715">
        <v>23.991</v>
      </c>
      <c r="AC21" s="687">
        <f>-4.524+AB21</f>
        <v>19.466999999999999</v>
      </c>
      <c r="AD21" s="687">
        <v>21.731999999999999</v>
      </c>
      <c r="AE21" s="687">
        <f>AD21+0.194</f>
        <v>21.925999999999998</v>
      </c>
      <c r="AF21" s="768">
        <f>AE21</f>
        <v>21.925999999999998</v>
      </c>
      <c r="AG21" s="687">
        <v>-2.6579999999999999</v>
      </c>
      <c r="AH21" s="687">
        <v>-15.205</v>
      </c>
      <c r="AI21" s="687">
        <v>-16.135000000000002</v>
      </c>
      <c r="AJ21" s="687">
        <f>AI21+BS!AI14-BS!AJ14</f>
        <v>-1.916000000000011</v>
      </c>
      <c r="AK21" s="705">
        <f>AJ21</f>
        <v>-1.916000000000011</v>
      </c>
      <c r="AL21" s="687">
        <v>-1.262</v>
      </c>
      <c r="AM21" s="687">
        <v>-3.359</v>
      </c>
      <c r="AN21" s="710">
        <v>-6.202</v>
      </c>
      <c r="AO21" s="710">
        <v>-5.5839999999999996</v>
      </c>
      <c r="AP21" s="768">
        <f>AO21</f>
        <v>-5.5839999999999996</v>
      </c>
      <c r="AQ21" s="710">
        <v>7.859</v>
      </c>
      <c r="AR21" s="710">
        <v>13.21</v>
      </c>
      <c r="AS21" s="710">
        <v>15.663</v>
      </c>
      <c r="AT21" s="687">
        <f>AS21+BS!AS14-BS!AT14</f>
        <v>15.310999999999993</v>
      </c>
      <c r="AU21" s="705">
        <f>AT21</f>
        <v>15.310999999999993</v>
      </c>
      <c r="AV21" s="687">
        <v>4.18</v>
      </c>
      <c r="AW21" s="687">
        <v>-8.8079999999999998</v>
      </c>
      <c r="AX21" s="687">
        <f>AW21+BS!AV14-BS!AW14</f>
        <v>-43.057999999999993</v>
      </c>
      <c r="AY21" s="687">
        <f>AX21+BS!AX14-BS!AY14</f>
        <v>-56.691999999999993</v>
      </c>
      <c r="AZ21" s="705">
        <f>AY21</f>
        <v>-56.691999999999993</v>
      </c>
      <c r="BA21" s="687">
        <v>-2.7160000000000002</v>
      </c>
      <c r="BB21" s="687">
        <v>-15.58</v>
      </c>
      <c r="BC21" s="687">
        <v>-4.0999999999999996</v>
      </c>
      <c r="BD21" s="687">
        <v>-5.0999999999999996</v>
      </c>
      <c r="BE21" s="705">
        <f>BD21</f>
        <v>-5.0999999999999996</v>
      </c>
      <c r="BF21" s="687">
        <v>-15.08</v>
      </c>
      <c r="BG21" s="687">
        <v>-32.956000000000003</v>
      </c>
      <c r="BH21" s="687">
        <v>-17.63</v>
      </c>
      <c r="BI21" s="687">
        <v>4.5519999999999996</v>
      </c>
      <c r="BJ21" s="705">
        <f>BI21</f>
        <v>4.5519999999999996</v>
      </c>
      <c r="BK21" s="687">
        <v>-35.447000000000003</v>
      </c>
      <c r="BL21" s="687">
        <v>-18.651</v>
      </c>
      <c r="BM21" s="687">
        <v>-13.669</v>
      </c>
      <c r="BN21" s="687">
        <v>-55.509</v>
      </c>
      <c r="BO21" s="705">
        <f>BN21</f>
        <v>-55.509</v>
      </c>
      <c r="BP21" s="687">
        <v>-43.558999999999997</v>
      </c>
      <c r="BQ21" s="687">
        <v>-23.977</v>
      </c>
      <c r="BR21" s="687">
        <v>13.352</v>
      </c>
      <c r="BS21" s="687">
        <v>-1.9179999999999999</v>
      </c>
      <c r="BT21" s="705">
        <f>BS21</f>
        <v>-1.9179999999999999</v>
      </c>
      <c r="BU21" s="687">
        <v>-23.911999999999999</v>
      </c>
      <c r="BV21" s="687">
        <v>-27.306999999999999</v>
      </c>
      <c r="BW21" s="687">
        <v>-24.452999999999999</v>
      </c>
      <c r="BX21" s="687">
        <v>-7.7009999999999996</v>
      </c>
      <c r="BY21" s="705">
        <f>BX21</f>
        <v>-7.7009999999999996</v>
      </c>
      <c r="BZ21" s="710">
        <v>-84.831999999999994</v>
      </c>
      <c r="CA21" s="1106">
        <f>+-103.044</f>
        <v>-103.044</v>
      </c>
      <c r="CB21" s="1106">
        <f>+-86.35</f>
        <v>-86.35</v>
      </c>
      <c r="CC21" s="1106">
        <f>+-71.021</f>
        <v>-71.021000000000001</v>
      </c>
      <c r="CD21" s="1613">
        <f>CC21</f>
        <v>-71.021000000000001</v>
      </c>
      <c r="CE21" s="1106">
        <v>-10.757999999999999</v>
      </c>
      <c r="CF21" s="1106">
        <v>14.765000000000001</v>
      </c>
      <c r="CG21" s="1106">
        <v>31.824000000000002</v>
      </c>
      <c r="CH21" s="1106">
        <v>28.04</v>
      </c>
      <c r="CI21" s="1613">
        <f>CH21</f>
        <v>28.04</v>
      </c>
      <c r="CJ21" s="1569">
        <f>BS!CI14-BS!CJ14+41.1295</f>
        <v>-18.953499999999998</v>
      </c>
      <c r="CK21" s="1569">
        <f>CJ21+BS!CJ14-BS!CK14</f>
        <v>-17.86205843851215</v>
      </c>
      <c r="CL21" s="1569">
        <f>CK21+BS!CK14-BS!CL14</f>
        <v>-2.3104496358937183</v>
      </c>
      <c r="CM21" s="1569">
        <f>CL21+BS!CL14-BS!CM14</f>
        <v>2.0580938086081346</v>
      </c>
      <c r="CN21" s="1599">
        <f>CM21</f>
        <v>2.0580938086081346</v>
      </c>
      <c r="CO21" s="1569">
        <f>BS!CN14-BS!CO14</f>
        <v>-71.626950421744681</v>
      </c>
      <c r="CP21" s="1569">
        <f>CO21+BS!CO14-BS!CP14</f>
        <v>-68.90262593650894</v>
      </c>
      <c r="CQ21" s="1569">
        <f>CP21+BS!CP14-BS!CQ14</f>
        <v>-51.075571738735306</v>
      </c>
      <c r="CR21" s="1569">
        <f>CQ21+BS!CQ14-BS!CR14</f>
        <v>-45.738900077342663</v>
      </c>
      <c r="CS21" s="1599">
        <f t="shared" ref="CS21:CS30" si="28">CR21</f>
        <v>-45.738900077342663</v>
      </c>
      <c r="CT21" s="1569">
        <f>BS!CS14-BS!CT14</f>
        <v>-82.545537622041422</v>
      </c>
      <c r="CU21" s="1569">
        <f>CT21+BS!CT14-BS!CU14</f>
        <v>-76.721176145872391</v>
      </c>
      <c r="CV21" s="1569">
        <f>CU21+BS!CU14-BS!CV14</f>
        <v>-53.196294057055866</v>
      </c>
      <c r="CW21" s="1569">
        <f>CV21+BS!CV14-BS!CW14</f>
        <v>-44.490941768705852</v>
      </c>
      <c r="CX21" s="1599">
        <f t="shared" si="17"/>
        <v>-44.490941768705852</v>
      </c>
      <c r="CZ21" s="697"/>
      <c r="DA21" s="769"/>
      <c r="DB21" s="697"/>
      <c r="DC21" s="686"/>
    </row>
    <row r="22" spans="1:107" ht="10.5" hidden="1" customHeight="1" outlineLevel="2">
      <c r="A22" s="699" t="s">
        <v>627</v>
      </c>
      <c r="B22" s="699"/>
      <c r="C22" s="715"/>
      <c r="D22" s="715"/>
      <c r="E22" s="715"/>
      <c r="F22" s="715">
        <v>-9.3889999999999993</v>
      </c>
      <c r="G22" s="705">
        <f>F22</f>
        <v>-9.3889999999999993</v>
      </c>
      <c r="H22" s="715">
        <v>3.552</v>
      </c>
      <c r="I22" s="715">
        <v>-6.33</v>
      </c>
      <c r="J22" s="715">
        <v>-7.1740000000000004</v>
      </c>
      <c r="K22" s="715">
        <v>-2.2770000000000001</v>
      </c>
      <c r="L22" s="705">
        <f>K22</f>
        <v>-2.2770000000000001</v>
      </c>
      <c r="M22" s="715">
        <v>-3.5739999999999998</v>
      </c>
      <c r="N22" s="715">
        <v>3.5409999999999999</v>
      </c>
      <c r="O22" s="715">
        <v>-5.6950000000000003</v>
      </c>
      <c r="P22" s="715">
        <v>-0.32800000000000001</v>
      </c>
      <c r="Q22" s="705">
        <f>P22</f>
        <v>-0.32800000000000001</v>
      </c>
      <c r="R22" s="715">
        <v>-1.839</v>
      </c>
      <c r="S22" s="715">
        <v>-4.3040000000000003</v>
      </c>
      <c r="T22" s="715">
        <v>-0.77600000000000002</v>
      </c>
      <c r="U22" s="715">
        <v>5.7549999999999999</v>
      </c>
      <c r="V22" s="705">
        <f>U22</f>
        <v>5.7549999999999999</v>
      </c>
      <c r="W22" s="715">
        <v>-4.923</v>
      </c>
      <c r="X22" s="715">
        <v>-4.7809999999999997</v>
      </c>
      <c r="Y22" s="715">
        <v>-6.07</v>
      </c>
      <c r="Z22" s="715">
        <v>-2.456</v>
      </c>
      <c r="AA22" s="705">
        <f t="shared" si="1"/>
        <v>-2.456</v>
      </c>
      <c r="AB22" s="715">
        <v>8.1959999999999997</v>
      </c>
      <c r="AC22" s="687">
        <f>-1.855+AB22</f>
        <v>6.3409999999999993</v>
      </c>
      <c r="AD22" s="687">
        <v>-4.516</v>
      </c>
      <c r="AE22" s="687">
        <f>AD22+16.407</f>
        <v>11.891</v>
      </c>
      <c r="AF22" s="768">
        <f>AE22</f>
        <v>11.891</v>
      </c>
      <c r="AG22" s="687">
        <v>-8.4550000000000001</v>
      </c>
      <c r="AH22" s="687">
        <v>-0.28999999999999998</v>
      </c>
      <c r="AI22" s="687">
        <v>9.0519999999999996</v>
      </c>
      <c r="AJ22" s="687">
        <f>AI22+BS!AJ26-BS!AI26</f>
        <v>11.545000000000016</v>
      </c>
      <c r="AK22" s="705">
        <f>AJ22</f>
        <v>11.545000000000016</v>
      </c>
      <c r="AL22" s="687">
        <v>-4.8479999999999999</v>
      </c>
      <c r="AM22" s="687">
        <v>-5.9059999999999997</v>
      </c>
      <c r="AN22" s="710">
        <v>-10.613</v>
      </c>
      <c r="AO22" s="710">
        <v>14.077999999999999</v>
      </c>
      <c r="AP22" s="768">
        <f>AO22</f>
        <v>14.077999999999999</v>
      </c>
      <c r="AQ22" s="710">
        <v>-14.423999999999999</v>
      </c>
      <c r="AR22" s="710">
        <v>-13.582000000000001</v>
      </c>
      <c r="AS22" s="710">
        <v>-7.4240000000000004</v>
      </c>
      <c r="AT22" s="687">
        <f>AS22+BS!AT26-BS!AS26</f>
        <v>3.0640000000000072</v>
      </c>
      <c r="AU22" s="705">
        <f>AT22</f>
        <v>3.0640000000000072</v>
      </c>
      <c r="AV22" s="687">
        <v>-14.715999999999999</v>
      </c>
      <c r="AW22" s="687">
        <v>-8.6310000000000002</v>
      </c>
      <c r="AX22" s="687">
        <f>AW22+BS!AW26-BS!AV26</f>
        <v>-2.5459999999999994</v>
      </c>
      <c r="AY22" s="687">
        <f>AX22+BS!AY26-BS!AX26</f>
        <v>-6.5790000000000006</v>
      </c>
      <c r="AZ22" s="705">
        <f>AY22</f>
        <v>-6.5790000000000006</v>
      </c>
      <c r="BA22" s="687">
        <v>2.31</v>
      </c>
      <c r="BB22" s="687">
        <v>8.1010000000000009</v>
      </c>
      <c r="BC22" s="687">
        <v>12.347</v>
      </c>
      <c r="BD22" s="687">
        <v>32.203000000000003</v>
      </c>
      <c r="BE22" s="705">
        <f>BD22</f>
        <v>32.203000000000003</v>
      </c>
      <c r="BF22" s="687">
        <v>-42.542000000000002</v>
      </c>
      <c r="BG22" s="687">
        <v>-43.203000000000003</v>
      </c>
      <c r="BH22" s="687">
        <v>-54.186999999999998</v>
      </c>
      <c r="BI22" s="687">
        <v>-62.874000000000002</v>
      </c>
      <c r="BJ22" s="705">
        <f>BI22</f>
        <v>-62.874000000000002</v>
      </c>
      <c r="BK22" s="687">
        <v>22.477</v>
      </c>
      <c r="BL22" s="687">
        <v>3.4369999999999998</v>
      </c>
      <c r="BM22" s="687">
        <v>16.106000000000002</v>
      </c>
      <c r="BN22" s="687">
        <v>7.1319999999999997</v>
      </c>
      <c r="BO22" s="705">
        <f>BN22</f>
        <v>7.1319999999999997</v>
      </c>
      <c r="BP22" s="687">
        <v>2.4119999999999999</v>
      </c>
      <c r="BQ22" s="687">
        <v>-7.2380000000000004</v>
      </c>
      <c r="BR22" s="687">
        <v>-8.3049999999999997</v>
      </c>
      <c r="BS22" s="687">
        <v>6.2110000000000003</v>
      </c>
      <c r="BT22" s="705">
        <f>BS22</f>
        <v>6.2110000000000003</v>
      </c>
      <c r="BU22" s="687">
        <v>1.3680000000000001</v>
      </c>
      <c r="BV22" s="687">
        <v>-13.763</v>
      </c>
      <c r="BW22" s="687">
        <v>-0.61399999999999999</v>
      </c>
      <c r="BX22" s="687">
        <v>22.87</v>
      </c>
      <c r="BY22" s="705">
        <f>BX22</f>
        <v>22.87</v>
      </c>
      <c r="BZ22" s="710">
        <v>-21.600999999999999</v>
      </c>
      <c r="CA22" s="1106">
        <v>-18.722999999999999</v>
      </c>
      <c r="CB22" s="1106">
        <f>+-10.861</f>
        <v>-10.861000000000001</v>
      </c>
      <c r="CC22" s="1106">
        <f>+-6.281</f>
        <v>-6.2809999999999997</v>
      </c>
      <c r="CD22" s="1613">
        <f>CC22</f>
        <v>-6.2809999999999997</v>
      </c>
      <c r="CE22" s="1106">
        <v>32.816000000000003</v>
      </c>
      <c r="CF22" s="1106">
        <f>+-80.819</f>
        <v>-80.819000000000003</v>
      </c>
      <c r="CG22" s="1106">
        <f>+-68.397</f>
        <v>-68.397000000000006</v>
      </c>
      <c r="CH22" s="1106">
        <f>+-45.186</f>
        <v>-45.186</v>
      </c>
      <c r="CI22" s="1613">
        <f>CH22</f>
        <v>-45.186</v>
      </c>
      <c r="CJ22" s="1569">
        <f>BS!CJ26-BS!CI26</f>
        <v>17.552000000000007</v>
      </c>
      <c r="CK22" s="1569">
        <f>CJ22+BS!CK26-BS!CJ26</f>
        <v>-10.248829138542916</v>
      </c>
      <c r="CL22" s="1569">
        <f>CK22+BS!CL26-BS!CK26</f>
        <v>6.7328265893536638</v>
      </c>
      <c r="CM22" s="1569">
        <f>CL22+BS!CM26-BS!CL26</f>
        <v>64.870365462828502</v>
      </c>
      <c r="CN22" s="1599">
        <f>CM22</f>
        <v>64.870365462828502</v>
      </c>
      <c r="CO22" s="1569">
        <f>BS!CO26-BS!CN26</f>
        <v>-25.81442319230112</v>
      </c>
      <c r="CP22" s="1569">
        <f>CO22+BS!CP26-BS!CO26</f>
        <v>-59.121070158710879</v>
      </c>
      <c r="CQ22" s="1569">
        <f>CP22+BS!CQ26-BS!CP26</f>
        <v>-39.392942206754753</v>
      </c>
      <c r="CR22" s="1569">
        <f>CQ22+BS!CR26-BS!CQ26</f>
        <v>27.68291472515179</v>
      </c>
      <c r="CS22" s="1599">
        <f t="shared" si="28"/>
        <v>27.68291472515179</v>
      </c>
      <c r="CT22" s="1569">
        <f>BS!CT26-BS!CS26</f>
        <v>-28.96520649554239</v>
      </c>
      <c r="CU22" s="1569">
        <f>CT22+BS!CU26-BS!CT26</f>
        <v>-69.781203498664951</v>
      </c>
      <c r="CV22" s="1569">
        <f>CU22+BS!CV26-BS!CU26</f>
        <v>-48.494937143679181</v>
      </c>
      <c r="CW22" s="1569">
        <f>CV22+BS!CW26-BS!CV26</f>
        <v>25.812559944066805</v>
      </c>
      <c r="CX22" s="1599">
        <f t="shared" si="17"/>
        <v>25.812559944066805</v>
      </c>
      <c r="CZ22" s="697"/>
      <c r="DA22" s="769"/>
      <c r="DB22" s="697"/>
      <c r="DC22" s="686"/>
    </row>
    <row r="23" spans="1:107" ht="10.5" hidden="1" customHeight="1" outlineLevel="2">
      <c r="A23" s="699" t="s">
        <v>628</v>
      </c>
      <c r="B23" s="699"/>
      <c r="C23" s="715"/>
      <c r="D23" s="715"/>
      <c r="E23" s="715"/>
      <c r="F23" s="715">
        <v>-61.082999999999998</v>
      </c>
      <c r="G23" s="705">
        <f t="shared" si="18"/>
        <v>-61.082999999999998</v>
      </c>
      <c r="H23" s="715">
        <v>-0.755</v>
      </c>
      <c r="I23" s="715">
        <v>-2.4079999999999999</v>
      </c>
      <c r="J23" s="715">
        <v>-14.308</v>
      </c>
      <c r="K23" s="715">
        <v>-8.3119999999999994</v>
      </c>
      <c r="L23" s="705">
        <f t="shared" si="19"/>
        <v>-8.3119999999999994</v>
      </c>
      <c r="M23" s="715">
        <v>14.41</v>
      </c>
      <c r="N23" s="715">
        <v>28.486999999999998</v>
      </c>
      <c r="O23" s="715">
        <v>22.692</v>
      </c>
      <c r="P23" s="715">
        <v>32.929000000000002</v>
      </c>
      <c r="Q23" s="705">
        <f t="shared" si="20"/>
        <v>32.929000000000002</v>
      </c>
      <c r="R23" s="715">
        <v>17.588999999999999</v>
      </c>
      <c r="S23" s="715">
        <v>32.040999999999997</v>
      </c>
      <c r="T23" s="715">
        <v>13.590999999999999</v>
      </c>
      <c r="U23" s="715">
        <v>44.896000000000001</v>
      </c>
      <c r="V23" s="705">
        <f t="shared" si="27"/>
        <v>44.896000000000001</v>
      </c>
      <c r="W23" s="715">
        <v>-6.2220000000000004</v>
      </c>
      <c r="X23" s="715">
        <v>12.933999999999999</v>
      </c>
      <c r="Y23" s="715">
        <v>4.5</v>
      </c>
      <c r="Z23" s="715">
        <v>26.277999999999999</v>
      </c>
      <c r="AA23" s="705">
        <f t="shared" si="1"/>
        <v>26.277999999999999</v>
      </c>
      <c r="AB23" s="715">
        <v>-46.767000000000003</v>
      </c>
      <c r="AC23" s="687">
        <f>-6.382+AB23</f>
        <v>-53.149000000000001</v>
      </c>
      <c r="AD23" s="687">
        <v>-79.590999999999994</v>
      </c>
      <c r="AE23" s="687">
        <f>44.199+AD23</f>
        <v>-35.391999999999996</v>
      </c>
      <c r="AF23" s="768">
        <f t="shared" si="2"/>
        <v>-35.391999999999996</v>
      </c>
      <c r="AG23" s="687">
        <v>-29.103999999999999</v>
      </c>
      <c r="AH23" s="687">
        <f>22.721</f>
        <v>22.721</v>
      </c>
      <c r="AI23" s="687">
        <v>34.918999999999997</v>
      </c>
      <c r="AJ23" s="687">
        <f>AI23+BS!AJ27-BS!AI27</f>
        <v>69.091999999999985</v>
      </c>
      <c r="AK23" s="705">
        <f t="shared" si="3"/>
        <v>69.091999999999985</v>
      </c>
      <c r="AL23" s="687">
        <f>-14.791</f>
        <v>-14.791</v>
      </c>
      <c r="AM23" s="687">
        <v>-8.1389999999999993</v>
      </c>
      <c r="AN23" s="710">
        <v>-36.957000000000001</v>
      </c>
      <c r="AO23" s="710">
        <v>-13.904</v>
      </c>
      <c r="AP23" s="768">
        <f t="shared" si="4"/>
        <v>-13.904</v>
      </c>
      <c r="AQ23" s="710">
        <v>-53.097999999999999</v>
      </c>
      <c r="AR23" s="710">
        <v>-32.639000000000003</v>
      </c>
      <c r="AS23" s="710">
        <v>-44.350999999999999</v>
      </c>
      <c r="AT23" s="687">
        <f>AS23+BS!AT27-BS!AS27</f>
        <v>26.218000000000018</v>
      </c>
      <c r="AU23" s="705">
        <f t="shared" si="6"/>
        <v>26.218000000000018</v>
      </c>
      <c r="AV23" s="687">
        <v>-59.008000000000003</v>
      </c>
      <c r="AW23" s="687">
        <v>33.097999999999999</v>
      </c>
      <c r="AX23" s="687">
        <f>AW23+BS!AW27-BS!AV27</f>
        <v>137.24799999999999</v>
      </c>
      <c r="AY23" s="687">
        <f>AX23+BS!AY27-BS!AX27</f>
        <v>233.04599999999994</v>
      </c>
      <c r="AZ23" s="705">
        <f t="shared" si="7"/>
        <v>233.04599999999994</v>
      </c>
      <c r="BA23" s="687">
        <v>-110.084</v>
      </c>
      <c r="BB23" s="687">
        <v>-72.144999999999996</v>
      </c>
      <c r="BC23" s="687">
        <v>-119.185</v>
      </c>
      <c r="BD23" s="687">
        <v>-24.707999999999998</v>
      </c>
      <c r="BE23" s="705">
        <f t="shared" si="8"/>
        <v>-24.707999999999998</v>
      </c>
      <c r="BF23" s="687">
        <v>-116.908</v>
      </c>
      <c r="BG23" s="687">
        <v>-43.767000000000003</v>
      </c>
      <c r="BH23" s="687">
        <v>-51.46</v>
      </c>
      <c r="BI23" s="687">
        <v>-7.77</v>
      </c>
      <c r="BJ23" s="705">
        <f t="shared" si="9"/>
        <v>-7.77</v>
      </c>
      <c r="BK23" s="687">
        <v>-78.965999999999994</v>
      </c>
      <c r="BL23" s="687">
        <v>-46.481999999999999</v>
      </c>
      <c r="BM23" s="687">
        <v>-65.992000000000004</v>
      </c>
      <c r="BN23" s="687">
        <v>41.828000000000003</v>
      </c>
      <c r="BO23" s="705">
        <f t="shared" si="10"/>
        <v>41.828000000000003</v>
      </c>
      <c r="BP23" s="687">
        <v>-60.14</v>
      </c>
      <c r="BQ23" s="687">
        <v>12.071</v>
      </c>
      <c r="BR23" s="687">
        <v>-13.749000000000001</v>
      </c>
      <c r="BS23" s="687">
        <v>37.543999999999997</v>
      </c>
      <c r="BT23" s="705">
        <f t="shared" si="11"/>
        <v>37.543999999999997</v>
      </c>
      <c r="BU23" s="687">
        <v>-125.28100000000001</v>
      </c>
      <c r="BV23" s="687">
        <v>-35.597999999999999</v>
      </c>
      <c r="BW23" s="687">
        <v>-26.581</v>
      </c>
      <c r="BX23" s="687">
        <v>-5.944</v>
      </c>
      <c r="BY23" s="705">
        <f t="shared" si="12"/>
        <v>-5.944</v>
      </c>
      <c r="BZ23" s="710">
        <v>-81.111000000000004</v>
      </c>
      <c r="CA23" s="1106">
        <v>-14.49</v>
      </c>
      <c r="CB23" s="1106">
        <f>+-5.54</f>
        <v>-5.54</v>
      </c>
      <c r="CC23" s="1106">
        <v>64.977999999999994</v>
      </c>
      <c r="CD23" s="1613">
        <f t="shared" si="13"/>
        <v>64.977999999999994</v>
      </c>
      <c r="CE23" s="1106">
        <v>-92.105000000000004</v>
      </c>
      <c r="CF23" s="1106">
        <v>12.728</v>
      </c>
      <c r="CG23" s="1106">
        <v>81.623999999999995</v>
      </c>
      <c r="CH23" s="1106">
        <v>154.125</v>
      </c>
      <c r="CI23" s="1613">
        <f t="shared" si="14"/>
        <v>154.125</v>
      </c>
      <c r="CJ23" s="1569">
        <f>BS!CJ27-BS!CI27</f>
        <v>-82.729000000000042</v>
      </c>
      <c r="CK23" s="1569">
        <f>CJ23+BS!CK27-BS!CJ27</f>
        <v>-3.401175644985301</v>
      </c>
      <c r="CL23" s="1569">
        <f>CK23+BS!CL27-BS!CK27</f>
        <v>-44.918146279214511</v>
      </c>
      <c r="CM23" s="1569">
        <f>CL23+BS!CM27-BS!CL27</f>
        <v>26.751289440291657</v>
      </c>
      <c r="CN23" s="1599">
        <f t="shared" si="15"/>
        <v>26.751289440291657</v>
      </c>
      <c r="CO23" s="1569">
        <f>BS!CO27-BS!CN27</f>
        <v>59.390561270801641</v>
      </c>
      <c r="CP23" s="1569">
        <f>CO23+BS!CP27-BS!CO27</f>
        <v>157.88730717940075</v>
      </c>
      <c r="CQ23" s="1569">
        <f>CP23+BS!CQ27-BS!CP27</f>
        <v>109.1308293304794</v>
      </c>
      <c r="CR23" s="1569">
        <f>CQ23+BS!CR27-BS!CQ27</f>
        <v>190.89363970295994</v>
      </c>
      <c r="CS23" s="1599">
        <f t="shared" si="28"/>
        <v>190.89363970295994</v>
      </c>
      <c r="CT23" s="1569">
        <f>BS!CT27-BS!CS27</f>
        <v>70.197509947847493</v>
      </c>
      <c r="CU23" s="1569">
        <f>CT23+BS!CU27-BS!CT27</f>
        <v>182.05810487385111</v>
      </c>
      <c r="CV23" s="1569">
        <f>CU23+BS!CV27-BS!CU27</f>
        <v>120.17502682388613</v>
      </c>
      <c r="CW23" s="1569">
        <f>CV23+BS!CW27-BS!CV27</f>
        <v>206.40131791374802</v>
      </c>
      <c r="CX23" s="1599">
        <f t="shared" si="17"/>
        <v>206.40131791374802</v>
      </c>
      <c r="CZ23" s="697"/>
      <c r="DA23" s="769"/>
      <c r="DB23" s="697"/>
      <c r="DC23" s="686"/>
    </row>
    <row r="24" spans="1:107" ht="10.5" hidden="1" customHeight="1" outlineLevel="2">
      <c r="A24" s="699" t="s">
        <v>97</v>
      </c>
      <c r="B24" s="699"/>
      <c r="C24" s="715"/>
      <c r="D24" s="715"/>
      <c r="E24" s="715"/>
      <c r="F24" s="715">
        <v>4.0049999999999999</v>
      </c>
      <c r="G24" s="705">
        <f t="shared" si="18"/>
        <v>4.0049999999999999</v>
      </c>
      <c r="H24" s="715">
        <v>1.9139999999999999</v>
      </c>
      <c r="I24" s="715">
        <v>1.7350000000000001</v>
      </c>
      <c r="J24" s="715">
        <v>3.254</v>
      </c>
      <c r="K24" s="715">
        <v>7.1239999999999997</v>
      </c>
      <c r="L24" s="705">
        <f t="shared" si="19"/>
        <v>7.1239999999999997</v>
      </c>
      <c r="M24" s="715">
        <v>1.2989999999999999</v>
      </c>
      <c r="N24" s="715">
        <v>10.836</v>
      </c>
      <c r="O24" s="715">
        <v>10.423999999999999</v>
      </c>
      <c r="P24" s="715">
        <v>14.414999999999999</v>
      </c>
      <c r="Q24" s="705">
        <f t="shared" si="20"/>
        <v>14.414999999999999</v>
      </c>
      <c r="R24" s="715">
        <v>-2.274</v>
      </c>
      <c r="S24" s="715">
        <v>-0.82</v>
      </c>
      <c r="T24" s="715">
        <v>1.548</v>
      </c>
      <c r="U24" s="715">
        <v>13.941000000000001</v>
      </c>
      <c r="V24" s="705">
        <f t="shared" si="27"/>
        <v>13.941000000000001</v>
      </c>
      <c r="W24" s="715">
        <v>-2.4540000000000002</v>
      </c>
      <c r="X24" s="715">
        <v>1.492</v>
      </c>
      <c r="Y24" s="715">
        <v>0.46899999999999997</v>
      </c>
      <c r="Z24" s="715">
        <v>8.0289999999999999</v>
      </c>
      <c r="AA24" s="705">
        <f t="shared" si="1"/>
        <v>8.0289999999999999</v>
      </c>
      <c r="AB24" s="715">
        <v>12.263</v>
      </c>
      <c r="AC24" s="687">
        <f>6.093+AB24</f>
        <v>18.356000000000002</v>
      </c>
      <c r="AD24" s="687">
        <v>41.527000000000001</v>
      </c>
      <c r="AE24" s="687">
        <f>38.163+AD24</f>
        <v>79.69</v>
      </c>
      <c r="AF24" s="768">
        <f t="shared" si="2"/>
        <v>79.69</v>
      </c>
      <c r="AG24" s="687">
        <v>7.585</v>
      </c>
      <c r="AH24" s="687">
        <v>42.805</v>
      </c>
      <c r="AI24" s="687">
        <v>25.971</v>
      </c>
      <c r="AJ24" s="687">
        <f>AI24+BS!AJ28-BS!AI28</f>
        <v>44.847000000000008</v>
      </c>
      <c r="AK24" s="705">
        <f t="shared" si="3"/>
        <v>44.847000000000008</v>
      </c>
      <c r="AL24" s="687">
        <v>5.35</v>
      </c>
      <c r="AM24" s="687">
        <v>7.1449999999999996</v>
      </c>
      <c r="AN24" s="710">
        <v>23.163</v>
      </c>
      <c r="AO24" s="710">
        <v>65.879000000000005</v>
      </c>
      <c r="AP24" s="768">
        <f t="shared" si="4"/>
        <v>65.879000000000005</v>
      </c>
      <c r="AQ24" s="710">
        <v>-50.033999999999999</v>
      </c>
      <c r="AR24" s="710">
        <v>-62.005000000000003</v>
      </c>
      <c r="AS24" s="710">
        <v>-57.125999999999998</v>
      </c>
      <c r="AT24" s="687">
        <f>AS24+BS!AT28-BS!AS28</f>
        <v>36.122000000000014</v>
      </c>
      <c r="AU24" s="705">
        <f t="shared" si="6"/>
        <v>36.122000000000014</v>
      </c>
      <c r="AV24" s="687">
        <v>42.585999999999999</v>
      </c>
      <c r="AW24" s="687">
        <v>87.186000000000007</v>
      </c>
      <c r="AX24" s="687">
        <f>AW24+(16.572-AX27)</f>
        <v>100.54700000000001</v>
      </c>
      <c r="AY24" s="687">
        <f>AX24+(5.59-(AY27-AX27))</f>
        <v>102.19600000000001</v>
      </c>
      <c r="AZ24" s="705">
        <f t="shared" si="7"/>
        <v>102.19600000000001</v>
      </c>
      <c r="BA24" s="687">
        <f>13.721-BA27</f>
        <v>11.672000000000001</v>
      </c>
      <c r="BB24" s="687">
        <f>52.35-BB27</f>
        <v>50.178000000000004</v>
      </c>
      <c r="BC24" s="687">
        <f>53.71-BC27</f>
        <v>51.118000000000002</v>
      </c>
      <c r="BD24" s="687">
        <f>101.109-BD27</f>
        <v>87.582999999999998</v>
      </c>
      <c r="BE24" s="705">
        <f t="shared" si="8"/>
        <v>87.582999999999998</v>
      </c>
      <c r="BF24" s="687">
        <f>16.739-BF27</f>
        <v>2.0970000000000049</v>
      </c>
      <c r="BG24" s="687">
        <f>60.553-BG27</f>
        <v>44.667000000000002</v>
      </c>
      <c r="BH24" s="687">
        <f>28.108-BH27</f>
        <v>15.198000000000004</v>
      </c>
      <c r="BI24" s="687">
        <f>87.34-BI27</f>
        <v>71.015000000000001</v>
      </c>
      <c r="BJ24" s="705">
        <f t="shared" si="9"/>
        <v>71.015000000000001</v>
      </c>
      <c r="BK24" s="687">
        <f>79.514-BK27</f>
        <v>67.093999999999994</v>
      </c>
      <c r="BL24" s="687">
        <f>70.744-BL27</f>
        <v>60.144999999999996</v>
      </c>
      <c r="BM24" s="687">
        <f>106.629-BM27</f>
        <v>97.47399999999999</v>
      </c>
      <c r="BN24" s="687">
        <f>201.366-BN27</f>
        <v>189.875</v>
      </c>
      <c r="BO24" s="705">
        <f t="shared" si="10"/>
        <v>189.875</v>
      </c>
      <c r="BP24" s="687">
        <f>52.275-BP27</f>
        <v>44.041999999999994</v>
      </c>
      <c r="BQ24" s="687">
        <f>99.792-BQ27</f>
        <v>92.073999999999998</v>
      </c>
      <c r="BR24" s="687">
        <f>167.726-BR27</f>
        <v>160.52799999999999</v>
      </c>
      <c r="BS24" s="687">
        <f>326.438-BS27</f>
        <v>310.81399999999996</v>
      </c>
      <c r="BT24" s="705">
        <f t="shared" si="11"/>
        <v>310.81399999999996</v>
      </c>
      <c r="BU24" s="687">
        <v>19.044</v>
      </c>
      <c r="BV24" s="687">
        <v>63.816000000000003</v>
      </c>
      <c r="BW24" s="687">
        <v>141.536</v>
      </c>
      <c r="BX24" s="687">
        <v>320.80099999999999</v>
      </c>
      <c r="BY24" s="705">
        <f t="shared" si="12"/>
        <v>320.80099999999999</v>
      </c>
      <c r="BZ24" s="710">
        <v>123.366</v>
      </c>
      <c r="CA24" s="1106">
        <v>191.72200000000001</v>
      </c>
      <c r="CB24" s="1106">
        <v>308.07499999999999</v>
      </c>
      <c r="CC24" s="1106">
        <v>524.84</v>
      </c>
      <c r="CD24" s="1613">
        <f t="shared" si="13"/>
        <v>524.84</v>
      </c>
      <c r="CE24" s="1106">
        <v>40.832000000000001</v>
      </c>
      <c r="CF24" s="1106">
        <v>55.578000000000003</v>
      </c>
      <c r="CG24" s="1106">
        <v>185.45</v>
      </c>
      <c r="CH24" s="1106">
        <v>475.40199999999999</v>
      </c>
      <c r="CI24" s="1613">
        <f t="shared" si="14"/>
        <v>475.40199999999999</v>
      </c>
      <c r="CJ24" s="1569">
        <f>BS!CJ28-BS!CI28</f>
        <v>77.794000000000324</v>
      </c>
      <c r="CK24" s="1569">
        <f>CJ24+BS!CK28-BS!CJ28</f>
        <v>58.123110963946601</v>
      </c>
      <c r="CL24" s="1569">
        <f>CK24+BS!CL28-BS!CK28</f>
        <v>221.0054703006449</v>
      </c>
      <c r="CM24" s="1569">
        <f>CL24+BS!CM28-BS!CL28</f>
        <v>449.86589121168981</v>
      </c>
      <c r="CN24" s="1599">
        <f t="shared" si="15"/>
        <v>449.86589121168981</v>
      </c>
      <c r="CO24" s="1569">
        <f>BS!CO28-BS!CN28</f>
        <v>93.275978135935475</v>
      </c>
      <c r="CP24" s="1569">
        <f>CO24+BS!CP28-BS!CO28</f>
        <v>56.838386254855322</v>
      </c>
      <c r="CQ24" s="1569">
        <f>CP24+BS!CQ28-BS!CP28</f>
        <v>255.1316261987472</v>
      </c>
      <c r="CR24" s="1569">
        <f>CQ24+BS!CR28-BS!CQ28</f>
        <v>524.28600848895485</v>
      </c>
      <c r="CS24" s="1599">
        <f t="shared" si="28"/>
        <v>524.28600848895485</v>
      </c>
      <c r="CT24" s="1569">
        <f>BS!CT28-BS!CS28</f>
        <v>89.888028091102115</v>
      </c>
      <c r="CU24" s="1569">
        <f>CT24+BS!CU28-BS!CT28</f>
        <v>23.031149353956152</v>
      </c>
      <c r="CV24" s="1569">
        <f>CU24+BS!CV28-BS!CU28</f>
        <v>226.7811859342969</v>
      </c>
      <c r="CW24" s="1569">
        <f>CV24+BS!CW28-BS!CV28</f>
        <v>509.98118088511092</v>
      </c>
      <c r="CX24" s="1599">
        <f t="shared" si="17"/>
        <v>509.98118088511092</v>
      </c>
      <c r="CZ24" s="697"/>
      <c r="DA24" s="769"/>
      <c r="DB24" s="697"/>
      <c r="DC24" s="686"/>
    </row>
    <row r="25" spans="1:107" ht="10.5" hidden="1" customHeight="1" outlineLevel="2">
      <c r="A25" s="699" t="s">
        <v>405</v>
      </c>
      <c r="B25" s="699"/>
      <c r="C25" s="715"/>
      <c r="D25" s="715"/>
      <c r="E25" s="715"/>
      <c r="F25" s="715">
        <v>9.5730000000000004</v>
      </c>
      <c r="G25" s="705">
        <f>F25</f>
        <v>9.5730000000000004</v>
      </c>
      <c r="H25" s="715">
        <v>-7.9</v>
      </c>
      <c r="I25" s="715"/>
      <c r="J25" s="715">
        <v>-17.077000000000002</v>
      </c>
      <c r="K25" s="715">
        <v>-15.435</v>
      </c>
      <c r="L25" s="705">
        <f>K25</f>
        <v>-15.435</v>
      </c>
      <c r="M25" s="715">
        <v>-4.742</v>
      </c>
      <c r="N25" s="715">
        <v>-7.4690000000000003</v>
      </c>
      <c r="O25" s="715">
        <v>-8.4260000000000002</v>
      </c>
      <c r="P25" s="715">
        <v>-9.3000000000000007</v>
      </c>
      <c r="Q25" s="705">
        <f>P25</f>
        <v>-9.3000000000000007</v>
      </c>
      <c r="R25" s="715">
        <v>-0.58699999999999997</v>
      </c>
      <c r="S25" s="715">
        <v>-0.71699999999999997</v>
      </c>
      <c r="T25" s="715">
        <v>-0.77700000000000002</v>
      </c>
      <c r="U25" s="715">
        <v>-0.871</v>
      </c>
      <c r="V25" s="705">
        <f>U25</f>
        <v>-0.871</v>
      </c>
      <c r="W25" s="715">
        <v>46.045999999999999</v>
      </c>
      <c r="X25" s="715">
        <v>56.506</v>
      </c>
      <c r="Y25" s="715">
        <v>28.379000000000001</v>
      </c>
      <c r="Z25" s="715">
        <v>8.6159999999999997</v>
      </c>
      <c r="AA25" s="705">
        <f t="shared" si="1"/>
        <v>8.6159999999999997</v>
      </c>
      <c r="AB25" s="715">
        <v>-35.904000000000003</v>
      </c>
      <c r="AC25" s="687">
        <f>-11.19+AB25</f>
        <v>-47.094000000000001</v>
      </c>
      <c r="AD25" s="687">
        <v>-36.180999999999997</v>
      </c>
      <c r="AE25" s="687">
        <f>-4.805+AD25</f>
        <v>-40.985999999999997</v>
      </c>
      <c r="AF25" s="768">
        <f>AE25</f>
        <v>-40.985999999999997</v>
      </c>
      <c r="AG25" s="687">
        <f>-5.097</f>
        <v>-5.0970000000000004</v>
      </c>
      <c r="AH25" s="687">
        <v>-8.7040000000000006</v>
      </c>
      <c r="AI25" s="687">
        <v>-10.547000000000001</v>
      </c>
      <c r="AJ25" s="687">
        <f>AI25+BS!AJ30-BS!AI30</f>
        <v>-21.423000000000002</v>
      </c>
      <c r="AK25" s="705">
        <f>AJ25</f>
        <v>-21.423000000000002</v>
      </c>
      <c r="AL25" s="687">
        <v>-1.157</v>
      </c>
      <c r="AM25" s="687">
        <v>-3.4790000000000001</v>
      </c>
      <c r="AN25" s="710">
        <v>-5.4180000000000001</v>
      </c>
      <c r="AO25" s="710">
        <v>24.33</v>
      </c>
      <c r="AP25" s="768">
        <f>AO25</f>
        <v>24.33</v>
      </c>
      <c r="AQ25" s="710">
        <v>4.4649999999999999</v>
      </c>
      <c r="AR25" s="710">
        <v>-24.138999999999999</v>
      </c>
      <c r="AS25" s="710">
        <f>-27.527</f>
        <v>-27.527000000000001</v>
      </c>
      <c r="AT25" s="687">
        <f>AS25+BS!AT30-BS!AS30</f>
        <v>28.33799999999999</v>
      </c>
      <c r="AU25" s="705">
        <f>AT25</f>
        <v>28.33799999999999</v>
      </c>
      <c r="AV25" s="687">
        <f>-18.716</f>
        <v>-18.716000000000001</v>
      </c>
      <c r="AW25" s="687">
        <v>-18.962</v>
      </c>
      <c r="AX25" s="687">
        <f>AW25+BS!AW30-BS!AV30</f>
        <v>-102.09400000000001</v>
      </c>
      <c r="AY25" s="687">
        <f>AX25+BS!AY30-BS!AX30</f>
        <v>-97.89500000000001</v>
      </c>
      <c r="AZ25" s="705">
        <f>AY25</f>
        <v>-97.89500000000001</v>
      </c>
      <c r="BA25" s="687">
        <v>-2.5259999999999998</v>
      </c>
      <c r="BB25" s="687">
        <v>-4.2060000000000004</v>
      </c>
      <c r="BC25" s="687">
        <v>-1.859</v>
      </c>
      <c r="BD25" s="687">
        <v>71.932000000000002</v>
      </c>
      <c r="BE25" s="705">
        <f>BD25</f>
        <v>71.932000000000002</v>
      </c>
      <c r="BF25" s="687">
        <v>-39.057000000000002</v>
      </c>
      <c r="BG25" s="687">
        <v>-56.155999999999999</v>
      </c>
      <c r="BH25" s="687">
        <v>-60</v>
      </c>
      <c r="BI25" s="687">
        <v>-66.046999999999997</v>
      </c>
      <c r="BJ25" s="705">
        <f>BI25</f>
        <v>-66.046999999999997</v>
      </c>
      <c r="BK25" s="687">
        <v>-4.0469999999999997</v>
      </c>
      <c r="BL25" s="687">
        <v>-5.2089999999999996</v>
      </c>
      <c r="BM25" s="687">
        <v>-8.4540000000000006</v>
      </c>
      <c r="BN25" s="687">
        <v>-6.9489999999999998</v>
      </c>
      <c r="BO25" s="705">
        <f>BN25</f>
        <v>-6.9489999999999998</v>
      </c>
      <c r="BP25" s="687">
        <v>-0.52800000000000002</v>
      </c>
      <c r="BQ25" s="687">
        <v>-4.0819999999999999</v>
      </c>
      <c r="BR25" s="687">
        <v>-5.6269999999999998</v>
      </c>
      <c r="BS25" s="687">
        <v>8.8710000000000004</v>
      </c>
      <c r="BT25" s="705">
        <f>BS25</f>
        <v>8.8710000000000004</v>
      </c>
      <c r="BU25" s="687">
        <v>-14.539</v>
      </c>
      <c r="BV25" s="687">
        <v>-15.601000000000001</v>
      </c>
      <c r="BW25" s="687">
        <v>-16.824000000000002</v>
      </c>
      <c r="BX25" s="687">
        <v>-16.62</v>
      </c>
      <c r="BY25" s="705">
        <f>BX25</f>
        <v>-16.62</v>
      </c>
      <c r="BZ25" s="710">
        <v>0</v>
      </c>
      <c r="CA25" s="1106">
        <v>0</v>
      </c>
      <c r="CB25" s="1106">
        <v>0</v>
      </c>
      <c r="CC25" s="1106">
        <f>CB25</f>
        <v>0</v>
      </c>
      <c r="CD25" s="1613">
        <f>CC25</f>
        <v>0</v>
      </c>
      <c r="CE25" s="1106">
        <v>0</v>
      </c>
      <c r="CF25" s="1106">
        <v>0</v>
      </c>
      <c r="CG25" s="1106">
        <v>0</v>
      </c>
      <c r="CH25" s="1106">
        <v>0</v>
      </c>
      <c r="CI25" s="1613">
        <f>CH25</f>
        <v>0</v>
      </c>
      <c r="CJ25" s="1569">
        <f>BS!CJ30-BS!CI30</f>
        <v>-3.6050000000000004</v>
      </c>
      <c r="CK25" s="1569">
        <f>CJ25+BS!CK30-BS!CJ30</f>
        <v>-3.6050000000000004</v>
      </c>
      <c r="CL25" s="1569">
        <f>CK25+BS!CL30-BS!CK30</f>
        <v>-3.6050000000000004</v>
      </c>
      <c r="CM25" s="1569">
        <f>CL25+BS!CM30-BS!CL30</f>
        <v>-3.6050000000000004</v>
      </c>
      <c r="CN25" s="1599">
        <f>CM25</f>
        <v>-3.6050000000000004</v>
      </c>
      <c r="CO25" s="1569">
        <f>BS!CO30-BS!CN30</f>
        <v>0</v>
      </c>
      <c r="CP25" s="1569">
        <f>CO25+BS!CP30-BS!CO30</f>
        <v>0</v>
      </c>
      <c r="CQ25" s="1569">
        <f>CP25+BS!CQ30-BS!CP30</f>
        <v>0</v>
      </c>
      <c r="CR25" s="1569">
        <f>CQ25+BS!CR30-BS!CQ30</f>
        <v>0</v>
      </c>
      <c r="CS25" s="1599">
        <f t="shared" si="28"/>
        <v>0</v>
      </c>
      <c r="CT25" s="1569">
        <f>BS!CT30-BS!CS30</f>
        <v>0</v>
      </c>
      <c r="CU25" s="1569">
        <f>CT25+BS!CU30-BS!CT30</f>
        <v>0</v>
      </c>
      <c r="CV25" s="1569">
        <f>CU25+BS!CV30-BS!CU30</f>
        <v>0</v>
      </c>
      <c r="CW25" s="1569">
        <f>CV25+BS!CW30-BS!CV30</f>
        <v>0</v>
      </c>
      <c r="CX25" s="1599">
        <f t="shared" si="17"/>
        <v>0</v>
      </c>
      <c r="CZ25" s="697"/>
      <c r="DA25" s="769"/>
      <c r="DB25" s="697"/>
      <c r="DC25" s="686"/>
    </row>
    <row r="26" spans="1:107" ht="10.5" hidden="1" customHeight="1" outlineLevel="2">
      <c r="A26" s="699" t="s">
        <v>408</v>
      </c>
      <c r="B26" s="699"/>
      <c r="C26" s="715"/>
      <c r="D26" s="715"/>
      <c r="E26" s="715"/>
      <c r="F26" s="715">
        <v>60.174999999999997</v>
      </c>
      <c r="G26" s="705">
        <f>F26</f>
        <v>60.174999999999997</v>
      </c>
      <c r="H26" s="715">
        <v>-10.048</v>
      </c>
      <c r="I26" s="715">
        <v>2.9209999999999998</v>
      </c>
      <c r="J26" s="715">
        <v>26.042000000000002</v>
      </c>
      <c r="K26" s="715">
        <v>30.157</v>
      </c>
      <c r="L26" s="705">
        <f>K26</f>
        <v>30.157</v>
      </c>
      <c r="M26" s="715">
        <v>4.891</v>
      </c>
      <c r="N26" s="715">
        <v>18.219000000000001</v>
      </c>
      <c r="O26" s="715">
        <v>27.713999999999999</v>
      </c>
      <c r="P26" s="715">
        <v>20.172999999999998</v>
      </c>
      <c r="Q26" s="705">
        <f>P26</f>
        <v>20.172999999999998</v>
      </c>
      <c r="R26" s="715">
        <v>-8.1210000000000004</v>
      </c>
      <c r="S26" s="715">
        <v>-39.235999999999997</v>
      </c>
      <c r="T26" s="715">
        <v>-16.792999999999999</v>
      </c>
      <c r="U26" s="715">
        <v>-47.570999999999998</v>
      </c>
      <c r="V26" s="705">
        <f>U26</f>
        <v>-47.570999999999998</v>
      </c>
      <c r="W26" s="715"/>
      <c r="X26" s="715"/>
      <c r="Y26" s="715"/>
      <c r="Z26" s="715"/>
      <c r="AA26" s="705">
        <f t="shared" si="1"/>
        <v>0</v>
      </c>
      <c r="AB26" s="715"/>
      <c r="AC26" s="687"/>
      <c r="AD26" s="687"/>
      <c r="AE26" s="687"/>
      <c r="AF26" s="768">
        <f>AE26</f>
        <v>0</v>
      </c>
      <c r="AG26" s="687"/>
      <c r="AH26" s="687"/>
      <c r="AI26" s="687"/>
      <c r="AJ26" s="687">
        <f>AI26+BS!AI21+BS!AI22-BS!AJ21-BS!AJ22</f>
        <v>-9.0669999999999931</v>
      </c>
      <c r="AK26" s="705">
        <f>AJ26</f>
        <v>-9.0669999999999931</v>
      </c>
      <c r="AL26" s="687"/>
      <c r="AM26" s="687"/>
      <c r="AN26" s="710"/>
      <c r="AO26" s="710"/>
      <c r="AP26" s="768">
        <f>AO26</f>
        <v>0</v>
      </c>
      <c r="AQ26" s="710"/>
      <c r="AR26" s="710"/>
      <c r="AS26" s="710"/>
      <c r="AT26" s="687">
        <f>AS26+BS!AS21+BS!AS22-BS!AT21-BS!AT22</f>
        <v>-6.5609999999999786</v>
      </c>
      <c r="AU26" s="705">
        <f>AT26</f>
        <v>-6.5609999999999786</v>
      </c>
      <c r="AV26" s="687">
        <v>0</v>
      </c>
      <c r="AW26" s="687">
        <v>0</v>
      </c>
      <c r="AX26" s="687">
        <f>AW26+BS!AV21+BS!AV22-BS!AW21-BS!AW22</f>
        <v>12.352000000000004</v>
      </c>
      <c r="AY26" s="687">
        <f>AX26+BS!AX21+BS!AX22-BS!AY21-BS!AY22</f>
        <v>19.906999999999982</v>
      </c>
      <c r="AZ26" s="705">
        <f>AY26</f>
        <v>19.906999999999982</v>
      </c>
      <c r="BA26" s="687">
        <v>8.9049999999999994</v>
      </c>
      <c r="BB26" s="687">
        <v>-4.0039999999999996</v>
      </c>
      <c r="BC26" s="687">
        <v>-13.233000000000001</v>
      </c>
      <c r="BD26" s="687">
        <v>-16.661000000000001</v>
      </c>
      <c r="BE26" s="705">
        <f>BD26</f>
        <v>-16.661000000000001</v>
      </c>
      <c r="BF26" s="687">
        <v>-19.050999999999998</v>
      </c>
      <c r="BG26" s="687">
        <v>12.593</v>
      </c>
      <c r="BH26" s="687">
        <v>-13.33</v>
      </c>
      <c r="BI26" s="687">
        <v>10.041</v>
      </c>
      <c r="BJ26" s="705">
        <f>BI26</f>
        <v>10.041</v>
      </c>
      <c r="BK26" s="687">
        <v>-29.187000000000001</v>
      </c>
      <c r="BL26" s="687">
        <v>-30.132000000000001</v>
      </c>
      <c r="BM26" s="687">
        <v>-75.908000000000001</v>
      </c>
      <c r="BN26" s="687">
        <v>-58.875</v>
      </c>
      <c r="BO26" s="705">
        <f>BN26</f>
        <v>-58.875</v>
      </c>
      <c r="BP26" s="687">
        <v>6.3360000000000003</v>
      </c>
      <c r="BQ26" s="687">
        <v>11.891</v>
      </c>
      <c r="BR26" s="687">
        <v>4.952</v>
      </c>
      <c r="BS26" s="687">
        <v>11.006</v>
      </c>
      <c r="BT26" s="705">
        <f>BS26</f>
        <v>11.006</v>
      </c>
      <c r="BU26" s="687">
        <v>21.61</v>
      </c>
      <c r="BV26" s="687">
        <v>60.994</v>
      </c>
      <c r="BW26" s="687">
        <v>83.307000000000002</v>
      </c>
      <c r="BX26" s="687">
        <v>29.800999999999998</v>
      </c>
      <c r="BY26" s="705">
        <f>BX26</f>
        <v>29.800999999999998</v>
      </c>
      <c r="BZ26" s="1106">
        <v>2.085</v>
      </c>
      <c r="CA26" s="1106">
        <v>24.872</v>
      </c>
      <c r="CB26" s="1106">
        <v>26.657</v>
      </c>
      <c r="CC26" s="1106">
        <f>+-31.987</f>
        <v>-31.986999999999998</v>
      </c>
      <c r="CD26" s="1613">
        <f>CC26</f>
        <v>-31.986999999999998</v>
      </c>
      <c r="CE26" s="1106">
        <v>-61.639000000000003</v>
      </c>
      <c r="CF26" s="1106">
        <v>39.875</v>
      </c>
      <c r="CG26" s="1106">
        <v>6.88</v>
      </c>
      <c r="CH26" s="1106">
        <f>+-34.493</f>
        <v>-34.493000000000002</v>
      </c>
      <c r="CI26" s="1613">
        <f>CH26</f>
        <v>-34.493000000000002</v>
      </c>
      <c r="CJ26" s="1569">
        <f>BS!CI20+BS!CI22-BS!CJ20-BS!CJ22</f>
        <v>-10.099999999999994</v>
      </c>
      <c r="CK26" s="1569">
        <f>CJ26+BS!CJ21+BS!CJ22-BS!CK21-BS!CK22</f>
        <v>-35.708400344895836</v>
      </c>
      <c r="CL26" s="1569">
        <f>CK26+BS!CK20+BS!CK22-BS!CL20-BS!CL22</f>
        <v>-34.102760727773301</v>
      </c>
      <c r="CM26" s="1569">
        <f>CL26+BS!CL20+BS!CL22-BS!CM20-BS!CM22</f>
        <v>-26.698698135211032</v>
      </c>
      <c r="CN26" s="1599">
        <f>CM26</f>
        <v>-26.698698135211032</v>
      </c>
      <c r="CO26" s="1569">
        <f>BS!CN20+BS!CN22-BS!CO20-BS!CO22</f>
        <v>-49.215192043121874</v>
      </c>
      <c r="CP26" s="1569">
        <f>CO26+BS!CO21+BS!CO22-BS!CP21-BS!CP22</f>
        <v>-80.207454017933088</v>
      </c>
      <c r="CQ26" s="1569">
        <f>CP26+BS!CP20+BS!CP22-BS!CQ20-BS!CQ22</f>
        <v>-80.306532631798717</v>
      </c>
      <c r="CR26" s="1569">
        <f>CQ26+BS!CQ20+BS!CQ22-BS!CR20-BS!CR22</f>
        <v>-73.505328910639975</v>
      </c>
      <c r="CS26" s="1599">
        <f t="shared" si="28"/>
        <v>-73.505328910639975</v>
      </c>
      <c r="CT26" s="1569">
        <f>BS!CS20+BS!CS22-BS!CT20-BS!CT22</f>
        <v>-14.473413934193275</v>
      </c>
      <c r="CU26" s="1569">
        <f>CT26+BS!CT21+BS!CT22-BS!CU21-BS!CU22</f>
        <v>-48.877554521473911</v>
      </c>
      <c r="CV26" s="1569">
        <f>CU26+BS!CU20+BS!CU22-BS!CV20-BS!CV22</f>
        <v>-46.743458669373155</v>
      </c>
      <c r="CW26" s="1569">
        <f>CV26+BS!CV20+BS!CV22-BS!CW20-BS!CW22</f>
        <v>-36.776686113218062</v>
      </c>
      <c r="CX26" s="1599">
        <f t="shared" si="17"/>
        <v>-36.776686113218062</v>
      </c>
      <c r="CZ26" s="697"/>
      <c r="DA26" s="769"/>
      <c r="DB26" s="697"/>
      <c r="DC26" s="686"/>
    </row>
    <row r="27" spans="1:107" ht="10.5" hidden="1" customHeight="1" outlineLevel="2">
      <c r="A27" s="699" t="s">
        <v>406</v>
      </c>
      <c r="B27" s="699"/>
      <c r="C27" s="715"/>
      <c r="D27" s="715"/>
      <c r="E27" s="715"/>
      <c r="F27" s="715"/>
      <c r="G27" s="705">
        <f t="shared" si="18"/>
        <v>0</v>
      </c>
      <c r="H27" s="715"/>
      <c r="I27" s="715"/>
      <c r="J27" s="715"/>
      <c r="K27" s="715"/>
      <c r="L27" s="705">
        <f t="shared" si="19"/>
        <v>0</v>
      </c>
      <c r="M27" s="715"/>
      <c r="N27" s="715"/>
      <c r="O27" s="715"/>
      <c r="P27" s="715"/>
      <c r="Q27" s="705">
        <f t="shared" si="20"/>
        <v>0</v>
      </c>
      <c r="R27" s="715"/>
      <c r="S27" s="715"/>
      <c r="T27" s="715"/>
      <c r="U27" s="715"/>
      <c r="V27" s="705">
        <f t="shared" si="27"/>
        <v>0</v>
      </c>
      <c r="W27" s="715"/>
      <c r="X27" s="715"/>
      <c r="Y27" s="715"/>
      <c r="Z27" s="715"/>
      <c r="AA27" s="705">
        <f t="shared" si="1"/>
        <v>0</v>
      </c>
      <c r="AB27" s="715"/>
      <c r="AC27" s="687"/>
      <c r="AD27" s="687"/>
      <c r="AE27" s="687"/>
      <c r="AF27" s="768">
        <f t="shared" si="2"/>
        <v>0</v>
      </c>
      <c r="AG27" s="687"/>
      <c r="AH27" s="687"/>
      <c r="AI27" s="687"/>
      <c r="AJ27" s="687">
        <f>AI27+BS!AJ39-BS!AI39</f>
        <v>-1.7100000000000009</v>
      </c>
      <c r="AK27" s="705">
        <f t="shared" si="3"/>
        <v>-1.7100000000000009</v>
      </c>
      <c r="AL27" s="687"/>
      <c r="AM27" s="687"/>
      <c r="AN27" s="710"/>
      <c r="AO27" s="710"/>
      <c r="AP27" s="768">
        <f t="shared" si="4"/>
        <v>0</v>
      </c>
      <c r="AQ27" s="710"/>
      <c r="AR27" s="710"/>
      <c r="AS27" s="710"/>
      <c r="AT27" s="687">
        <f>AS27+BS!AT39-BS!AS39</f>
        <v>6.8509999999999991</v>
      </c>
      <c r="AU27" s="705">
        <f t="shared" si="6"/>
        <v>6.8509999999999991</v>
      </c>
      <c r="AV27" s="687">
        <v>0</v>
      </c>
      <c r="AW27" s="687">
        <v>0</v>
      </c>
      <c r="AX27" s="687">
        <f>AW27+BS!AX39-BS!AW39</f>
        <v>3.2109999999999985</v>
      </c>
      <c r="AY27" s="687">
        <f>AX27+BS!AY39-BS!AX39</f>
        <v>7.152000000000001</v>
      </c>
      <c r="AZ27" s="705">
        <f t="shared" si="7"/>
        <v>7.152000000000001</v>
      </c>
      <c r="BA27" s="687">
        <f>AY27+BS!BA39-BS!AY39</f>
        <v>2.0489999999999995</v>
      </c>
      <c r="BB27" s="687">
        <f>BA27+BS!BB39-BS!BA39</f>
        <v>2.171999999999997</v>
      </c>
      <c r="BC27" s="687">
        <f>BB27+BS!BC39-BS!BB39</f>
        <v>2.5919999999999987</v>
      </c>
      <c r="BD27" s="687">
        <f>BC27+BS!BD39-BS!BC39</f>
        <v>13.525999999999996</v>
      </c>
      <c r="BE27" s="705">
        <f t="shared" si="8"/>
        <v>13.525999999999996</v>
      </c>
      <c r="BF27" s="687">
        <f>BD27+BS!BF39-BS!BD39</f>
        <v>14.641999999999996</v>
      </c>
      <c r="BG27" s="687">
        <f>BF27+BS!BG39-BS!BF39</f>
        <v>15.885999999999996</v>
      </c>
      <c r="BH27" s="687">
        <f>BG27+BS!BH39-BS!BG39</f>
        <v>12.909999999999997</v>
      </c>
      <c r="BI27" s="687">
        <f>BH27+BS!BI39-BS!BH39</f>
        <v>16.325000000000003</v>
      </c>
      <c r="BJ27" s="705">
        <f t="shared" si="9"/>
        <v>16.325000000000003</v>
      </c>
      <c r="BK27" s="687">
        <f>BI27+BS!BK39-BS!BI39</f>
        <v>12.420000000000009</v>
      </c>
      <c r="BL27" s="687">
        <f>BK27+BS!BL39-BS!BK39</f>
        <v>10.599000000000004</v>
      </c>
      <c r="BM27" s="687">
        <f>BL27+BS!BM39-BS!BL39</f>
        <v>9.1550000000000082</v>
      </c>
      <c r="BN27" s="687">
        <f>BM27+BS!BN39-BS!BM39</f>
        <v>11.491000000000007</v>
      </c>
      <c r="BO27" s="705">
        <f t="shared" si="10"/>
        <v>11.491000000000007</v>
      </c>
      <c r="BP27" s="687">
        <f>BN27+BS!BP39-BS!BN39</f>
        <v>8.2330000000000041</v>
      </c>
      <c r="BQ27" s="687">
        <f>BP27+BS!BQ39-BS!BP39</f>
        <v>7.7180000000000035</v>
      </c>
      <c r="BR27" s="687">
        <f>BQ27+BS!BR39-BS!BQ39</f>
        <v>7.1980000000000075</v>
      </c>
      <c r="BS27" s="687">
        <f>BR27+BS!BS39-BS!BR39</f>
        <v>15.624000000000017</v>
      </c>
      <c r="BT27" s="705">
        <f t="shared" si="11"/>
        <v>15.624000000000017</v>
      </c>
      <c r="BU27" s="687">
        <v>0</v>
      </c>
      <c r="BV27" s="687">
        <v>0</v>
      </c>
      <c r="BW27" s="687">
        <v>0</v>
      </c>
      <c r="BX27" s="687">
        <v>0</v>
      </c>
      <c r="BY27" s="705">
        <f t="shared" si="12"/>
        <v>0</v>
      </c>
      <c r="BZ27" s="1106">
        <v>0</v>
      </c>
      <c r="CA27" s="1106">
        <v>0</v>
      </c>
      <c r="CB27" s="1106">
        <v>0</v>
      </c>
      <c r="CC27" s="1106">
        <v>0</v>
      </c>
      <c r="CD27" s="1613">
        <f t="shared" si="13"/>
        <v>0</v>
      </c>
      <c r="CE27" s="1106">
        <v>0</v>
      </c>
      <c r="CF27" s="1106">
        <v>0</v>
      </c>
      <c r="CG27" s="1106">
        <v>0</v>
      </c>
      <c r="CH27" s="1106">
        <f t="shared" ref="CH27:CH30" si="29">CG27</f>
        <v>0</v>
      </c>
      <c r="CI27" s="1613">
        <f t="shared" si="14"/>
        <v>0</v>
      </c>
      <c r="CJ27" s="1569">
        <v>0</v>
      </c>
      <c r="CK27" s="1569">
        <f>CJ27+BS!CK39-BS!CJ39</f>
        <v>-1.5537091871825766</v>
      </c>
      <c r="CL27" s="1569">
        <f>CK27+BS!CL39-BS!CK39</f>
        <v>-2.5567637430863357</v>
      </c>
      <c r="CM27" s="1569">
        <f>CL27+BS!CM39-BS!CL39</f>
        <v>18.989157455619306</v>
      </c>
      <c r="CN27" s="1599">
        <f t="shared" si="15"/>
        <v>18.989157455619306</v>
      </c>
      <c r="CO27" s="1569">
        <f>BS!CO39-BS!CN39</f>
        <v>5.2933120943947642E-2</v>
      </c>
      <c r="CP27" s="1569">
        <f>CO27+BS!CP39-BS!CO39</f>
        <v>-2.1507364949400625</v>
      </c>
      <c r="CQ27" s="1569">
        <f>CP27+BS!CQ39-BS!CP39</f>
        <v>-3.0409194226534879</v>
      </c>
      <c r="CR27" s="1569">
        <f>CQ27+BS!CR39-BS!CQ39</f>
        <v>22.542794762746624</v>
      </c>
      <c r="CS27" s="1599">
        <f t="shared" si="28"/>
        <v>22.542794762746624</v>
      </c>
      <c r="CT27" s="1569">
        <f>BS!CT39-BS!CS39</f>
        <v>-0.5973127896310757</v>
      </c>
      <c r="CU27" s="1569">
        <f>CT27+BS!CU39-BS!CT39</f>
        <v>-3.9578221946783572</v>
      </c>
      <c r="CV27" s="1569">
        <f>CU27+BS!CV39-BS!CU39</f>
        <v>-5.8342757569606505</v>
      </c>
      <c r="CW27" s="1569">
        <f>CV27+BS!CW39-BS!CV39</f>
        <v>22.854533809143746</v>
      </c>
      <c r="CX27" s="1599">
        <f t="shared" si="17"/>
        <v>22.854533809143746</v>
      </c>
      <c r="CZ27" s="697"/>
      <c r="DA27" s="769"/>
      <c r="DB27" s="697"/>
      <c r="DC27" s="686"/>
    </row>
    <row r="28" spans="1:107" ht="10.5" hidden="1" customHeight="1" outlineLevel="2">
      <c r="A28" s="699" t="s">
        <v>683</v>
      </c>
      <c r="B28" s="699"/>
      <c r="C28" s="715"/>
      <c r="D28" s="715"/>
      <c r="E28" s="715"/>
      <c r="F28" s="715"/>
      <c r="G28" s="705">
        <f t="shared" si="18"/>
        <v>0</v>
      </c>
      <c r="H28" s="715"/>
      <c r="I28" s="715"/>
      <c r="J28" s="715"/>
      <c r="K28" s="715"/>
      <c r="L28" s="705">
        <f t="shared" si="19"/>
        <v>0</v>
      </c>
      <c r="M28" s="715"/>
      <c r="N28" s="715"/>
      <c r="O28" s="715"/>
      <c r="P28" s="715"/>
      <c r="Q28" s="705">
        <f t="shared" si="20"/>
        <v>0</v>
      </c>
      <c r="R28" s="715"/>
      <c r="S28" s="715"/>
      <c r="T28" s="715"/>
      <c r="U28" s="715"/>
      <c r="V28" s="705">
        <f t="shared" si="27"/>
        <v>0</v>
      </c>
      <c r="W28" s="715"/>
      <c r="X28" s="715"/>
      <c r="Y28" s="715"/>
      <c r="Z28" s="715"/>
      <c r="AA28" s="705">
        <f t="shared" si="1"/>
        <v>0</v>
      </c>
      <c r="AB28" s="715">
        <v>-7.8369999999999997</v>
      </c>
      <c r="AC28" s="687">
        <f>40.686+AB28</f>
        <v>32.849000000000004</v>
      </c>
      <c r="AD28" s="687">
        <v>79.974999999999994</v>
      </c>
      <c r="AE28" s="687">
        <f>104.006+AD28</f>
        <v>183.98099999999999</v>
      </c>
      <c r="AF28" s="768">
        <f t="shared" si="2"/>
        <v>183.98099999999999</v>
      </c>
      <c r="AG28" s="687">
        <v>1.07</v>
      </c>
      <c r="AH28" s="687">
        <v>-10.609</v>
      </c>
      <c r="AI28" s="687">
        <v>64.745999999999995</v>
      </c>
      <c r="AJ28" s="687">
        <f>AI28+17.166</f>
        <v>81.911999999999992</v>
      </c>
      <c r="AK28" s="705">
        <f t="shared" si="3"/>
        <v>81.911999999999992</v>
      </c>
      <c r="AL28" s="687">
        <v>24.09</v>
      </c>
      <c r="AM28" s="687">
        <v>23.951000000000001</v>
      </c>
      <c r="AN28" s="710">
        <v>-73.956999999999994</v>
      </c>
      <c r="AO28" s="710">
        <v>-57.655999999999999</v>
      </c>
      <c r="AP28" s="768">
        <f t="shared" si="4"/>
        <v>-57.655999999999999</v>
      </c>
      <c r="AQ28" s="710">
        <v>0</v>
      </c>
      <c r="AR28" s="710">
        <v>-4.3570000000000002</v>
      </c>
      <c r="AS28" s="710">
        <v>12.619</v>
      </c>
      <c r="AT28" s="687">
        <f>AS28+BS!AT40-BS!AS40</f>
        <v>159.50800000000004</v>
      </c>
      <c r="AU28" s="705">
        <f t="shared" si="6"/>
        <v>159.50800000000004</v>
      </c>
      <c r="AV28" s="687">
        <v>106.74</v>
      </c>
      <c r="AW28" s="687">
        <v>25.58</v>
      </c>
      <c r="AX28" s="687">
        <f>AW28+BS!AW40-BS!AV40</f>
        <v>12.051999999999992</v>
      </c>
      <c r="AY28" s="687">
        <f>AX28+BS!AY40-BS!AX40</f>
        <v>42.041999999999987</v>
      </c>
      <c r="AZ28" s="705">
        <f t="shared" si="7"/>
        <v>42.041999999999987</v>
      </c>
      <c r="BA28" s="687">
        <v>0</v>
      </c>
      <c r="BB28" s="687">
        <v>0</v>
      </c>
      <c r="BC28" s="687">
        <v>0</v>
      </c>
      <c r="BD28" s="687">
        <v>0</v>
      </c>
      <c r="BE28" s="705">
        <f t="shared" si="8"/>
        <v>0</v>
      </c>
      <c r="BF28" s="687">
        <v>0</v>
      </c>
      <c r="BG28" s="687">
        <v>0</v>
      </c>
      <c r="BH28" s="687">
        <v>0</v>
      </c>
      <c r="BI28" s="687">
        <v>0</v>
      </c>
      <c r="BJ28" s="705">
        <f t="shared" si="9"/>
        <v>0</v>
      </c>
      <c r="BK28" s="687">
        <v>0</v>
      </c>
      <c r="BL28" s="687">
        <v>0</v>
      </c>
      <c r="BM28" s="687">
        <v>0</v>
      </c>
      <c r="BN28" s="687">
        <v>0</v>
      </c>
      <c r="BO28" s="705">
        <f t="shared" si="10"/>
        <v>0</v>
      </c>
      <c r="BP28" s="687">
        <v>0</v>
      </c>
      <c r="BQ28" s="687">
        <v>0</v>
      </c>
      <c r="BR28" s="687">
        <v>0</v>
      </c>
      <c r="BS28" s="687">
        <v>0</v>
      </c>
      <c r="BT28" s="705">
        <f t="shared" si="11"/>
        <v>0</v>
      </c>
      <c r="BU28" s="687">
        <v>0</v>
      </c>
      <c r="BV28" s="687">
        <v>0</v>
      </c>
      <c r="BW28" s="687">
        <v>0</v>
      </c>
      <c r="BX28" s="687">
        <v>0</v>
      </c>
      <c r="BY28" s="705">
        <f t="shared" si="12"/>
        <v>0</v>
      </c>
      <c r="BZ28" s="1106">
        <v>0</v>
      </c>
      <c r="CA28" s="1106">
        <v>0</v>
      </c>
      <c r="CB28" s="1106">
        <v>0</v>
      </c>
      <c r="CC28" s="1106">
        <v>0</v>
      </c>
      <c r="CD28" s="1613">
        <f t="shared" si="13"/>
        <v>0</v>
      </c>
      <c r="CE28" s="1106">
        <v>0</v>
      </c>
      <c r="CF28" s="1106">
        <v>0</v>
      </c>
      <c r="CG28" s="1106">
        <v>0</v>
      </c>
      <c r="CH28" s="1106">
        <f t="shared" si="29"/>
        <v>0</v>
      </c>
      <c r="CI28" s="1613">
        <f t="shared" si="14"/>
        <v>0</v>
      </c>
      <c r="CJ28" s="1569">
        <v>0</v>
      </c>
      <c r="CK28" s="1569">
        <f>CJ28+BS!CK40-BS!CJ40</f>
        <v>0</v>
      </c>
      <c r="CL28" s="1569">
        <f>CK28+BS!CL40-BS!CK40</f>
        <v>0</v>
      </c>
      <c r="CM28" s="1569">
        <f>CL28+BS!CM40-BS!CL40</f>
        <v>0</v>
      </c>
      <c r="CN28" s="1599">
        <f t="shared" si="15"/>
        <v>0</v>
      </c>
      <c r="CO28" s="1569">
        <f>BS!CO40-BS!CN40</f>
        <v>0</v>
      </c>
      <c r="CP28" s="1569">
        <f>CO28+BS!CP40-BS!CO40</f>
        <v>0</v>
      </c>
      <c r="CQ28" s="1569">
        <f>CP28+BS!CQ40-BS!CP40</f>
        <v>0</v>
      </c>
      <c r="CR28" s="1569">
        <f>CQ28+BS!CR40-BS!CQ40</f>
        <v>0</v>
      </c>
      <c r="CS28" s="1599">
        <f t="shared" si="28"/>
        <v>0</v>
      </c>
      <c r="CT28" s="1569">
        <f>BS!CT40-BS!CS40</f>
        <v>0</v>
      </c>
      <c r="CU28" s="1569">
        <f>CT28+BS!CU40-BS!CT40</f>
        <v>0</v>
      </c>
      <c r="CV28" s="1569">
        <f>CU28+BS!CV40-BS!CU40</f>
        <v>0</v>
      </c>
      <c r="CW28" s="1569">
        <f>CV28+BS!CW40-BS!CV40</f>
        <v>0</v>
      </c>
      <c r="CX28" s="1599">
        <f t="shared" si="17"/>
        <v>0</v>
      </c>
      <c r="CZ28" s="697"/>
      <c r="DA28" s="769"/>
      <c r="DB28" s="697"/>
      <c r="DC28" s="686"/>
    </row>
    <row r="29" spans="1:107" ht="10.5" hidden="1" customHeight="1" outlineLevel="2">
      <c r="A29" s="699" t="s">
        <v>407</v>
      </c>
      <c r="B29" s="699"/>
      <c r="C29" s="715"/>
      <c r="D29" s="715"/>
      <c r="E29" s="715"/>
      <c r="F29" s="715"/>
      <c r="G29" s="705">
        <f t="shared" si="18"/>
        <v>0</v>
      </c>
      <c r="H29" s="715"/>
      <c r="I29" s="715"/>
      <c r="J29" s="715"/>
      <c r="K29" s="715"/>
      <c r="L29" s="705">
        <f t="shared" si="19"/>
        <v>0</v>
      </c>
      <c r="M29" s="715"/>
      <c r="N29" s="715"/>
      <c r="O29" s="715"/>
      <c r="P29" s="715"/>
      <c r="Q29" s="705">
        <f t="shared" si="20"/>
        <v>0</v>
      </c>
      <c r="R29" s="715"/>
      <c r="S29" s="715"/>
      <c r="T29" s="715"/>
      <c r="U29" s="715"/>
      <c r="V29" s="705">
        <f t="shared" si="27"/>
        <v>0</v>
      </c>
      <c r="W29" s="715"/>
      <c r="X29" s="715"/>
      <c r="Y29" s="715"/>
      <c r="Z29" s="715"/>
      <c r="AA29" s="705">
        <f t="shared" si="1"/>
        <v>0</v>
      </c>
      <c r="AB29" s="715"/>
      <c r="AC29" s="687"/>
      <c r="AD29" s="687"/>
      <c r="AE29" s="687"/>
      <c r="AF29" s="768">
        <f t="shared" si="2"/>
        <v>0</v>
      </c>
      <c r="AG29" s="687"/>
      <c r="AH29" s="687"/>
      <c r="AI29" s="687"/>
      <c r="AJ29" s="687">
        <f>AI29+BS!AJ41-BS!AI41</f>
        <v>-0.88600000000000279</v>
      </c>
      <c r="AK29" s="705">
        <f t="shared" si="3"/>
        <v>-0.88600000000000279</v>
      </c>
      <c r="AL29" s="687"/>
      <c r="AM29" s="745"/>
      <c r="AN29" s="687"/>
      <c r="AO29" s="687"/>
      <c r="AP29" s="705">
        <f t="shared" si="4"/>
        <v>0</v>
      </c>
      <c r="AQ29" s="687"/>
      <c r="AR29" s="687"/>
      <c r="AS29" s="687"/>
      <c r="AT29" s="687">
        <f>AS29+BS!AT41-BS!AS41</f>
        <v>4.125</v>
      </c>
      <c r="AU29" s="705">
        <f t="shared" si="6"/>
        <v>4.125</v>
      </c>
      <c r="AV29" s="687">
        <v>0</v>
      </c>
      <c r="AW29" s="687">
        <v>0</v>
      </c>
      <c r="AX29" s="687">
        <f>AW29+BS!AW41-BS!AV41</f>
        <v>2.3669999999999973</v>
      </c>
      <c r="AY29" s="687">
        <f>AX29+BS!AY41-BS!AX41</f>
        <v>13.253</v>
      </c>
      <c r="AZ29" s="705">
        <f t="shared" si="7"/>
        <v>13.253</v>
      </c>
      <c r="BA29" s="687">
        <v>0</v>
      </c>
      <c r="BB29" s="687">
        <v>0</v>
      </c>
      <c r="BC29" s="687">
        <v>0</v>
      </c>
      <c r="BD29" s="687">
        <v>0</v>
      </c>
      <c r="BE29" s="705">
        <f t="shared" si="8"/>
        <v>0</v>
      </c>
      <c r="BF29" s="687">
        <v>0</v>
      </c>
      <c r="BG29" s="687">
        <v>0</v>
      </c>
      <c r="BH29" s="687">
        <v>0</v>
      </c>
      <c r="BI29" s="687">
        <v>0</v>
      </c>
      <c r="BJ29" s="705">
        <f t="shared" si="9"/>
        <v>0</v>
      </c>
      <c r="BK29" s="687">
        <v>0</v>
      </c>
      <c r="BL29" s="687">
        <v>0</v>
      </c>
      <c r="BM29" s="687">
        <v>0</v>
      </c>
      <c r="BN29" s="687">
        <v>0</v>
      </c>
      <c r="BO29" s="705">
        <f t="shared" si="10"/>
        <v>0</v>
      </c>
      <c r="BP29" s="687">
        <v>0</v>
      </c>
      <c r="BQ29" s="687">
        <v>0</v>
      </c>
      <c r="BR29" s="687">
        <v>0</v>
      </c>
      <c r="BS29" s="687">
        <v>0</v>
      </c>
      <c r="BT29" s="705">
        <f t="shared" si="11"/>
        <v>0</v>
      </c>
      <c r="BU29" s="687">
        <v>0</v>
      </c>
      <c r="BV29" s="687">
        <v>0</v>
      </c>
      <c r="BW29" s="687">
        <v>0</v>
      </c>
      <c r="BX29" s="687">
        <v>0</v>
      </c>
      <c r="BY29" s="705">
        <f t="shared" si="12"/>
        <v>0</v>
      </c>
      <c r="BZ29" s="1106">
        <v>0</v>
      </c>
      <c r="CA29" s="1106">
        <v>0</v>
      </c>
      <c r="CB29" s="1106">
        <v>0</v>
      </c>
      <c r="CC29" s="1106">
        <v>0</v>
      </c>
      <c r="CD29" s="1613">
        <f t="shared" si="13"/>
        <v>0</v>
      </c>
      <c r="CE29" s="1106">
        <v>0</v>
      </c>
      <c r="CF29" s="1106">
        <v>0</v>
      </c>
      <c r="CG29" s="1106">
        <v>0</v>
      </c>
      <c r="CH29" s="1106">
        <f t="shared" si="29"/>
        <v>0</v>
      </c>
      <c r="CI29" s="1613">
        <f t="shared" si="14"/>
        <v>0</v>
      </c>
      <c r="CJ29" s="1569">
        <f>BS!CJ41-BS!CI41</f>
        <v>24.077999999999989</v>
      </c>
      <c r="CK29" s="1569">
        <f>CJ29+BS!CK41-BS!CJ41</f>
        <v>24.078000000000003</v>
      </c>
      <c r="CL29" s="1569">
        <f>CK29+BS!CL41-BS!CK41</f>
        <v>24.078000000000003</v>
      </c>
      <c r="CM29" s="1569">
        <f>CL29+BS!CM41-BS!CL41</f>
        <v>24.078000000000003</v>
      </c>
      <c r="CN29" s="1599">
        <f t="shared" si="15"/>
        <v>24.078000000000003</v>
      </c>
      <c r="CO29" s="1569">
        <f>BS!CO41-BS!CN41</f>
        <v>0</v>
      </c>
      <c r="CP29" s="1569">
        <f>CO29+BS!CP41-BS!CO41</f>
        <v>0</v>
      </c>
      <c r="CQ29" s="1569">
        <f>CP29+BS!CQ41-BS!CP41</f>
        <v>0</v>
      </c>
      <c r="CR29" s="1569">
        <f>CQ29+BS!CR41-BS!CQ41</f>
        <v>0</v>
      </c>
      <c r="CS29" s="1599">
        <f t="shared" si="28"/>
        <v>0</v>
      </c>
      <c r="CT29" s="1569">
        <f>BS!CT41-BS!CS41</f>
        <v>0</v>
      </c>
      <c r="CU29" s="1569">
        <f>CT29+BS!CU41-BS!CT41</f>
        <v>0</v>
      </c>
      <c r="CV29" s="1569">
        <f>CU29+BS!CV41-BS!CU41</f>
        <v>0</v>
      </c>
      <c r="CW29" s="1569">
        <f>CV29+BS!CW41-BS!CV41</f>
        <v>0</v>
      </c>
      <c r="CX29" s="1599">
        <f t="shared" si="17"/>
        <v>0</v>
      </c>
      <c r="CZ29" s="697"/>
      <c r="DA29" s="769"/>
      <c r="DB29" s="697"/>
      <c r="DC29" s="686"/>
    </row>
    <row r="30" spans="1:107" ht="10.5" hidden="1" customHeight="1" outlineLevel="2">
      <c r="A30" s="699" t="s">
        <v>767</v>
      </c>
      <c r="B30" s="699"/>
      <c r="C30" s="715"/>
      <c r="D30" s="715"/>
      <c r="E30" s="715"/>
      <c r="F30" s="715"/>
      <c r="G30" s="705">
        <f t="shared" si="18"/>
        <v>0</v>
      </c>
      <c r="H30" s="715"/>
      <c r="I30" s="715"/>
      <c r="J30" s="715"/>
      <c r="K30" s="715"/>
      <c r="L30" s="705">
        <f t="shared" si="19"/>
        <v>0</v>
      </c>
      <c r="M30" s="715"/>
      <c r="N30" s="715"/>
      <c r="O30" s="715"/>
      <c r="P30" s="715"/>
      <c r="Q30" s="705">
        <f t="shared" si="20"/>
        <v>0</v>
      </c>
      <c r="R30" s="715"/>
      <c r="S30" s="715"/>
      <c r="T30" s="715"/>
      <c r="U30" s="715"/>
      <c r="V30" s="705">
        <f t="shared" si="27"/>
        <v>0</v>
      </c>
      <c r="W30" s="715"/>
      <c r="X30" s="715"/>
      <c r="Y30" s="715"/>
      <c r="Z30" s="715"/>
      <c r="AA30" s="705">
        <f t="shared" si="1"/>
        <v>0</v>
      </c>
      <c r="AB30" s="715"/>
      <c r="AC30" s="687"/>
      <c r="AD30" s="687"/>
      <c r="AE30" s="687"/>
      <c r="AF30" s="768">
        <f t="shared" si="2"/>
        <v>0</v>
      </c>
      <c r="AG30" s="687"/>
      <c r="AH30" s="687"/>
      <c r="AI30" s="687"/>
      <c r="AJ30" s="687">
        <f>19.9349999999998</f>
        <v>19.9349999999998</v>
      </c>
      <c r="AK30" s="705">
        <f t="shared" si="3"/>
        <v>19.9349999999998</v>
      </c>
      <c r="AL30" s="687">
        <v>0</v>
      </c>
      <c r="AM30" s="687">
        <v>0</v>
      </c>
      <c r="AN30" s="687">
        <v>0</v>
      </c>
      <c r="AO30" s="687">
        <f>AN30+0</f>
        <v>0</v>
      </c>
      <c r="AP30" s="705">
        <f t="shared" si="4"/>
        <v>0</v>
      </c>
      <c r="AQ30" s="687">
        <v>-16.655999999999999</v>
      </c>
      <c r="AR30" s="687"/>
      <c r="AS30" s="687"/>
      <c r="AT30" s="687">
        <f>AS30</f>
        <v>0</v>
      </c>
      <c r="AU30" s="705">
        <f t="shared" si="6"/>
        <v>0</v>
      </c>
      <c r="AV30" s="687">
        <v>0</v>
      </c>
      <c r="AW30" s="687">
        <v>0</v>
      </c>
      <c r="AX30" s="687">
        <f>-77.811-SUM(AX20:AX23,AX25:AX26,AX28:AX29)</f>
        <v>22.441000000000031</v>
      </c>
      <c r="AY30" s="687">
        <f>(-66.37-77.811)-SUM(AY20:AY23,AY25:AY26,AY28:AY29)</f>
        <v>-104.91199999999989</v>
      </c>
      <c r="AZ30" s="705">
        <f t="shared" si="7"/>
        <v>-104.91199999999989</v>
      </c>
      <c r="BA30" s="687">
        <v>0</v>
      </c>
      <c r="BB30" s="687">
        <v>0</v>
      </c>
      <c r="BC30" s="687">
        <v>0</v>
      </c>
      <c r="BD30" s="687">
        <v>0</v>
      </c>
      <c r="BE30" s="705">
        <f t="shared" si="8"/>
        <v>0</v>
      </c>
      <c r="BF30" s="687">
        <v>0</v>
      </c>
      <c r="BG30" s="687">
        <v>0</v>
      </c>
      <c r="BH30" s="687">
        <v>0</v>
      </c>
      <c r="BI30" s="687">
        <v>0</v>
      </c>
      <c r="BJ30" s="705">
        <f t="shared" si="9"/>
        <v>0</v>
      </c>
      <c r="BK30" s="687">
        <v>0</v>
      </c>
      <c r="BL30" s="687">
        <v>0</v>
      </c>
      <c r="BM30" s="687">
        <v>0</v>
      </c>
      <c r="BN30" s="687">
        <v>0</v>
      </c>
      <c r="BO30" s="705">
        <f t="shared" si="10"/>
        <v>0</v>
      </c>
      <c r="BP30" s="687">
        <v>0</v>
      </c>
      <c r="BQ30" s="687">
        <v>0</v>
      </c>
      <c r="BR30" s="687">
        <v>0</v>
      </c>
      <c r="BS30" s="687">
        <v>0</v>
      </c>
      <c r="BT30" s="705">
        <f t="shared" si="11"/>
        <v>0</v>
      </c>
      <c r="BU30" s="687">
        <v>0</v>
      </c>
      <c r="BV30" s="687">
        <v>0</v>
      </c>
      <c r="BW30" s="687">
        <v>0</v>
      </c>
      <c r="BX30" s="687">
        <v>0</v>
      </c>
      <c r="BY30" s="705">
        <f t="shared" si="12"/>
        <v>0</v>
      </c>
      <c r="BZ30" s="1106">
        <v>0</v>
      </c>
      <c r="CA30" s="1106">
        <v>0</v>
      </c>
      <c r="CB30" s="1106">
        <v>0</v>
      </c>
      <c r="CC30" s="1106">
        <v>0</v>
      </c>
      <c r="CD30" s="1613">
        <f t="shared" si="13"/>
        <v>0</v>
      </c>
      <c r="CE30" s="1106">
        <v>0</v>
      </c>
      <c r="CF30" s="1106">
        <v>0</v>
      </c>
      <c r="CG30" s="1106">
        <v>0</v>
      </c>
      <c r="CH30" s="1106">
        <f t="shared" si="29"/>
        <v>0</v>
      </c>
      <c r="CI30" s="1613">
        <f t="shared" si="14"/>
        <v>0</v>
      </c>
      <c r="CJ30" s="1569">
        <v>0</v>
      </c>
      <c r="CK30" s="1569">
        <f>CJ30</f>
        <v>0</v>
      </c>
      <c r="CL30" s="1569">
        <f>CK30</f>
        <v>0</v>
      </c>
      <c r="CM30" s="1569">
        <f>CL30</f>
        <v>0</v>
      </c>
      <c r="CN30" s="1599">
        <f t="shared" si="15"/>
        <v>0</v>
      </c>
      <c r="CO30" s="1569">
        <v>0</v>
      </c>
      <c r="CP30" s="1569">
        <f>CO30</f>
        <v>0</v>
      </c>
      <c r="CQ30" s="1569">
        <f>CP30</f>
        <v>0</v>
      </c>
      <c r="CR30" s="1569">
        <f>CQ30</f>
        <v>0</v>
      </c>
      <c r="CS30" s="1599">
        <f t="shared" si="28"/>
        <v>0</v>
      </c>
      <c r="CT30" s="1569">
        <v>0</v>
      </c>
      <c r="CU30" s="1569">
        <f>CT30</f>
        <v>0</v>
      </c>
      <c r="CV30" s="1569">
        <f>CU30</f>
        <v>0</v>
      </c>
      <c r="CW30" s="1569">
        <f>CV30</f>
        <v>0</v>
      </c>
      <c r="CX30" s="1599">
        <f t="shared" si="17"/>
        <v>0</v>
      </c>
      <c r="CZ30" s="697"/>
      <c r="DA30" s="769"/>
      <c r="DB30" s="697"/>
      <c r="DC30" s="686"/>
    </row>
    <row r="31" spans="1:107" ht="10.5" hidden="1" customHeight="1" outlineLevel="1">
      <c r="A31" s="699" t="s">
        <v>597</v>
      </c>
      <c r="B31" s="699"/>
      <c r="C31" s="715"/>
      <c r="D31" s="715"/>
      <c r="E31" s="715"/>
      <c r="F31" s="715"/>
      <c r="G31" s="705"/>
      <c r="H31" s="715"/>
      <c r="I31" s="715"/>
      <c r="J31" s="715"/>
      <c r="K31" s="715"/>
      <c r="L31" s="705"/>
      <c r="M31" s="715"/>
      <c r="N31" s="715"/>
      <c r="O31" s="715"/>
      <c r="P31" s="715"/>
      <c r="Q31" s="705"/>
      <c r="R31" s="715"/>
      <c r="S31" s="715"/>
      <c r="T31" s="715"/>
      <c r="U31" s="715"/>
      <c r="V31" s="705"/>
      <c r="W31" s="715"/>
      <c r="X31" s="715"/>
      <c r="Y31" s="715"/>
      <c r="Z31" s="715"/>
      <c r="AA31" s="705"/>
      <c r="AB31" s="715"/>
      <c r="AC31" s="687"/>
      <c r="AD31" s="687"/>
      <c r="AE31" s="687"/>
      <c r="AF31" s="705">
        <f t="shared" ref="AF31:AM31" si="30">AF24+AF27</f>
        <v>79.69</v>
      </c>
      <c r="AG31" s="687">
        <f t="shared" si="30"/>
        <v>7.585</v>
      </c>
      <c r="AH31" s="687">
        <f t="shared" si="30"/>
        <v>42.805</v>
      </c>
      <c r="AI31" s="687">
        <f t="shared" si="30"/>
        <v>25.971</v>
      </c>
      <c r="AJ31" s="687">
        <f t="shared" si="30"/>
        <v>43.137000000000008</v>
      </c>
      <c r="AK31" s="705">
        <f t="shared" si="30"/>
        <v>43.137000000000008</v>
      </c>
      <c r="AL31" s="687">
        <f t="shared" si="30"/>
        <v>5.35</v>
      </c>
      <c r="AM31" s="687">
        <f t="shared" si="30"/>
        <v>7.1449999999999996</v>
      </c>
      <c r="AN31" s="687">
        <f t="shared" ref="AN31:BD31" si="31">AN24+AN27</f>
        <v>23.163</v>
      </c>
      <c r="AO31" s="687">
        <f t="shared" si="31"/>
        <v>65.879000000000005</v>
      </c>
      <c r="AP31" s="705">
        <f t="shared" si="31"/>
        <v>65.879000000000005</v>
      </c>
      <c r="AQ31" s="687">
        <f t="shared" si="31"/>
        <v>-50.033999999999999</v>
      </c>
      <c r="AR31" s="687">
        <f t="shared" si="31"/>
        <v>-62.005000000000003</v>
      </c>
      <c r="AS31" s="687">
        <f t="shared" si="31"/>
        <v>-57.125999999999998</v>
      </c>
      <c r="AT31" s="687">
        <f>AS31+AT85</f>
        <v>-45.141999999999996</v>
      </c>
      <c r="AU31" s="705">
        <f t="shared" si="31"/>
        <v>42.973000000000013</v>
      </c>
      <c r="AV31" s="1106">
        <f t="shared" si="31"/>
        <v>42.585999999999999</v>
      </c>
      <c r="AW31" s="1106">
        <f t="shared" si="31"/>
        <v>87.186000000000007</v>
      </c>
      <c r="AX31" s="1106">
        <f t="shared" si="31"/>
        <v>103.75800000000001</v>
      </c>
      <c r="AY31" s="1106">
        <f t="shared" si="31"/>
        <v>109.34800000000001</v>
      </c>
      <c r="AZ31" s="1613">
        <f>AZ24+AZ27</f>
        <v>109.34800000000001</v>
      </c>
      <c r="BA31" s="1106">
        <f t="shared" si="31"/>
        <v>13.721</v>
      </c>
      <c r="BB31" s="1106">
        <f t="shared" si="31"/>
        <v>52.35</v>
      </c>
      <c r="BC31" s="1106">
        <f t="shared" si="31"/>
        <v>53.71</v>
      </c>
      <c r="BD31" s="1106">
        <f t="shared" si="31"/>
        <v>101.10899999999999</v>
      </c>
      <c r="BE31" s="1613">
        <f>BE24+BE27</f>
        <v>101.10899999999999</v>
      </c>
      <c r="BF31" s="1106">
        <f t="shared" ref="BF31:BN31" si="32">BF24+BF27</f>
        <v>16.739000000000001</v>
      </c>
      <c r="BG31" s="1106">
        <f t="shared" si="32"/>
        <v>60.552999999999997</v>
      </c>
      <c r="BH31" s="1106">
        <f t="shared" si="32"/>
        <v>28.108000000000001</v>
      </c>
      <c r="BI31" s="1106">
        <f t="shared" si="32"/>
        <v>87.34</v>
      </c>
      <c r="BJ31" s="1613">
        <f>BJ24+BJ27</f>
        <v>87.34</v>
      </c>
      <c r="BK31" s="1106">
        <f t="shared" si="32"/>
        <v>79.51400000000001</v>
      </c>
      <c r="BL31" s="1106">
        <f t="shared" si="32"/>
        <v>70.744</v>
      </c>
      <c r="BM31" s="1106">
        <f t="shared" si="32"/>
        <v>106.62899999999999</v>
      </c>
      <c r="BN31" s="1106">
        <f t="shared" si="32"/>
        <v>201.36600000000001</v>
      </c>
      <c r="BO31" s="1613">
        <f>BO24+BO27</f>
        <v>201.36600000000001</v>
      </c>
      <c r="BP31" s="1106">
        <f t="shared" ref="BP31:BS31" si="33">BP24+BP27</f>
        <v>52.274999999999999</v>
      </c>
      <c r="BQ31" s="1106">
        <f t="shared" si="33"/>
        <v>99.792000000000002</v>
      </c>
      <c r="BR31" s="1106">
        <f t="shared" si="33"/>
        <v>167.726</v>
      </c>
      <c r="BS31" s="1106">
        <f t="shared" si="33"/>
        <v>326.43799999999999</v>
      </c>
      <c r="BT31" s="1613">
        <f>BT24+BT27</f>
        <v>326.43799999999999</v>
      </c>
      <c r="BU31" s="1106">
        <f t="shared" ref="BU31:BX31" si="34">BU24+BU27</f>
        <v>19.044</v>
      </c>
      <c r="BV31" s="1106">
        <f t="shared" si="34"/>
        <v>63.816000000000003</v>
      </c>
      <c r="BW31" s="1106">
        <f t="shared" si="34"/>
        <v>141.536</v>
      </c>
      <c r="BX31" s="1106">
        <f t="shared" si="34"/>
        <v>320.80099999999999</v>
      </c>
      <c r="BY31" s="1613">
        <f>BY24+BY27</f>
        <v>320.80099999999999</v>
      </c>
      <c r="BZ31" s="1106">
        <f t="shared" ref="BZ31:CC31" si="35">BZ24+BZ27</f>
        <v>123.366</v>
      </c>
      <c r="CA31" s="1106">
        <f t="shared" si="35"/>
        <v>191.72200000000001</v>
      </c>
      <c r="CB31" s="1106">
        <f t="shared" si="35"/>
        <v>308.07499999999999</v>
      </c>
      <c r="CC31" s="1106">
        <f t="shared" si="35"/>
        <v>524.84</v>
      </c>
      <c r="CD31" s="1613">
        <f>CD24+CD27</f>
        <v>524.84</v>
      </c>
      <c r="CE31" s="1106">
        <f>CE24+CE27</f>
        <v>40.832000000000001</v>
      </c>
      <c r="CF31" s="1106">
        <f>CF24+CF27</f>
        <v>55.578000000000003</v>
      </c>
      <c r="CG31" s="1106">
        <f t="shared" ref="CG31" si="36">CG24+CG27</f>
        <v>185.45</v>
      </c>
      <c r="CH31" s="1106">
        <f t="shared" ref="CH31" si="37">CH24+CH27</f>
        <v>475.40199999999999</v>
      </c>
      <c r="CI31" s="1613">
        <f t="shared" ref="CI31:CM31" si="38">CI24+CI27</f>
        <v>475.40199999999999</v>
      </c>
      <c r="CJ31" s="1569">
        <f t="shared" si="38"/>
        <v>77.794000000000324</v>
      </c>
      <c r="CK31" s="1569">
        <f t="shared" si="38"/>
        <v>56.569401776764025</v>
      </c>
      <c r="CL31" s="1569">
        <f t="shared" si="38"/>
        <v>218.44870655755858</v>
      </c>
      <c r="CM31" s="1569">
        <f t="shared" si="38"/>
        <v>468.85504866730912</v>
      </c>
      <c r="CN31" s="1599">
        <f t="shared" ref="CN31:CR31" si="39">CN24+CN27</f>
        <v>468.85504866730912</v>
      </c>
      <c r="CO31" s="1569">
        <f t="shared" si="39"/>
        <v>93.328911256879422</v>
      </c>
      <c r="CP31" s="1569">
        <f t="shared" si="39"/>
        <v>54.68764975991526</v>
      </c>
      <c r="CQ31" s="1569">
        <f t="shared" si="39"/>
        <v>252.09070677609373</v>
      </c>
      <c r="CR31" s="1569">
        <f t="shared" si="39"/>
        <v>546.82880325170152</v>
      </c>
      <c r="CS31" s="1599">
        <f t="shared" ref="CS31:CW31" si="40">CS24+CS27</f>
        <v>546.82880325170152</v>
      </c>
      <c r="CT31" s="1569">
        <f t="shared" si="40"/>
        <v>89.290715301471039</v>
      </c>
      <c r="CU31" s="1569">
        <f t="shared" si="40"/>
        <v>19.073327159277795</v>
      </c>
      <c r="CV31" s="1569">
        <f t="shared" si="40"/>
        <v>220.94691017733624</v>
      </c>
      <c r="CW31" s="1569">
        <f t="shared" si="40"/>
        <v>532.83571469425465</v>
      </c>
      <c r="CX31" s="1599">
        <f t="shared" ref="CX31" si="41">CX24+CX27</f>
        <v>532.83571469425465</v>
      </c>
      <c r="CZ31" s="697"/>
      <c r="DA31" s="769"/>
      <c r="DB31" s="697"/>
      <c r="DC31" s="686"/>
    </row>
    <row r="32" spans="1:107" ht="10.5" hidden="1" customHeight="1" outlineLevel="1">
      <c r="A32" s="699" t="s">
        <v>598</v>
      </c>
      <c r="B32" s="699"/>
      <c r="C32" s="715"/>
      <c r="D32" s="715"/>
      <c r="E32" s="715"/>
      <c r="F32" s="715"/>
      <c r="G32" s="705"/>
      <c r="H32" s="715"/>
      <c r="I32" s="715"/>
      <c r="J32" s="715"/>
      <c r="K32" s="715"/>
      <c r="L32" s="705"/>
      <c r="M32" s="715"/>
      <c r="N32" s="715"/>
      <c r="O32" s="715"/>
      <c r="P32" s="715"/>
      <c r="Q32" s="705"/>
      <c r="R32" s="715"/>
      <c r="S32" s="715"/>
      <c r="T32" s="715"/>
      <c r="U32" s="715"/>
      <c r="V32" s="705"/>
      <c r="W32" s="715"/>
      <c r="X32" s="715"/>
      <c r="Y32" s="715"/>
      <c r="Z32" s="715"/>
      <c r="AA32" s="705"/>
      <c r="AB32" s="715"/>
      <c r="AC32" s="687"/>
      <c r="AD32" s="687"/>
      <c r="AE32" s="687"/>
      <c r="AF32" s="705">
        <f t="shared" ref="AF32:AS32" si="42">AF20+AF22+AF23+AF21+AF25+AF26+AF28+AF29+AF30</f>
        <v>27.658999999999992</v>
      </c>
      <c r="AG32" s="687">
        <f t="shared" si="42"/>
        <v>9.2400000000000055</v>
      </c>
      <c r="AH32" s="687">
        <f t="shared" si="42"/>
        <v>28.552000000000007</v>
      </c>
      <c r="AI32" s="687">
        <f t="shared" si="42"/>
        <v>176.93800000000002</v>
      </c>
      <c r="AJ32" s="687">
        <f t="shared" si="42"/>
        <v>186.90299999999979</v>
      </c>
      <c r="AK32" s="705">
        <f t="shared" si="42"/>
        <v>186.90299999999979</v>
      </c>
      <c r="AL32" s="687">
        <f t="shared" si="42"/>
        <v>13.375</v>
      </c>
      <c r="AM32" s="1047">
        <f t="shared" si="42"/>
        <v>-28.515000000000001</v>
      </c>
      <c r="AN32" s="687">
        <f t="shared" si="42"/>
        <v>-229.54599999999999</v>
      </c>
      <c r="AO32" s="687">
        <f t="shared" si="42"/>
        <v>-192.12200000000001</v>
      </c>
      <c r="AP32" s="705">
        <f t="shared" si="42"/>
        <v>-192.12200000000001</v>
      </c>
      <c r="AQ32" s="687">
        <f t="shared" si="42"/>
        <v>92.63</v>
      </c>
      <c r="AR32" s="687">
        <f t="shared" si="42"/>
        <v>139.84700000000001</v>
      </c>
      <c r="AS32" s="687">
        <f t="shared" si="42"/>
        <v>131.35700000000003</v>
      </c>
      <c r="AT32" s="687">
        <f>AS32+AT86</f>
        <v>250.75900000000001</v>
      </c>
      <c r="AU32" s="705">
        <f>AU20+AU22+AU23+AU21+AU25+AU26+AU28+AU29+AU30</f>
        <v>283.30800000000011</v>
      </c>
      <c r="AV32" s="1106">
        <f t="shared" ref="AV32:AY32" si="43">AV20+AV22+AV23+AV21+AV25+AV26+AV28+AV29+AV30+AV24+AV27</f>
        <v>120.66699999999999</v>
      </c>
      <c r="AW32" s="1106">
        <f t="shared" si="43"/>
        <v>81.464000000000013</v>
      </c>
      <c r="AX32" s="1106">
        <f t="shared" si="43"/>
        <v>25.947000000000003</v>
      </c>
      <c r="AY32" s="1106">
        <f t="shared" si="43"/>
        <v>-34.83299999999997</v>
      </c>
      <c r="AZ32" s="1613">
        <f>AZ20+AZ22+AZ23+AZ21+AZ25+AZ26+AZ28+AZ29+AZ30+AZ24+AZ27</f>
        <v>-34.83299999999997</v>
      </c>
      <c r="BA32" s="1106">
        <f t="shared" ref="BA32:BD32" si="44">BA20+BA22+BA23+BA21+BA25+BA26+BA28+BA29+BA30+BA24+BA27</f>
        <v>-69.784999999999997</v>
      </c>
      <c r="BB32" s="1106">
        <f t="shared" si="44"/>
        <v>-51.515999999999998</v>
      </c>
      <c r="BC32" s="1106">
        <f t="shared" si="44"/>
        <v>-80.641999999999982</v>
      </c>
      <c r="BD32" s="1106">
        <f t="shared" si="44"/>
        <v>77.710000000000008</v>
      </c>
      <c r="BE32" s="1613">
        <f>BE20+BE22+BE23+BE21+BE25+BE26+BE28+BE29+BE30+BE24+BE27</f>
        <v>77.710000000000008</v>
      </c>
      <c r="BF32" s="1106">
        <f t="shared" ref="BF32:BI32" si="45">BF20+BF22+BF23+BF21+BF25+BF26+BF28+BF29+BF30+BF24+BF27</f>
        <v>-63.177999999999997</v>
      </c>
      <c r="BG32" s="1106">
        <f t="shared" si="45"/>
        <v>31.721999999999976</v>
      </c>
      <c r="BH32" s="1106">
        <f t="shared" si="45"/>
        <v>-72.763999999999996</v>
      </c>
      <c r="BI32" s="1106">
        <f t="shared" si="45"/>
        <v>10.408000000000001</v>
      </c>
      <c r="BJ32" s="1613">
        <f>BJ20+BJ22+BJ23+BJ21+BJ25+BJ26+BJ28+BJ29+BJ30+BJ24+BJ27</f>
        <v>10.408000000000001</v>
      </c>
      <c r="BK32" s="1106">
        <f t="shared" ref="BK32:BN32" si="46">BK20+BK22+BK23+BK21+BK25+BK26+BK28+BK29+BK30+BK24+BK27</f>
        <v>85.855000000000018</v>
      </c>
      <c r="BL32" s="1106">
        <f t="shared" si="46"/>
        <v>121.54600000000001</v>
      </c>
      <c r="BM32" s="1106">
        <f t="shared" si="46"/>
        <v>70.727000000000004</v>
      </c>
      <c r="BN32" s="1106">
        <f t="shared" si="46"/>
        <v>162.64200000000002</v>
      </c>
      <c r="BO32" s="1613">
        <f>BO20+BO22+BO23+BO21+BO25+BO26+BO28+BO29+BO30+BO24+BO27</f>
        <v>162.64200000000002</v>
      </c>
      <c r="BP32" s="1106">
        <f t="shared" ref="BP32:BS32" si="47">BP20+BP22+BP23+BP21+BP25+BP26+BP28+BP29+BP30+BP24+BP27</f>
        <v>47.288000000000011</v>
      </c>
      <c r="BQ32" s="1106">
        <f t="shared" si="47"/>
        <v>157.79399999999998</v>
      </c>
      <c r="BR32" s="1106">
        <f t="shared" si="47"/>
        <v>230.322</v>
      </c>
      <c r="BS32" s="1106">
        <f t="shared" si="47"/>
        <v>396.08</v>
      </c>
      <c r="BT32" s="1613">
        <f>BT20+BT22+BT23+BT21+BT25+BT26+BT28+BT29+BT30+BT24+BT27</f>
        <v>396.08</v>
      </c>
      <c r="BU32" s="1106">
        <f t="shared" ref="BU32:BX32" si="48">BU20+BU22+BU23+BU21+BU25+BU26+BU28+BU29+BU30+BU24+BU27</f>
        <v>-59.652000000000001</v>
      </c>
      <c r="BV32" s="1106">
        <f t="shared" si="48"/>
        <v>123.80799999999999</v>
      </c>
      <c r="BW32" s="1106">
        <f t="shared" si="48"/>
        <v>156.267</v>
      </c>
      <c r="BX32" s="1106">
        <f t="shared" si="48"/>
        <v>263.70499999999998</v>
      </c>
      <c r="BY32" s="1613">
        <f>BY20+BY22+BY23+BY21+BY25+BY26+BY28+BY29+BY30+BY24+BY27</f>
        <v>263.70499999999998</v>
      </c>
      <c r="BZ32" s="1106">
        <f>BZ20+BZ22+BZ23+BZ21+BZ25+BZ26+BZ28+BZ29+BZ30+BZ24+BZ27</f>
        <v>12.180999999999997</v>
      </c>
      <c r="CA32" s="1106">
        <f>CA20+CA22+CA23+CA21+CA25+CA26+CA28+CA29+CA30+CA24+CA27</f>
        <v>88.959000000000017</v>
      </c>
      <c r="CB32" s="1106">
        <f t="shared" ref="CB32:CC32" si="49">CB20+CB22+CB23+CB21+CB25+CB26+CB28+CB29+CB30+CB24+CB27</f>
        <v>174.94800000000001</v>
      </c>
      <c r="CC32" s="1106">
        <f t="shared" si="49"/>
        <v>320.11300000000006</v>
      </c>
      <c r="CD32" s="1613">
        <f t="shared" ref="CD32:CI32" si="50">CD20+CD22+CD23+CD21+CD25+CD26+CD28+CD29+CD30+CD24+CD27</f>
        <v>320.11300000000006</v>
      </c>
      <c r="CE32" s="1106">
        <f>CE20+CE22+CE23+CE21+CE25+CE26+CE28+CE29+CE30+CE24+CE27</f>
        <v>93.396000000000001</v>
      </c>
      <c r="CF32" s="1106">
        <f>CF20+CF22+CF23+CF21+CF25+CF26+CF28+CF29+CF30+CF24+CF27</f>
        <v>174.40199999999999</v>
      </c>
      <c r="CG32" s="1106">
        <f t="shared" si="50"/>
        <v>263.84199999999998</v>
      </c>
      <c r="CH32" s="1106">
        <f t="shared" ref="CH32" si="51">CH20+CH22+CH23+CH21+CH25+CH26+CH28+CH29+CH30+CH24+CH27</f>
        <v>390.71499999999997</v>
      </c>
      <c r="CI32" s="1613">
        <f t="shared" si="50"/>
        <v>390.71499999999997</v>
      </c>
      <c r="CJ32" s="1569">
        <f t="shared" ref="CJ32:CM32" si="52">CJ20+CJ22+CJ23+CJ21+CJ25+CJ26+CJ28+CJ29+CJ30+CJ24+CJ27</f>
        <v>200.44400000000033</v>
      </c>
      <c r="CK32" s="1569">
        <f t="shared" si="52"/>
        <v>210.2422675655651</v>
      </c>
      <c r="CL32" s="1569">
        <f t="shared" si="52"/>
        <v>237.04154705638848</v>
      </c>
      <c r="CM32" s="1569">
        <f t="shared" si="52"/>
        <v>501.30723171530792</v>
      </c>
      <c r="CN32" s="1599">
        <f t="shared" ref="CN32:CR32" si="53">CN20+CN22+CN23+CN21+CN25+CN26+CN28+CN29+CN30+CN24+CN27</f>
        <v>501.30723171530792</v>
      </c>
      <c r="CO32" s="1569">
        <f t="shared" si="53"/>
        <v>58.369417068716274</v>
      </c>
      <c r="CP32" s="1569">
        <f t="shared" si="53"/>
        <v>67.035261248198438</v>
      </c>
      <c r="CQ32" s="1569">
        <f t="shared" si="53"/>
        <v>99.58743686794547</v>
      </c>
      <c r="CR32" s="1569">
        <f t="shared" si="53"/>
        <v>404.91171402208175</v>
      </c>
      <c r="CS32" s="1599">
        <f t="shared" ref="CS32:CW32" si="54">CS20+CS22+CS23+CS21+CS25+CS26+CS28+CS29+CS30+CS24+CS27</f>
        <v>404.91171402208175</v>
      </c>
      <c r="CT32" s="1569">
        <f t="shared" si="54"/>
        <v>104.18953612156977</v>
      </c>
      <c r="CU32" s="1569">
        <f t="shared" si="54"/>
        <v>98.960519817084531</v>
      </c>
      <c r="CV32" s="1569">
        <f t="shared" si="54"/>
        <v>119.10441494412588</v>
      </c>
      <c r="CW32" s="1569">
        <f t="shared" si="54"/>
        <v>449.11489480934011</v>
      </c>
      <c r="CX32" s="1599">
        <f t="shared" ref="CX32" si="55">CX20+CX22+CX23+CX21+CX25+CX26+CX28+CX29+CX30+CX24+CX27</f>
        <v>449.11489480934011</v>
      </c>
      <c r="CZ32" s="697"/>
      <c r="DA32" s="769"/>
      <c r="DB32" s="697"/>
      <c r="DC32" s="686"/>
    </row>
    <row r="33" spans="1:113" ht="10.5" hidden="1" customHeight="1" outlineLevel="1">
      <c r="A33" s="706" t="s">
        <v>745</v>
      </c>
      <c r="B33" s="706"/>
      <c r="C33" s="707">
        <v>68.537000000000006</v>
      </c>
      <c r="D33" s="707">
        <v>207.364</v>
      </c>
      <c r="E33" s="707">
        <v>289.834</v>
      </c>
      <c r="F33" s="770">
        <f>SUM(F8:F30)</f>
        <v>379.18199999999996</v>
      </c>
      <c r="G33" s="765">
        <f>F33</f>
        <v>379.18199999999996</v>
      </c>
      <c r="H33" s="707">
        <f>SUM(H8:H30)</f>
        <v>38.063000000000009</v>
      </c>
      <c r="I33" s="707">
        <f>SUM(I8:I30)</f>
        <v>146.83300000000008</v>
      </c>
      <c r="J33" s="707">
        <f>SUM(J8:J30)</f>
        <v>193.41200000000006</v>
      </c>
      <c r="K33" s="770">
        <f>SUM(K8:K30)</f>
        <v>329.33100000000007</v>
      </c>
      <c r="L33" s="765">
        <f>K33</f>
        <v>329.33100000000007</v>
      </c>
      <c r="M33" s="707">
        <f>SUM(M8:M30)</f>
        <v>79.346999999999952</v>
      </c>
      <c r="N33" s="707">
        <f>SUM(N8:N30)</f>
        <v>207.4379999999999</v>
      </c>
      <c r="O33" s="707">
        <f>SUM(O8:O30)</f>
        <v>304.5209999999999</v>
      </c>
      <c r="P33" s="770">
        <f>SUM(P8:P30)</f>
        <v>433.13599999999985</v>
      </c>
      <c r="Q33" s="765">
        <f>P33</f>
        <v>433.13599999999985</v>
      </c>
      <c r="R33" s="707">
        <f>SUM(R8:R30)</f>
        <v>185.46099999999993</v>
      </c>
      <c r="S33" s="707">
        <f>SUM(S8:S30)</f>
        <v>332.46100000000001</v>
      </c>
      <c r="T33" s="707">
        <f>SUM(T8:T30)</f>
        <v>492.90699999999981</v>
      </c>
      <c r="U33" s="707">
        <f>SUM(U8:U30)</f>
        <v>683.7439999999998</v>
      </c>
      <c r="V33" s="765">
        <f>U33</f>
        <v>683.7439999999998</v>
      </c>
      <c r="W33" s="707">
        <f>SUM(W8:W30)</f>
        <v>164.09700000000001</v>
      </c>
      <c r="X33" s="707">
        <f>SUM(X8:X30)</f>
        <v>335.07899999999995</v>
      </c>
      <c r="Y33" s="707">
        <f>SUM(Y8:Y30)</f>
        <v>508.0999999999998</v>
      </c>
      <c r="Z33" s="707">
        <f>SUM(Z8:Z30)</f>
        <v>730.35299999999984</v>
      </c>
      <c r="AA33" s="765">
        <f>Z33</f>
        <v>730.35299999999984</v>
      </c>
      <c r="AB33" s="1012">
        <f>SUM(AB8:AB30)</f>
        <v>177.80100000000007</v>
      </c>
      <c r="AC33" s="707">
        <f>SUM(AC8:AC30)</f>
        <v>419.06700000000001</v>
      </c>
      <c r="AD33" s="707">
        <f>SUM(AD8:AD30)</f>
        <v>599.25800000000004</v>
      </c>
      <c r="AE33" s="707">
        <f>SUM(AE8:AE30)</f>
        <v>835.94199999999989</v>
      </c>
      <c r="AF33" s="765">
        <f t="shared" ref="AF33:AU33" si="56">SUM(AF8:AF19)+AF31+AF32</f>
        <v>835.94199999999967</v>
      </c>
      <c r="AG33" s="707">
        <f t="shared" si="56"/>
        <v>270.51800000000014</v>
      </c>
      <c r="AH33" s="707">
        <f t="shared" si="56"/>
        <v>615.91699999999992</v>
      </c>
      <c r="AI33" s="707">
        <f t="shared" si="56"/>
        <v>1041.0870000000002</v>
      </c>
      <c r="AJ33" s="707">
        <f t="shared" si="56"/>
        <v>1439.1139999999998</v>
      </c>
      <c r="AK33" s="765">
        <f t="shared" si="56"/>
        <v>1439.1139999999998</v>
      </c>
      <c r="AL33" s="707">
        <f t="shared" si="56"/>
        <v>399.3</v>
      </c>
      <c r="AM33" s="707">
        <f t="shared" si="56"/>
        <v>731.09100000000001</v>
      </c>
      <c r="AN33" s="1048">
        <f t="shared" si="56"/>
        <v>942.86199999999985</v>
      </c>
      <c r="AO33" s="707">
        <f t="shared" si="56"/>
        <v>1280.6819999999998</v>
      </c>
      <c r="AP33" s="765">
        <f t="shared" si="56"/>
        <v>1280.6819999999998</v>
      </c>
      <c r="AQ33" s="707">
        <f t="shared" si="56"/>
        <v>365.74299999999994</v>
      </c>
      <c r="AR33" s="707">
        <f t="shared" si="56"/>
        <v>627.27200000000005</v>
      </c>
      <c r="AS33" s="707">
        <f t="shared" si="56"/>
        <v>863.9530000000002</v>
      </c>
      <c r="AT33" s="707">
        <f t="shared" si="56"/>
        <v>1117.7720000000002</v>
      </c>
      <c r="AU33" s="765">
        <f t="shared" si="56"/>
        <v>1238.4360000000001</v>
      </c>
      <c r="AV33" s="1373">
        <f t="shared" ref="AV33" si="57">SUM(AV8:AV19)+AV32</f>
        <v>259.803</v>
      </c>
      <c r="AW33" s="1373">
        <f t="shared" ref="AW33" si="58">SUM(AW8:AW19)+AW32</f>
        <v>510.89299999999992</v>
      </c>
      <c r="AX33" s="1373">
        <f t="shared" ref="AX33" si="59">SUM(AX8:AX19)+AX32</f>
        <v>802.36399999999981</v>
      </c>
      <c r="AY33" s="1373">
        <f t="shared" ref="AY33" si="60">SUM(AY8:AY19)+AY32</f>
        <v>1112.9849999999997</v>
      </c>
      <c r="AZ33" s="1678">
        <f>SUM(AZ8:AZ19)+AZ32</f>
        <v>1112.9849999999997</v>
      </c>
      <c r="BA33" s="1373">
        <f t="shared" ref="BA33" si="61">SUM(BA8:BA19)+BA32</f>
        <v>332.10199999999998</v>
      </c>
      <c r="BB33" s="1373">
        <f t="shared" ref="BB33" si="62">SUM(BB8:BB19)+BB32</f>
        <v>721.43300000000011</v>
      </c>
      <c r="BC33" s="1373">
        <f t="shared" ref="BC33" si="63">SUM(BC8:BC19)+BC32</f>
        <v>1046.5609999999997</v>
      </c>
      <c r="BD33" s="1373">
        <f t="shared" ref="BD33" si="64">SUM(BD8:BD19)+BD32</f>
        <v>1543.3140000000001</v>
      </c>
      <c r="BE33" s="1678">
        <f>SUM(BE8:BE19)+BE32</f>
        <v>1543.3140000000001</v>
      </c>
      <c r="BF33" s="1373">
        <f t="shared" ref="BF33" si="65">SUM(BF8:BF19)+BF32</f>
        <v>314.363</v>
      </c>
      <c r="BG33" s="1373">
        <f t="shared" ref="BG33" si="66">SUM(BG8:BG19)+BG32</f>
        <v>762.58100000000002</v>
      </c>
      <c r="BH33" s="1373">
        <f t="shared" ref="BH33" si="67">SUM(BH8:BH19)+BH32</f>
        <v>1025.921</v>
      </c>
      <c r="BI33" s="1373">
        <f t="shared" ref="BI33" si="68">SUM(BI8:BI19)+BI32</f>
        <v>1499.5799999999997</v>
      </c>
      <c r="BJ33" s="1678">
        <f>SUM(BJ8:BJ19)+BJ32</f>
        <v>1499.5799999999997</v>
      </c>
      <c r="BK33" s="1373">
        <f t="shared" ref="BK33" si="69">SUM(BK8:BK19)+BK32</f>
        <v>322.03100000000001</v>
      </c>
      <c r="BL33" s="1373">
        <f t="shared" ref="BL33" si="70">SUM(BL8:BL19)+BL32</f>
        <v>621.17900000000009</v>
      </c>
      <c r="BM33" s="1373">
        <f t="shared" ref="BM33" si="71">SUM(BM8:BM19)+BM32</f>
        <v>836.70399999999995</v>
      </c>
      <c r="BN33" s="1373">
        <f t="shared" ref="BN33" si="72">SUM(BN8:BN19)+BN32</f>
        <v>1151.6859999999999</v>
      </c>
      <c r="BO33" s="1678">
        <f>SUM(BO8:BO19)+BO32</f>
        <v>1151.6859999999999</v>
      </c>
      <c r="BP33" s="1373">
        <f t="shared" ref="BP33" si="73">SUM(BP8:BP19)+BP32</f>
        <v>251.67299999999997</v>
      </c>
      <c r="BQ33" s="1373">
        <f t="shared" ref="BQ33" si="74">SUM(BQ8:BQ19)+BQ32</f>
        <v>619.20899999999995</v>
      </c>
      <c r="BR33" s="1373">
        <f t="shared" ref="BR33" si="75">SUM(BR8:BR19)+BR32</f>
        <v>887.72900000000004</v>
      </c>
      <c r="BS33" s="1373">
        <f t="shared" ref="BS33" si="76">SUM(BS8:BS19)+BS32</f>
        <v>1287.482</v>
      </c>
      <c r="BT33" s="1678">
        <f>SUM(BT8:BT19)+BT32</f>
        <v>1287.482</v>
      </c>
      <c r="BU33" s="1373">
        <f t="shared" ref="BU33" si="77">SUM(BU8:BU19)+BU32</f>
        <v>183.01500000000004</v>
      </c>
      <c r="BV33" s="1373">
        <f t="shared" ref="BV33" si="78">SUM(BV8:BV19)+BV32</f>
        <v>654.49900000000002</v>
      </c>
      <c r="BW33" s="1373">
        <f t="shared" ref="BW33" si="79">SUM(BW8:BW19)+BW32</f>
        <v>1014.9870000000001</v>
      </c>
      <c r="BX33" s="1373">
        <f t="shared" ref="BX33" si="80">SUM(BX8:BX19)+BX32</f>
        <v>1469.502</v>
      </c>
      <c r="BY33" s="1678">
        <f>SUM(BY8:BY19)+BY32</f>
        <v>1469.502</v>
      </c>
      <c r="BZ33" s="1373">
        <f t="shared" ref="BZ33:CC33" si="81">SUM(BZ8:BZ19)+BZ32</f>
        <v>497.52700000000004</v>
      </c>
      <c r="CA33" s="1373">
        <f t="shared" si="81"/>
        <v>986.24199999999996</v>
      </c>
      <c r="CB33" s="1373">
        <f>SUM(CB8:CB19)+CB32</f>
        <v>1504.1270000000002</v>
      </c>
      <c r="CC33" s="1373">
        <f t="shared" si="81"/>
        <v>2199.7280000000001</v>
      </c>
      <c r="CD33" s="1678">
        <f>SUM(CD8:CD19)+CD32</f>
        <v>2199.7280000000001</v>
      </c>
      <c r="CE33" s="1373">
        <f>SUM(CE8:CE19)+CE32</f>
        <v>730.37000000000012</v>
      </c>
      <c r="CF33" s="1373">
        <f>SUM(CF8:CF19)+CF32</f>
        <v>1375.1970000000001</v>
      </c>
      <c r="CG33" s="1373">
        <f t="shared" ref="CG33:CN33" si="82">SUM(CG8:CG19)+CG32</f>
        <v>2079.6329999999998</v>
      </c>
      <c r="CH33" s="1373">
        <f t="shared" ref="CH33:CJ33" si="83">SUM(CH8:CH19)+CH32</f>
        <v>2912.8530000000001</v>
      </c>
      <c r="CI33" s="1678">
        <f t="shared" si="82"/>
        <v>2912.8530000000001</v>
      </c>
      <c r="CJ33" s="1373">
        <f t="shared" si="83"/>
        <v>989.60100000000034</v>
      </c>
      <c r="CK33" s="1257">
        <f t="shared" si="82"/>
        <v>1846.0586535084797</v>
      </c>
      <c r="CL33" s="1257">
        <f t="shared" si="82"/>
        <v>2756.6534938154427</v>
      </c>
      <c r="CM33" s="1257">
        <f t="shared" si="82"/>
        <v>3953.2021627207873</v>
      </c>
      <c r="CN33" s="1611">
        <f t="shared" si="82"/>
        <v>3953.2021627207873</v>
      </c>
      <c r="CO33" s="1257">
        <f t="shared" ref="CO33" si="84">SUM(CO8:CO19)+CO32</f>
        <v>1002.3379860508379</v>
      </c>
      <c r="CP33" s="1257">
        <f t="shared" ref="CP33" si="85">SUM(CP8:CP19)+CP32</f>
        <v>1991.5175846092998</v>
      </c>
      <c r="CQ33" s="1257">
        <f t="shared" ref="CQ33" si="86">SUM(CQ8:CQ19)+CQ32</f>
        <v>3037.3971229908843</v>
      </c>
      <c r="CR33" s="1257">
        <f t="shared" ref="CR33" si="87">SUM(CR8:CR19)+CR32</f>
        <v>4411.2747509912933</v>
      </c>
      <c r="CS33" s="1611">
        <f t="shared" ref="CS33:CW33" si="88">SUM(CS8:CS19)+CS32</f>
        <v>4411.2747509912933</v>
      </c>
      <c r="CT33" s="1257">
        <f t="shared" si="88"/>
        <v>1232.2380947587969</v>
      </c>
      <c r="CU33" s="1257">
        <f t="shared" si="88"/>
        <v>2403.3769641900517</v>
      </c>
      <c r="CV33" s="1257">
        <f t="shared" si="88"/>
        <v>3631.23074437885</v>
      </c>
      <c r="CW33" s="1257">
        <f t="shared" si="88"/>
        <v>5225.8867692979838</v>
      </c>
      <c r="CX33" s="1611">
        <f t="shared" ref="CX33" si="89">SUM(CX8:CX19)+CX32</f>
        <v>5225.8867692979838</v>
      </c>
      <c r="CZ33" s="686"/>
      <c r="DA33" s="769"/>
      <c r="DB33" s="686"/>
      <c r="DC33" s="686"/>
    </row>
    <row r="34" spans="1:113" ht="10.5" hidden="1" customHeight="1" outlineLevel="1">
      <c r="A34" s="693" t="s">
        <v>674</v>
      </c>
      <c r="B34" s="693"/>
      <c r="C34" s="687"/>
      <c r="D34" s="687"/>
      <c r="E34" s="687"/>
      <c r="F34" s="687"/>
      <c r="G34" s="705"/>
      <c r="H34" s="687"/>
      <c r="I34" s="687"/>
      <c r="J34" s="687"/>
      <c r="K34" s="687"/>
      <c r="L34" s="705"/>
      <c r="M34" s="687"/>
      <c r="N34" s="687"/>
      <c r="O34" s="687"/>
      <c r="P34" s="687"/>
      <c r="Q34" s="705"/>
      <c r="R34" s="687"/>
      <c r="S34" s="687"/>
      <c r="T34" s="687"/>
      <c r="U34" s="687"/>
      <c r="V34" s="705"/>
      <c r="W34" s="687"/>
      <c r="X34" s="687"/>
      <c r="Y34" s="687"/>
      <c r="Z34" s="687"/>
      <c r="AA34" s="705"/>
      <c r="AB34" s="687"/>
      <c r="AC34" s="687"/>
      <c r="AD34" s="687"/>
      <c r="AE34" s="687"/>
      <c r="AF34" s="768"/>
      <c r="AG34" s="687"/>
      <c r="AH34" s="687"/>
      <c r="AI34" s="687"/>
      <c r="AJ34" s="687"/>
      <c r="AK34" s="705"/>
      <c r="AL34" s="687"/>
      <c r="AM34" s="1009"/>
      <c r="AN34" s="1008"/>
      <c r="AO34" s="1008"/>
      <c r="AP34" s="705"/>
      <c r="AQ34" s="687"/>
      <c r="AR34" s="417"/>
      <c r="AS34" s="1008"/>
      <c r="AT34" s="417"/>
      <c r="AU34" s="782"/>
      <c r="AV34" s="1008"/>
      <c r="AW34" s="1008"/>
      <c r="AX34" s="1008"/>
      <c r="AY34" s="417"/>
      <c r="AZ34" s="782"/>
      <c r="BA34" s="418"/>
      <c r="BB34" s="1301"/>
      <c r="BC34" s="417"/>
      <c r="BD34" s="417"/>
      <c r="BE34" s="782"/>
      <c r="BF34" s="418"/>
      <c r="BG34" s="1301"/>
      <c r="BH34" s="417"/>
      <c r="BI34" s="417"/>
      <c r="BJ34" s="782"/>
      <c r="BK34" s="418"/>
      <c r="BL34" s="1301"/>
      <c r="BM34" s="1411"/>
      <c r="BN34" s="417"/>
      <c r="BO34" s="782"/>
      <c r="BP34" s="418"/>
      <c r="BQ34" s="1301"/>
      <c r="BR34" s="1411"/>
      <c r="BS34" s="1411"/>
      <c r="BT34" s="782"/>
      <c r="BU34" s="418"/>
      <c r="BV34" s="1301"/>
      <c r="BW34" s="1301"/>
      <c r="BX34" s="1301"/>
      <c r="BY34" s="1655">
        <f>BY33/BT33-1</f>
        <v>0.14137673381064753</v>
      </c>
      <c r="BZ34" s="1373"/>
      <c r="CA34" s="1373"/>
      <c r="CB34" s="1373"/>
      <c r="CC34" s="1679"/>
      <c r="CD34" s="1655">
        <f>CD33/BY33-1</f>
        <v>0.49692072552470168</v>
      </c>
      <c r="CE34" s="1679"/>
      <c r="CF34" s="1373"/>
      <c r="CG34" s="1373"/>
      <c r="CH34" s="1679"/>
      <c r="CI34" s="1655">
        <f>CI33/CD33-1</f>
        <v>0.32418780867452712</v>
      </c>
      <c r="CJ34" s="1570"/>
      <c r="CK34" s="1570"/>
      <c r="CL34" s="1570"/>
      <c r="CM34" s="1570"/>
      <c r="CN34" s="1612">
        <f>CN33/CI33-1</f>
        <v>0.35715814108051025</v>
      </c>
      <c r="CO34" s="1570"/>
      <c r="CP34" s="1570"/>
      <c r="CQ34" s="1570"/>
      <c r="CR34" s="1570"/>
      <c r="CS34" s="1612">
        <f>CS33/CN33-1</f>
        <v>0.11587380797020463</v>
      </c>
      <c r="CT34" s="1570"/>
      <c r="CU34" s="1570"/>
      <c r="CV34" s="1570"/>
      <c r="CW34" s="1570"/>
      <c r="CX34" s="1612">
        <f>CX33/CS33-1</f>
        <v>0.18466589915389697</v>
      </c>
      <c r="CZ34" s="697"/>
      <c r="DA34" s="769"/>
      <c r="DB34" s="697"/>
      <c r="DC34" s="697"/>
    </row>
    <row r="35" spans="1:113" ht="10.5" hidden="1" customHeight="1" outlineLevel="1">
      <c r="A35" s="699" t="s">
        <v>769</v>
      </c>
      <c r="B35" s="699"/>
      <c r="C35" s="715"/>
      <c r="D35" s="715"/>
      <c r="E35" s="715"/>
      <c r="F35" s="715">
        <v>-43.173999999999999</v>
      </c>
      <c r="G35" s="705">
        <f t="shared" ref="G35:G40" si="90">F35</f>
        <v>-43.173999999999999</v>
      </c>
      <c r="H35" s="715">
        <v>-5.7290000000000001</v>
      </c>
      <c r="I35" s="715">
        <v>-12.99</v>
      </c>
      <c r="J35" s="715">
        <v>-20.268000000000001</v>
      </c>
      <c r="K35" s="715">
        <v>-31.577999999999999</v>
      </c>
      <c r="L35" s="705">
        <f t="shared" ref="L35:L40" si="91">K35</f>
        <v>-31.577999999999999</v>
      </c>
      <c r="M35" s="715">
        <v>-7.49</v>
      </c>
      <c r="N35" s="715">
        <v>-19.181999999999999</v>
      </c>
      <c r="O35" s="715">
        <v>-26.864000000000001</v>
      </c>
      <c r="P35" s="715">
        <v>-39.454000000000001</v>
      </c>
      <c r="Q35" s="705">
        <f t="shared" ref="Q35:Q40" si="92">P35</f>
        <v>-39.454000000000001</v>
      </c>
      <c r="R35" s="715">
        <v>-14.444000000000001</v>
      </c>
      <c r="S35" s="715">
        <v>-26.934999999999999</v>
      </c>
      <c r="T35" s="715">
        <v>-41.351999999999997</v>
      </c>
      <c r="U35" s="715">
        <v>-63.225999999999999</v>
      </c>
      <c r="V35" s="705">
        <f t="shared" ref="V35:V40" si="93">U35</f>
        <v>-63.225999999999999</v>
      </c>
      <c r="W35" s="715">
        <v>-11.512</v>
      </c>
      <c r="X35" s="715">
        <v>-20.635999999999999</v>
      </c>
      <c r="Y35" s="715">
        <v>-38.106000000000002</v>
      </c>
      <c r="Z35" s="715">
        <v>-48.875</v>
      </c>
      <c r="AA35" s="705">
        <f t="shared" ref="AA35:AA40" si="94">Z35</f>
        <v>-48.875</v>
      </c>
      <c r="AB35" s="715">
        <v>-11.634</v>
      </c>
      <c r="AC35" s="687">
        <f>-19.683+AB35</f>
        <v>-31.317</v>
      </c>
      <c r="AD35" s="687">
        <v>-50.168999999999997</v>
      </c>
      <c r="AE35" s="687">
        <f>-23.549+AD35</f>
        <v>-73.717999999999989</v>
      </c>
      <c r="AF35" s="768">
        <f t="shared" ref="AF35:AF40" si="95">AE35</f>
        <v>-73.717999999999989</v>
      </c>
      <c r="AG35" s="687">
        <v>-48.3</v>
      </c>
      <c r="AH35" s="687">
        <v>-71.784000000000006</v>
      </c>
      <c r="AI35" s="687">
        <v>-103.944</v>
      </c>
      <c r="AJ35" s="687">
        <f>AI35-28.131</f>
        <v>-132.07499999999999</v>
      </c>
      <c r="AK35" s="705">
        <f t="shared" ref="AK35:AK40" si="96">AJ35</f>
        <v>-132.07499999999999</v>
      </c>
      <c r="AL35" s="687">
        <v>-26.268000000000001</v>
      </c>
      <c r="AM35" s="687">
        <f>AL35+-22.403</f>
        <v>-48.670999999999999</v>
      </c>
      <c r="AN35" s="687">
        <f>AM35-39.81</f>
        <v>-88.480999999999995</v>
      </c>
      <c r="AO35" s="687">
        <v>-111.792</v>
      </c>
      <c r="AP35" s="705">
        <f t="shared" ref="AP35:AP40" si="97">AO35</f>
        <v>-111.792</v>
      </c>
      <c r="AQ35" s="687">
        <v>-15.916</v>
      </c>
      <c r="AR35" s="687">
        <v>-26.228000000000002</v>
      </c>
      <c r="AS35" s="687">
        <f>AR35-58.431</f>
        <v>-84.658999999999992</v>
      </c>
      <c r="AT35" s="687">
        <f>AS35+AT89</f>
        <v>-119.59199999999998</v>
      </c>
      <c r="AU35" s="705">
        <f t="shared" ref="AU35:AU40" si="98">AT35</f>
        <v>-119.59199999999998</v>
      </c>
      <c r="AV35" s="687">
        <v>-25.547000000000001</v>
      </c>
      <c r="AW35" s="687">
        <f>AV35-49.628</f>
        <v>-75.174999999999997</v>
      </c>
      <c r="AX35" s="687">
        <f>AW35+-6.889</f>
        <v>-82.063999999999993</v>
      </c>
      <c r="AY35" s="687">
        <f>AX35-55.427</f>
        <v>-137.49099999999999</v>
      </c>
      <c r="AZ35" s="705">
        <f t="shared" ref="AZ35:AZ40" si="99">AY35</f>
        <v>-137.49099999999999</v>
      </c>
      <c r="BA35" s="687">
        <f>-32.421</f>
        <v>-32.420999999999999</v>
      </c>
      <c r="BB35" s="687">
        <f>BA35-37.501</f>
        <v>-69.921999999999997</v>
      </c>
      <c r="BC35" s="687">
        <f>BB35-65.475</f>
        <v>-135.39699999999999</v>
      </c>
      <c r="BD35" s="687">
        <f>BC35-74.897</f>
        <v>-210.29399999999998</v>
      </c>
      <c r="BE35" s="705">
        <f t="shared" ref="BE35:BE40" si="100">BD35</f>
        <v>-210.29399999999998</v>
      </c>
      <c r="BF35" s="687">
        <v>-51.088000000000001</v>
      </c>
      <c r="BG35" s="687">
        <f>BF35-60.767</f>
        <v>-111.855</v>
      </c>
      <c r="BH35" s="687">
        <f>BG35-77.432</f>
        <v>-189.28700000000001</v>
      </c>
      <c r="BI35" s="687">
        <f>BH35-81.789</f>
        <v>-271.07600000000002</v>
      </c>
      <c r="BJ35" s="705">
        <f t="shared" ref="BJ35:BJ40" si="101">BI35</f>
        <v>-271.07600000000002</v>
      </c>
      <c r="BK35" s="687">
        <v>-60.19</v>
      </c>
      <c r="BL35" s="687">
        <f>BK35-46.249</f>
        <v>-106.43899999999999</v>
      </c>
      <c r="BM35" s="687">
        <f>BL35-46.798</f>
        <v>-153.23699999999999</v>
      </c>
      <c r="BN35" s="687">
        <v>-188.358</v>
      </c>
      <c r="BO35" s="705">
        <f t="shared" ref="BO35:BO40" si="102">BN35</f>
        <v>-188.358</v>
      </c>
      <c r="BP35" s="687">
        <v>-29.393000000000001</v>
      </c>
      <c r="BQ35" s="687">
        <f>BP35-27.198</f>
        <v>-56.591000000000001</v>
      </c>
      <c r="BR35" s="687">
        <f>BQ35-54.966</f>
        <v>-111.557</v>
      </c>
      <c r="BS35" s="687">
        <f>BR35-36.775</f>
        <v>-148.33199999999999</v>
      </c>
      <c r="BT35" s="705">
        <f t="shared" ref="BT35:BT40" si="103">BS35</f>
        <v>-148.33199999999999</v>
      </c>
      <c r="BU35" s="687">
        <v>-35.545999999999999</v>
      </c>
      <c r="BV35" s="687">
        <v>-71.275999999999996</v>
      </c>
      <c r="BW35" s="687">
        <v>-120.25999999999999</v>
      </c>
      <c r="BX35" s="687">
        <v>-184.93600000000001</v>
      </c>
      <c r="BY35" s="705">
        <f t="shared" ref="BY35:BY40" si="104">BX35</f>
        <v>-184.93600000000001</v>
      </c>
      <c r="BZ35" s="1106">
        <v>-46.2</v>
      </c>
      <c r="CA35" s="1106">
        <f>+-99.959</f>
        <v>-99.959000000000003</v>
      </c>
      <c r="CB35" s="1106">
        <f>+-155.172</f>
        <v>-155.172</v>
      </c>
      <c r="CC35" s="1106">
        <f>CB35-48.633</f>
        <v>-203.80500000000001</v>
      </c>
      <c r="CD35" s="1613">
        <f t="shared" ref="CD35:CD40" si="105">CC35</f>
        <v>-203.80500000000001</v>
      </c>
      <c r="CE35" s="1106">
        <v>-30.902999999999999</v>
      </c>
      <c r="CF35" s="1106">
        <f>+-86.2</f>
        <v>-86.2</v>
      </c>
      <c r="CG35" s="1106">
        <f>+-140.438</f>
        <v>-140.43799999999999</v>
      </c>
      <c r="CH35" s="1106">
        <f>+-178.122</f>
        <v>-178.12200000000001</v>
      </c>
      <c r="CI35" s="1613">
        <f t="shared" ref="CI35:CI40" si="106">CH35</f>
        <v>-178.12200000000001</v>
      </c>
      <c r="CJ35" s="1569">
        <f>+-95.142</f>
        <v>-95.141999999999996</v>
      </c>
      <c r="CK35" s="1569">
        <f>CJ35-BS!CK126</f>
        <v>-151.85332398763882</v>
      </c>
      <c r="CL35" s="1569">
        <f>CK35-BS!CL126</f>
        <v>-211.50746045937365</v>
      </c>
      <c r="CM35" s="1569">
        <f>CL35-BS!CM126</f>
        <v>-273.77406327889713</v>
      </c>
      <c r="CN35" s="1599">
        <f t="shared" ref="CN35:CN40" si="107">CM35</f>
        <v>-273.77406327889713</v>
      </c>
      <c r="CO35" s="1569">
        <f>-BS!CO126</f>
        <v>-64.993145852362787</v>
      </c>
      <c r="CP35" s="1569">
        <f>CO35-BS!CP126</f>
        <v>-132.75798447919823</v>
      </c>
      <c r="CQ35" s="1569">
        <f>CP35-BS!CQ126</f>
        <v>-203.43941386824605</v>
      </c>
      <c r="CR35" s="1569">
        <f>CQ35-BS!CR126</f>
        <v>-277.17912420709115</v>
      </c>
      <c r="CS35" s="1599">
        <f t="shared" ref="CS35:CS40" si="108">CR35</f>
        <v>-277.17912420709115</v>
      </c>
      <c r="CT35" s="1569">
        <f>-BS!CT126</f>
        <v>-76.791730269787124</v>
      </c>
      <c r="CU35" s="1569">
        <f>CT35-BS!CU126</f>
        <v>-156.61403018618233</v>
      </c>
      <c r="CV35" s="1569">
        <f>CU35-BS!CV126</f>
        <v>-239.42489387252732</v>
      </c>
      <c r="CW35" s="1569">
        <f>CV35-BS!CW126</f>
        <v>-325.21059515705878</v>
      </c>
      <c r="CX35" s="1599">
        <f t="shared" ref="CX35:CX40" si="109">CW35</f>
        <v>-325.21059515705878</v>
      </c>
      <c r="CZ35" s="697"/>
      <c r="DA35" s="769"/>
      <c r="DB35" s="1249"/>
      <c r="DC35" s="686"/>
    </row>
    <row r="36" spans="1:113" ht="10.5" hidden="1" customHeight="1" outlineLevel="1">
      <c r="A36" s="699" t="s">
        <v>381</v>
      </c>
      <c r="B36" s="699"/>
      <c r="C36" s="715"/>
      <c r="D36" s="715"/>
      <c r="E36" s="715"/>
      <c r="F36" s="715"/>
      <c r="G36" s="705">
        <f t="shared" si="90"/>
        <v>0</v>
      </c>
      <c r="H36" s="715"/>
      <c r="I36" s="715">
        <v>7.3449999999999998</v>
      </c>
      <c r="J36" s="715">
        <v>7.3449999999999998</v>
      </c>
      <c r="K36" s="715">
        <v>7.3449999999999998</v>
      </c>
      <c r="L36" s="705">
        <f t="shared" si="91"/>
        <v>7.3449999999999998</v>
      </c>
      <c r="M36" s="715"/>
      <c r="N36" s="715">
        <v>-16.5</v>
      </c>
      <c r="O36" s="715">
        <v>-16.5</v>
      </c>
      <c r="P36" s="715">
        <v>-16.5</v>
      </c>
      <c r="Q36" s="705">
        <f t="shared" si="92"/>
        <v>-16.5</v>
      </c>
      <c r="R36" s="715"/>
      <c r="S36" s="715">
        <v>-15.545</v>
      </c>
      <c r="T36" s="715">
        <v>-15.545</v>
      </c>
      <c r="U36" s="715">
        <v>-15.545</v>
      </c>
      <c r="V36" s="705">
        <f t="shared" si="93"/>
        <v>-15.545</v>
      </c>
      <c r="W36" s="715">
        <v>-9.5410000000000004</v>
      </c>
      <c r="X36" s="715">
        <v>-9.5410000000000004</v>
      </c>
      <c r="Y36" s="715">
        <v>-9.5410000000000004</v>
      </c>
      <c r="Z36" s="715">
        <v>-9.5410000000000004</v>
      </c>
      <c r="AA36" s="705">
        <f t="shared" si="94"/>
        <v>-9.5410000000000004</v>
      </c>
      <c r="AB36" s="715">
        <v>488.38299999999998</v>
      </c>
      <c r="AC36" s="687">
        <f>-26.477+AB36</f>
        <v>461.90600000000001</v>
      </c>
      <c r="AD36" s="687">
        <v>461.90600000000001</v>
      </c>
      <c r="AE36" s="687">
        <f>AD36</f>
        <v>461.90600000000001</v>
      </c>
      <c r="AF36" s="768">
        <f t="shared" si="95"/>
        <v>461.90600000000001</v>
      </c>
      <c r="AG36" s="687">
        <v>-3.0939999999999999</v>
      </c>
      <c r="AH36" s="687">
        <v>-67.369</v>
      </c>
      <c r="AI36" s="687">
        <v>-66.73</v>
      </c>
      <c r="AJ36" s="687">
        <f>AI36-8.798</f>
        <v>-75.528000000000006</v>
      </c>
      <c r="AK36" s="705">
        <f t="shared" si="96"/>
        <v>-75.528000000000006</v>
      </c>
      <c r="AL36" s="687">
        <v>0</v>
      </c>
      <c r="AM36" s="687">
        <f>AL36+0</f>
        <v>0</v>
      </c>
      <c r="AN36" s="687">
        <f>AM352</f>
        <v>0</v>
      </c>
      <c r="AO36" s="687">
        <f>-4.258+0.674</f>
        <v>-3.5840000000000001</v>
      </c>
      <c r="AP36" s="705">
        <f t="shared" si="97"/>
        <v>-3.5840000000000001</v>
      </c>
      <c r="AQ36" s="687">
        <v>0</v>
      </c>
      <c r="AR36" s="687">
        <v>0</v>
      </c>
      <c r="AS36" s="687">
        <v>0</v>
      </c>
      <c r="AT36" s="687">
        <f>AS36+AT90</f>
        <v>-1582.6690000000001</v>
      </c>
      <c r="AU36" s="705">
        <f t="shared" si="98"/>
        <v>-1582.6690000000001</v>
      </c>
      <c r="AV36" s="687">
        <v>0</v>
      </c>
      <c r="AW36" s="687">
        <f>AV36</f>
        <v>0</v>
      </c>
      <c r="AX36" s="687">
        <f>AW36</f>
        <v>0</v>
      </c>
      <c r="AY36" s="687">
        <f>AX36+-193.281</f>
        <v>-193.28100000000001</v>
      </c>
      <c r="AZ36" s="705">
        <f t="shared" si="99"/>
        <v>-193.28100000000001</v>
      </c>
      <c r="BA36" s="687">
        <v>-36.572000000000003</v>
      </c>
      <c r="BB36" s="687">
        <f>BA36-3.808</f>
        <v>-40.380000000000003</v>
      </c>
      <c r="BC36" s="687">
        <f>BB36-70.549</f>
        <v>-110.929</v>
      </c>
      <c r="BD36" s="687">
        <f>BC36-151.925</f>
        <v>-262.85400000000004</v>
      </c>
      <c r="BE36" s="705">
        <f t="shared" si="100"/>
        <v>-262.85400000000004</v>
      </c>
      <c r="BF36" s="687">
        <v>-353.18400000000003</v>
      </c>
      <c r="BG36" s="687">
        <f>0+BF36</f>
        <v>-353.18400000000003</v>
      </c>
      <c r="BH36" s="687">
        <f>BG36</f>
        <v>-353.18400000000003</v>
      </c>
      <c r="BI36" s="687">
        <f>BH36-0</f>
        <v>-353.18400000000003</v>
      </c>
      <c r="BJ36" s="705">
        <f t="shared" si="101"/>
        <v>-353.18400000000003</v>
      </c>
      <c r="BK36" s="687">
        <v>-96.355999999999995</v>
      </c>
      <c r="BL36" s="687">
        <f>BK36</f>
        <v>-96.355999999999995</v>
      </c>
      <c r="BM36" s="687">
        <f>BL36-608.019</f>
        <v>-704.375</v>
      </c>
      <c r="BN36" s="687">
        <v>-704.58900000000006</v>
      </c>
      <c r="BO36" s="705">
        <f t="shared" si="102"/>
        <v>-704.58900000000006</v>
      </c>
      <c r="BP36" s="687">
        <v>0</v>
      </c>
      <c r="BQ36" s="687">
        <v>0</v>
      </c>
      <c r="BR36" s="687">
        <v>0</v>
      </c>
      <c r="BS36" s="687">
        <v>-29.802</v>
      </c>
      <c r="BT36" s="705">
        <f t="shared" si="103"/>
        <v>-29.802</v>
      </c>
      <c r="BU36" s="687">
        <v>-800.34199999999998</v>
      </c>
      <c r="BV36" s="687">
        <v>-805.97899999999993</v>
      </c>
      <c r="BW36" s="687">
        <v>-826.00399999999991</v>
      </c>
      <c r="BX36" s="687">
        <v>-826.00399999999991</v>
      </c>
      <c r="BY36" s="705">
        <f t="shared" si="104"/>
        <v>-826.00399999999991</v>
      </c>
      <c r="BZ36" s="1106">
        <v>0</v>
      </c>
      <c r="CA36" s="1106">
        <f>+-48.427</f>
        <v>-48.427</v>
      </c>
      <c r="CB36" s="1106">
        <f>+-48.427</f>
        <v>-48.427</v>
      </c>
      <c r="CC36" s="1106">
        <f>CB36</f>
        <v>-48.427</v>
      </c>
      <c r="CD36" s="1613">
        <f t="shared" si="105"/>
        <v>-48.427</v>
      </c>
      <c r="CE36" s="1106">
        <v>-459.62599999999998</v>
      </c>
      <c r="CF36" s="1106">
        <v>-459.62599999999998</v>
      </c>
      <c r="CG36" s="1106">
        <f>+-459.626</f>
        <v>-459.62599999999998</v>
      </c>
      <c r="CH36" s="1106">
        <f>+-459.626</f>
        <v>-459.62599999999998</v>
      </c>
      <c r="CI36" s="1613">
        <f t="shared" si="106"/>
        <v>-459.62599999999998</v>
      </c>
      <c r="CJ36" s="1569">
        <v>0</v>
      </c>
      <c r="CK36" s="1569">
        <v>0</v>
      </c>
      <c r="CL36" s="1569">
        <v>0</v>
      </c>
      <c r="CM36" s="1569">
        <v>0</v>
      </c>
      <c r="CN36" s="1599">
        <f t="shared" si="107"/>
        <v>0</v>
      </c>
      <c r="CO36" s="1569">
        <v>0</v>
      </c>
      <c r="CP36" s="1569">
        <v>0</v>
      </c>
      <c r="CQ36" s="1569">
        <v>0</v>
      </c>
      <c r="CR36" s="1569">
        <v>0</v>
      </c>
      <c r="CS36" s="1599">
        <f t="shared" si="108"/>
        <v>0</v>
      </c>
      <c r="CT36" s="1569">
        <v>0</v>
      </c>
      <c r="CU36" s="1569">
        <v>0</v>
      </c>
      <c r="CV36" s="1569">
        <v>0</v>
      </c>
      <c r="CW36" s="1569">
        <v>0</v>
      </c>
      <c r="CX36" s="1599">
        <f t="shared" si="109"/>
        <v>0</v>
      </c>
      <c r="CZ36" s="697"/>
      <c r="DA36" s="769"/>
      <c r="DB36" s="697"/>
      <c r="DC36" s="686"/>
    </row>
    <row r="37" spans="1:113" ht="10.5" hidden="1" customHeight="1" outlineLevel="1">
      <c r="A37" s="699" t="s">
        <v>629</v>
      </c>
      <c r="B37" s="699"/>
      <c r="C37" s="715"/>
      <c r="D37" s="715"/>
      <c r="E37" s="715"/>
      <c r="F37" s="715">
        <f>-436.333+456.915-35.338</f>
        <v>-14.756000000000007</v>
      </c>
      <c r="G37" s="705">
        <f t="shared" si="90"/>
        <v>-14.756000000000007</v>
      </c>
      <c r="H37" s="715">
        <f>-380.564+333.55-3.018</f>
        <v>-50.032000000000011</v>
      </c>
      <c r="I37" s="715">
        <f>-850.683+726.599-10.001</f>
        <v>-134.08499999999995</v>
      </c>
      <c r="J37" s="715">
        <f>-449.882+298.667-13.714</f>
        <v>-164.92900000000003</v>
      </c>
      <c r="K37" s="715">
        <f>-579.154+487.391-37.951</f>
        <v>-129.71399999999997</v>
      </c>
      <c r="L37" s="705">
        <f t="shared" si="91"/>
        <v>-129.71399999999997</v>
      </c>
      <c r="M37" s="715">
        <f>-124.464+45.568-2.193</f>
        <v>-81.088999999999999</v>
      </c>
      <c r="N37" s="715">
        <f>-329.461+122.644-6.106</f>
        <v>-212.923</v>
      </c>
      <c r="O37" s="715">
        <f>-483.268+206.366-6.7</f>
        <v>-283.60199999999992</v>
      </c>
      <c r="P37" s="715">
        <f>-907.231+428.429-20.699</f>
        <v>-499.50100000000003</v>
      </c>
      <c r="Q37" s="705">
        <f t="shared" si="92"/>
        <v>-499.50100000000003</v>
      </c>
      <c r="R37" s="715">
        <f>-394.307+255.342-4.305</f>
        <v>-143.27000000000001</v>
      </c>
      <c r="S37" s="715">
        <f>-702.047+535.13-11.07</f>
        <v>-177.98700000000002</v>
      </c>
      <c r="T37" s="715">
        <f>-955.732+914.016-19.024</f>
        <v>-60.740000000000009</v>
      </c>
      <c r="U37" s="715">
        <v>-194.01</v>
      </c>
      <c r="V37" s="705">
        <f t="shared" si="93"/>
        <v>-194.01</v>
      </c>
      <c r="W37" s="715">
        <f>-569.644+33.905+339.223</f>
        <v>-196.51600000000002</v>
      </c>
      <c r="X37" s="715">
        <f>-1130.389+102.41+643.064</f>
        <v>-384.91499999999985</v>
      </c>
      <c r="Y37" s="715">
        <f>-1571.668+217.855+966.312</f>
        <v>-387.50099999999986</v>
      </c>
      <c r="Z37" s="715">
        <f>-1851.962+1620.873</f>
        <v>-231.08899999999994</v>
      </c>
      <c r="AA37" s="705">
        <f t="shared" si="94"/>
        <v>-231.08899999999994</v>
      </c>
      <c r="AB37" s="715">
        <f>-666.727+113.88+363.302</f>
        <v>-189.54499999999996</v>
      </c>
      <c r="AC37" s="687">
        <f>-275.295+279.974+64.055+AB37</f>
        <v>-120.81099999999998</v>
      </c>
      <c r="AD37" s="687">
        <f>275.965+749.495+8.49-1084.547</f>
        <v>-50.59699999999998</v>
      </c>
      <c r="AE37" s="687">
        <f>(-515.209+81.81+281.512+82.302)+AD37</f>
        <v>-120.18199999999992</v>
      </c>
      <c r="AF37" s="768">
        <f t="shared" si="95"/>
        <v>-120.18199999999992</v>
      </c>
      <c r="AG37" s="687">
        <f>207+129.765-586.305</f>
        <v>-249.53999999999996</v>
      </c>
      <c r="AH37" s="687">
        <f>-820.411+223.825+679.697-80.439</f>
        <v>2.671999999999997</v>
      </c>
      <c r="AI37" s="687">
        <f>-1755.079+335.895+1531.651-85.173</f>
        <v>27.294000000000096</v>
      </c>
      <c r="AJ37" s="687">
        <f>AI37+358.572</f>
        <v>385.8660000000001</v>
      </c>
      <c r="AK37" s="705">
        <f t="shared" si="96"/>
        <v>385.8660000000001</v>
      </c>
      <c r="AL37" s="687">
        <f>-224.645+197.379+389.858</f>
        <v>362.59199999999998</v>
      </c>
      <c r="AM37" s="687">
        <f>AL37+0</f>
        <v>362.59199999999998</v>
      </c>
      <c r="AN37" s="687">
        <f>AM37-168.586</f>
        <v>194.00599999999997</v>
      </c>
      <c r="AO37" s="687">
        <f>1568.874+717.076+30.747</f>
        <v>2316.6969999999997</v>
      </c>
      <c r="AP37" s="705">
        <f t="shared" si="97"/>
        <v>2316.6969999999997</v>
      </c>
      <c r="AQ37" s="687">
        <v>-107.839</v>
      </c>
      <c r="AR37" s="687">
        <f>AQ37-203.571</f>
        <v>-311.40999999999997</v>
      </c>
      <c r="AS37" s="687">
        <f>AR37+7.572</f>
        <v>-303.83799999999997</v>
      </c>
      <c r="AT37" s="687">
        <f>AS37+AT91</f>
        <v>213.84100000000001</v>
      </c>
      <c r="AU37" s="705">
        <f t="shared" si="98"/>
        <v>213.84100000000001</v>
      </c>
      <c r="AV37" s="687">
        <v>-180.48500000000001</v>
      </c>
      <c r="AW37" s="687">
        <f>AV37-417.86</f>
        <v>-598.34500000000003</v>
      </c>
      <c r="AX37" s="687">
        <f>AW37-258.789</f>
        <v>-857.13400000000001</v>
      </c>
      <c r="AY37" s="687">
        <f>AX37+34.326</f>
        <v>-822.80799999999999</v>
      </c>
      <c r="AZ37" s="705">
        <f t="shared" si="99"/>
        <v>-822.80799999999999</v>
      </c>
      <c r="BA37" s="687">
        <f>-23.374-2.758</f>
        <v>-26.131999999999998</v>
      </c>
      <c r="BB37" s="687">
        <f>BA37-61.166</f>
        <v>-87.298000000000002</v>
      </c>
      <c r="BC37" s="687">
        <f>BB37-161.163</f>
        <v>-248.46100000000001</v>
      </c>
      <c r="BD37" s="687">
        <f>BC37+18.826</f>
        <v>-229.63500000000002</v>
      </c>
      <c r="BE37" s="705">
        <f t="shared" si="100"/>
        <v>-229.63500000000002</v>
      </c>
      <c r="BF37" s="687">
        <f>-32.418+-1.017</f>
        <v>-33.435000000000002</v>
      </c>
      <c r="BG37" s="687">
        <f>-106.627+19.134+BF37</f>
        <v>-120.928</v>
      </c>
      <c r="BH37" s="687">
        <f>BG37-37.426-4.362</f>
        <v>-162.71599999999998</v>
      </c>
      <c r="BI37" s="687">
        <f>BH37-33.25-14.436</f>
        <v>-210.40199999999999</v>
      </c>
      <c r="BJ37" s="705">
        <f t="shared" si="101"/>
        <v>-210.40199999999999</v>
      </c>
      <c r="BK37" s="687">
        <f>-245.775-43.793</f>
        <v>-289.56799999999998</v>
      </c>
      <c r="BL37" s="687">
        <f>BK37-275.455+-12.735</f>
        <v>-577.75799999999992</v>
      </c>
      <c r="BM37" s="687">
        <f>BL37+262.478-4.896</f>
        <v>-320.17599999999993</v>
      </c>
      <c r="BN37" s="687">
        <f>-2058.058+360.485+1449.961+6.233-67.737</f>
        <v>-309.11599999999987</v>
      </c>
      <c r="BO37" s="705">
        <f t="shared" si="102"/>
        <v>-309.11599999999987</v>
      </c>
      <c r="BP37" s="687">
        <f>-61.746-3.283</f>
        <v>-65.028999999999996</v>
      </c>
      <c r="BQ37" s="687">
        <f>BP37-117.967-2.767</f>
        <v>-185.76299999999998</v>
      </c>
      <c r="BR37" s="687">
        <f>BQ37-110.346-5.082</f>
        <v>-301.19099999999997</v>
      </c>
      <c r="BS37" s="687">
        <f>BR37-8.474-2.908</f>
        <v>-312.57299999999998</v>
      </c>
      <c r="BT37" s="705">
        <f t="shared" si="103"/>
        <v>-312.57299999999998</v>
      </c>
      <c r="BU37" s="687">
        <f>152.402-14.885</f>
        <v>137.517</v>
      </c>
      <c r="BV37" s="687">
        <v>139.97499999999999</v>
      </c>
      <c r="BW37" s="687">
        <v>-256.10699999999997</v>
      </c>
      <c r="BX37" s="687">
        <f>-2064.833+371.79+1176.476</f>
        <v>-516.56700000000001</v>
      </c>
      <c r="BY37" s="705">
        <f t="shared" si="104"/>
        <v>-516.56700000000001</v>
      </c>
      <c r="BZ37" s="1106">
        <f>-534.31+178.939+194.515</f>
        <v>-160.85599999999999</v>
      </c>
      <c r="CA37" s="1106">
        <f>+-1126.282+366.442+450.187</f>
        <v>-309.65299999999991</v>
      </c>
      <c r="CB37" s="1106">
        <f>+-1813.509+557.769+698.486</f>
        <v>-557.25400000000002</v>
      </c>
      <c r="CC37" s="1106">
        <f>CB37-97.891</f>
        <v>-655.14499999999998</v>
      </c>
      <c r="CD37" s="1613">
        <f t="shared" si="105"/>
        <v>-655.14499999999998</v>
      </c>
      <c r="CE37" s="1106">
        <f>-476.014+219.091+426.243</f>
        <v>169.32</v>
      </c>
      <c r="CF37" s="1106">
        <f>+-1013.823+409.83+743.234</f>
        <v>139.2410000000001</v>
      </c>
      <c r="CG37" s="1106">
        <f>+-1419.411+601.13+978.737</f>
        <v>160.4559999999999</v>
      </c>
      <c r="CH37" s="1106">
        <f>+-1931.011+759.737+1393.929+2.134</f>
        <v>224.78900000000019</v>
      </c>
      <c r="CI37" s="1613">
        <f t="shared" si="106"/>
        <v>224.78900000000019</v>
      </c>
      <c r="CJ37" s="1569">
        <v>7.8940000000000001</v>
      </c>
      <c r="CK37" s="1569">
        <f>CJ37+(BS!CJ9-BS!CK9)</f>
        <v>7.8940000000000001</v>
      </c>
      <c r="CL37" s="1569">
        <f>CK37+(BS!CK9-BS!CL9)</f>
        <v>7.8940000000000001</v>
      </c>
      <c r="CM37" s="1569">
        <f>CL37+(BS!CL9-BS!CM9)</f>
        <v>7.8940000000000001</v>
      </c>
      <c r="CN37" s="1599">
        <f t="shared" si="107"/>
        <v>7.8940000000000001</v>
      </c>
      <c r="CO37" s="1569">
        <f>(BS!CN9-BS!CO9)</f>
        <v>0</v>
      </c>
      <c r="CP37" s="1569">
        <f>CO37+(BS!CO9-BS!CP9)</f>
        <v>0</v>
      </c>
      <c r="CQ37" s="1569">
        <f>CP37+(BS!CP9-BS!CQ9)</f>
        <v>0</v>
      </c>
      <c r="CR37" s="1569">
        <f>CQ37+(BS!CQ9-BS!CR9)</f>
        <v>0</v>
      </c>
      <c r="CS37" s="1599">
        <f t="shared" si="108"/>
        <v>0</v>
      </c>
      <c r="CT37" s="1569">
        <f>(BS!CS9-BS!CT9)</f>
        <v>0</v>
      </c>
      <c r="CU37" s="1569">
        <f>CT37+(BS!CT9-BS!CU9)</f>
        <v>0</v>
      </c>
      <c r="CV37" s="1569">
        <f>CU37+(BS!CU9-BS!CV9)</f>
        <v>0</v>
      </c>
      <c r="CW37" s="1569">
        <f>CV37+(BS!CV9-BS!CW9)</f>
        <v>0</v>
      </c>
      <c r="CX37" s="1599">
        <f t="shared" si="109"/>
        <v>0</v>
      </c>
      <c r="CZ37" s="697"/>
      <c r="DA37" s="769"/>
      <c r="DB37" s="697"/>
      <c r="DC37" s="686"/>
    </row>
    <row r="38" spans="1:113" ht="10.5" hidden="1" customHeight="1" outlineLevel="1">
      <c r="A38" s="699" t="s">
        <v>701</v>
      </c>
      <c r="B38" s="699"/>
      <c r="C38" s="715"/>
      <c r="D38" s="715"/>
      <c r="E38" s="715"/>
      <c r="F38" s="715">
        <v>31.504999999999999</v>
      </c>
      <c r="G38" s="705">
        <f t="shared" si="90"/>
        <v>31.504999999999999</v>
      </c>
      <c r="H38" s="715">
        <v>10.308</v>
      </c>
      <c r="I38" s="715">
        <v>11.013</v>
      </c>
      <c r="J38" s="715">
        <v>11.683999999999999</v>
      </c>
      <c r="K38" s="715">
        <v>11.683999999999999</v>
      </c>
      <c r="L38" s="705">
        <f t="shared" si="91"/>
        <v>11.683999999999999</v>
      </c>
      <c r="M38" s="715">
        <v>1.764</v>
      </c>
      <c r="N38" s="715">
        <v>2.3010000000000002</v>
      </c>
      <c r="O38" s="715">
        <v>2.3210000000000002</v>
      </c>
      <c r="P38" s="715">
        <v>7.0629999999999997</v>
      </c>
      <c r="Q38" s="705">
        <f t="shared" si="92"/>
        <v>7.0629999999999997</v>
      </c>
      <c r="R38" s="715"/>
      <c r="S38" s="715">
        <v>3.145</v>
      </c>
      <c r="T38" s="715">
        <v>3.145</v>
      </c>
      <c r="U38" s="715">
        <v>5.9329999999999998</v>
      </c>
      <c r="V38" s="705">
        <f t="shared" si="93"/>
        <v>5.9329999999999998</v>
      </c>
      <c r="W38" s="715">
        <v>-9.9309999999999992</v>
      </c>
      <c r="X38" s="715">
        <v>-16.884</v>
      </c>
      <c r="Y38" s="715">
        <f>-24.338+1.241</f>
        <v>-23.097000000000001</v>
      </c>
      <c r="Z38" s="715">
        <v>-32.195999999999998</v>
      </c>
      <c r="AA38" s="705">
        <f t="shared" si="94"/>
        <v>-32.195999999999998</v>
      </c>
      <c r="AB38" s="715">
        <v>-5.2220000000000004</v>
      </c>
      <c r="AC38" s="687">
        <f>-9.507+8.49+AB38</f>
        <v>-6.2389999999999999</v>
      </c>
      <c r="AD38" s="687">
        <v>-18.594999999999999</v>
      </c>
      <c r="AE38" s="687">
        <f>-26.613+AD38</f>
        <v>-45.207999999999998</v>
      </c>
      <c r="AF38" s="768">
        <f t="shared" si="95"/>
        <v>-45.207999999999998</v>
      </c>
      <c r="AG38" s="687">
        <v>-8.9149999999999991</v>
      </c>
      <c r="AH38" s="687">
        <v>-32.680999999999997</v>
      </c>
      <c r="AI38" s="687">
        <v>-80.438999999999993</v>
      </c>
      <c r="AJ38" s="687">
        <f>AI38-25.002</f>
        <v>-105.44099999999999</v>
      </c>
      <c r="AK38" s="705">
        <f t="shared" si="96"/>
        <v>-105.44099999999999</v>
      </c>
      <c r="AL38" s="687">
        <f>-14.4+6.847</f>
        <v>-7.5529999999999999</v>
      </c>
      <c r="AM38" s="687">
        <f>AL38+-27.1-19.599</f>
        <v>-54.251999999999995</v>
      </c>
      <c r="AN38" s="687">
        <f>AM38-56.792</f>
        <v>-111.044</v>
      </c>
      <c r="AO38" s="687">
        <f>-2381.533-124.469</f>
        <v>-2506.002</v>
      </c>
      <c r="AP38" s="705">
        <f t="shared" si="97"/>
        <v>-2506.002</v>
      </c>
      <c r="AQ38" s="687">
        <v>-7.8070000000000004</v>
      </c>
      <c r="AR38" s="687">
        <f>-3.869+AQ38</f>
        <v>-11.676</v>
      </c>
      <c r="AS38" s="687">
        <f>AR38-5.035</f>
        <v>-16.710999999999999</v>
      </c>
      <c r="AT38" s="687">
        <f>AS38+AT92</f>
        <v>-8.6759999999999984</v>
      </c>
      <c r="AU38" s="705">
        <f t="shared" si="98"/>
        <v>-8.6759999999999984</v>
      </c>
      <c r="AV38" s="687">
        <v>-2.6869999999999998</v>
      </c>
      <c r="AW38" s="687">
        <f>AV38-13.415</f>
        <v>-16.102</v>
      </c>
      <c r="AX38" s="687">
        <f>AW38-0.99</f>
        <v>-17.091999999999999</v>
      </c>
      <c r="AY38" s="687">
        <f>AX38+11.378</f>
        <v>-5.7139999999999986</v>
      </c>
      <c r="AZ38" s="705">
        <f t="shared" si="99"/>
        <v>-5.7139999999999986</v>
      </c>
      <c r="BA38" s="687">
        <v>0</v>
      </c>
      <c r="BB38" s="687">
        <v>0</v>
      </c>
      <c r="BC38" s="687">
        <f>BB38-2.935</f>
        <v>-2.9350000000000001</v>
      </c>
      <c r="BD38" s="687">
        <f>BC38-51.684</f>
        <v>-54.619</v>
      </c>
      <c r="BE38" s="705">
        <f t="shared" si="100"/>
        <v>-54.619</v>
      </c>
      <c r="BF38" s="687">
        <v>0</v>
      </c>
      <c r="BG38" s="687">
        <f>BF38</f>
        <v>0</v>
      </c>
      <c r="BH38" s="687">
        <f>BG38</f>
        <v>0</v>
      </c>
      <c r="BI38" s="687">
        <v>0</v>
      </c>
      <c r="BJ38" s="705">
        <f t="shared" si="101"/>
        <v>0</v>
      </c>
      <c r="BK38" s="687">
        <v>0</v>
      </c>
      <c r="BL38" s="687">
        <v>0</v>
      </c>
      <c r="BM38" s="687">
        <f>BL38</f>
        <v>0</v>
      </c>
      <c r="BN38" s="687">
        <f>BM38</f>
        <v>0</v>
      </c>
      <c r="BO38" s="705">
        <f t="shared" si="102"/>
        <v>0</v>
      </c>
      <c r="BP38" s="687">
        <v>0</v>
      </c>
      <c r="BQ38" s="687">
        <v>0</v>
      </c>
      <c r="BR38" s="687">
        <v>0</v>
      </c>
      <c r="BS38" s="687">
        <v>0</v>
      </c>
      <c r="BT38" s="705">
        <f t="shared" si="103"/>
        <v>0</v>
      </c>
      <c r="BU38" s="687">
        <v>0</v>
      </c>
      <c r="BV38" s="687">
        <v>0</v>
      </c>
      <c r="BW38" s="687">
        <v>0</v>
      </c>
      <c r="BX38" s="687">
        <f>57.779+4.149-22.779</f>
        <v>39.149000000000001</v>
      </c>
      <c r="BY38" s="705">
        <f t="shared" si="104"/>
        <v>39.149000000000001</v>
      </c>
      <c r="BZ38" s="1106">
        <v>-51.892000000000003</v>
      </c>
      <c r="CA38" s="1106">
        <f>+-52.563</f>
        <v>-52.563000000000002</v>
      </c>
      <c r="CB38" s="1106">
        <f>+-56.413</f>
        <v>-56.412999999999997</v>
      </c>
      <c r="CC38" s="1106">
        <f>CB38+3.426</f>
        <v>-52.986999999999995</v>
      </c>
      <c r="CD38" s="1613">
        <f t="shared" si="105"/>
        <v>-52.986999999999995</v>
      </c>
      <c r="CE38" s="1106">
        <v>-18.218</v>
      </c>
      <c r="CF38" s="1106">
        <f>+-20.608</f>
        <v>-20.608000000000001</v>
      </c>
      <c r="CG38" s="1106">
        <f>+-25.669</f>
        <v>-25.669</v>
      </c>
      <c r="CH38" s="1106">
        <f>+-29.918</f>
        <v>-29.917999999999999</v>
      </c>
      <c r="CI38" s="1613">
        <f t="shared" si="106"/>
        <v>-29.917999999999999</v>
      </c>
      <c r="CJ38" s="1569">
        <f>+-6.514</f>
        <v>-6.5140000000000002</v>
      </c>
      <c r="CK38" s="1569">
        <f>CJ38</f>
        <v>-6.5140000000000002</v>
      </c>
      <c r="CL38" s="1569">
        <f>CK38</f>
        <v>-6.5140000000000002</v>
      </c>
      <c r="CM38" s="1569">
        <f>CL38</f>
        <v>-6.5140000000000002</v>
      </c>
      <c r="CN38" s="1599">
        <f t="shared" si="107"/>
        <v>-6.5140000000000002</v>
      </c>
      <c r="CO38" s="1569">
        <v>0</v>
      </c>
      <c r="CP38" s="1569">
        <f>CO38</f>
        <v>0</v>
      </c>
      <c r="CQ38" s="1569">
        <f>CP38</f>
        <v>0</v>
      </c>
      <c r="CR38" s="1569">
        <f>CQ38</f>
        <v>0</v>
      </c>
      <c r="CS38" s="1599">
        <f t="shared" si="108"/>
        <v>0</v>
      </c>
      <c r="CT38" s="1569">
        <v>0</v>
      </c>
      <c r="CU38" s="1569">
        <f>CT38</f>
        <v>0</v>
      </c>
      <c r="CV38" s="1569">
        <f>CU38</f>
        <v>0</v>
      </c>
      <c r="CW38" s="1569">
        <f>CV38</f>
        <v>0</v>
      </c>
      <c r="CX38" s="1599">
        <f t="shared" si="109"/>
        <v>0</v>
      </c>
      <c r="CZ38" s="697"/>
      <c r="DA38" s="769"/>
      <c r="DB38" s="697"/>
      <c r="DC38" s="686"/>
    </row>
    <row r="39" spans="1:113" ht="10.5" hidden="1" customHeight="1" outlineLevel="1">
      <c r="A39" s="699" t="s">
        <v>767</v>
      </c>
      <c r="B39" s="699"/>
      <c r="C39" s="715"/>
      <c r="D39" s="715"/>
      <c r="E39" s="715"/>
      <c r="F39" s="715"/>
      <c r="G39" s="705">
        <f t="shared" si="90"/>
        <v>0</v>
      </c>
      <c r="H39" s="715">
        <v>-9.0310000000000006</v>
      </c>
      <c r="I39" s="715">
        <v>-12.356999999999999</v>
      </c>
      <c r="J39" s="715">
        <v>-15.529</v>
      </c>
      <c r="K39" s="715"/>
      <c r="L39" s="705">
        <f t="shared" si="91"/>
        <v>0</v>
      </c>
      <c r="M39" s="715">
        <v>-1.323</v>
      </c>
      <c r="N39" s="715">
        <v>-4.694</v>
      </c>
      <c r="O39" s="715">
        <v>-9.1590000000000007</v>
      </c>
      <c r="P39" s="715"/>
      <c r="Q39" s="705">
        <f t="shared" si="92"/>
        <v>0</v>
      </c>
      <c r="R39" s="715"/>
      <c r="S39" s="715"/>
      <c r="T39" s="715">
        <v>-126.8</v>
      </c>
      <c r="U39" s="715">
        <v>-126.8</v>
      </c>
      <c r="V39" s="705">
        <f t="shared" si="93"/>
        <v>-126.8</v>
      </c>
      <c r="W39" s="715"/>
      <c r="X39" s="715">
        <v>0.157</v>
      </c>
      <c r="Y39" s="715">
        <f>BS!U20-BS!Y20</f>
        <v>0</v>
      </c>
      <c r="Z39" s="715">
        <v>1.3380000000000001</v>
      </c>
      <c r="AA39" s="705">
        <f t="shared" si="94"/>
        <v>1.3380000000000001</v>
      </c>
      <c r="AB39" s="715"/>
      <c r="AC39" s="687"/>
      <c r="AD39" s="687"/>
      <c r="AE39" s="687"/>
      <c r="AF39" s="768">
        <f t="shared" si="95"/>
        <v>0</v>
      </c>
      <c r="AG39" s="687"/>
      <c r="AH39" s="687">
        <v>11.32</v>
      </c>
      <c r="AI39" s="687">
        <f>11.31-0.838</f>
        <v>10.472000000000001</v>
      </c>
      <c r="AJ39" s="687">
        <f>AI39+BS!AI20-BS!AJ20</f>
        <v>10.472000000000008</v>
      </c>
      <c r="AK39" s="705">
        <f t="shared" si="96"/>
        <v>10.472000000000008</v>
      </c>
      <c r="AL39" s="687"/>
      <c r="AM39" s="687"/>
      <c r="AN39" s="687">
        <f>AM39+BS!AM20-BS!AN20</f>
        <v>0</v>
      </c>
      <c r="AO39" s="687">
        <v>0</v>
      </c>
      <c r="AP39" s="705">
        <f t="shared" si="97"/>
        <v>0</v>
      </c>
      <c r="AQ39" s="687">
        <f>BS!AP20-BS!AQ20</f>
        <v>0</v>
      </c>
      <c r="AR39" s="687">
        <v>0</v>
      </c>
      <c r="AS39" s="687">
        <v>0</v>
      </c>
      <c r="AT39" s="687">
        <f>AS39+AT93</f>
        <v>0</v>
      </c>
      <c r="AU39" s="705">
        <f t="shared" si="98"/>
        <v>0</v>
      </c>
      <c r="AV39" s="687">
        <v>0</v>
      </c>
      <c r="AW39" s="687">
        <f>AV39+BS!AV20-BS!AW20</f>
        <v>0</v>
      </c>
      <c r="AX39" s="687">
        <v>0</v>
      </c>
      <c r="AY39" s="687">
        <f>AX39</f>
        <v>0</v>
      </c>
      <c r="AZ39" s="705">
        <f t="shared" si="99"/>
        <v>0</v>
      </c>
      <c r="BA39" s="687">
        <v>0</v>
      </c>
      <c r="BB39" s="687">
        <v>0</v>
      </c>
      <c r="BC39" s="687">
        <v>0</v>
      </c>
      <c r="BD39" s="687">
        <f>BC39+BS!BC20-BS!BD20</f>
        <v>0</v>
      </c>
      <c r="BE39" s="705">
        <f t="shared" si="100"/>
        <v>0</v>
      </c>
      <c r="BF39" s="687">
        <f>BS!BE20-BS!BF20</f>
        <v>0</v>
      </c>
      <c r="BG39" s="687">
        <f>BF39+BS!BF20-BS!BG20</f>
        <v>0</v>
      </c>
      <c r="BH39" s="687">
        <f>BG39+BS!BG20-BS!BH20</f>
        <v>0</v>
      </c>
      <c r="BI39" s="687">
        <v>0</v>
      </c>
      <c r="BJ39" s="705">
        <f t="shared" si="101"/>
        <v>0</v>
      </c>
      <c r="BK39" s="687">
        <v>0</v>
      </c>
      <c r="BL39" s="687">
        <v>0</v>
      </c>
      <c r="BM39" s="687">
        <f>BL39+BS!BL20-BS!BM20</f>
        <v>0</v>
      </c>
      <c r="BN39" s="687">
        <v>24.26</v>
      </c>
      <c r="BO39" s="705">
        <f t="shared" si="102"/>
        <v>24.26</v>
      </c>
      <c r="BP39" s="687">
        <v>0</v>
      </c>
      <c r="BQ39" s="687">
        <v>0</v>
      </c>
      <c r="BR39" s="687">
        <v>0</v>
      </c>
      <c r="BS39" s="687">
        <v>0</v>
      </c>
      <c r="BT39" s="705">
        <f t="shared" si="103"/>
        <v>0</v>
      </c>
      <c r="BU39" s="687">
        <v>0</v>
      </c>
      <c r="BV39" s="687">
        <v>0</v>
      </c>
      <c r="BW39" s="687">
        <v>0</v>
      </c>
      <c r="BX39" s="687">
        <v>0</v>
      </c>
      <c r="BY39" s="705">
        <f t="shared" si="104"/>
        <v>0</v>
      </c>
      <c r="BZ39" s="1106">
        <v>0.106</v>
      </c>
      <c r="CA39" s="1106">
        <v>0.255</v>
      </c>
      <c r="CB39" s="1106">
        <v>0.33100000000000002</v>
      </c>
      <c r="CC39" s="1106">
        <f>CB39</f>
        <v>0.33100000000000002</v>
      </c>
      <c r="CD39" s="1613">
        <f t="shared" si="105"/>
        <v>0.33100000000000002</v>
      </c>
      <c r="CE39" s="1106">
        <v>0.54500000000000004</v>
      </c>
      <c r="CF39" s="1106">
        <v>0.76400000000000001</v>
      </c>
      <c r="CG39" s="1106">
        <v>2.0339999999999998</v>
      </c>
      <c r="CH39" s="1106">
        <v>0</v>
      </c>
      <c r="CI39" s="1613">
        <f t="shared" si="106"/>
        <v>0</v>
      </c>
      <c r="CJ39" s="1569">
        <v>0</v>
      </c>
      <c r="CK39" s="1569">
        <f>CJ39+BS!CJ20-BS!CK20</f>
        <v>0</v>
      </c>
      <c r="CL39" s="1569">
        <f>CK39+BS!CK20-BS!CL20</f>
        <v>0</v>
      </c>
      <c r="CM39" s="1569">
        <f>CL39+BS!CL20-BS!CM20</f>
        <v>0</v>
      </c>
      <c r="CN39" s="1599">
        <f t="shared" si="107"/>
        <v>0</v>
      </c>
      <c r="CO39" s="1569">
        <f>BS!CN20-BS!CO20</f>
        <v>0</v>
      </c>
      <c r="CP39" s="1569">
        <f>CO39+BS!CO20-BS!CP20</f>
        <v>0</v>
      </c>
      <c r="CQ39" s="1569">
        <f>CP39+BS!CP20-BS!CQ20</f>
        <v>0</v>
      </c>
      <c r="CR39" s="1569">
        <f>CQ39+BS!CQ20-BS!CR20</f>
        <v>0</v>
      </c>
      <c r="CS39" s="1599">
        <f t="shared" si="108"/>
        <v>0</v>
      </c>
      <c r="CT39" s="1569">
        <f>BS!CS20-BS!CT20</f>
        <v>0</v>
      </c>
      <c r="CU39" s="1569">
        <f>CT39+BS!CT20-BS!CU20</f>
        <v>0</v>
      </c>
      <c r="CV39" s="1569">
        <f>CU39+BS!CU20-BS!CV20</f>
        <v>0</v>
      </c>
      <c r="CW39" s="1569">
        <f>CV39+BS!CV20-BS!CW20</f>
        <v>0</v>
      </c>
      <c r="CX39" s="1599">
        <f t="shared" si="109"/>
        <v>0</v>
      </c>
      <c r="CZ39" s="697"/>
      <c r="DA39" s="769"/>
      <c r="DB39" s="697"/>
      <c r="DC39" s="686"/>
    </row>
    <row r="40" spans="1:113" ht="10.5" hidden="1" customHeight="1" outlineLevel="1">
      <c r="A40" s="706" t="s">
        <v>746</v>
      </c>
      <c r="B40" s="706"/>
      <c r="C40" s="707">
        <v>-40.957000000000001</v>
      </c>
      <c r="D40" s="707">
        <v>-3.597</v>
      </c>
      <c r="E40" s="707">
        <v>67.561000000000007</v>
      </c>
      <c r="F40" s="707">
        <f>SUM(F35:F39)</f>
        <v>-26.425000000000008</v>
      </c>
      <c r="G40" s="765">
        <f t="shared" si="90"/>
        <v>-26.425000000000008</v>
      </c>
      <c r="H40" s="707">
        <f>SUM(H35:H39)</f>
        <v>-54.484000000000009</v>
      </c>
      <c r="I40" s="707">
        <f>SUM(I35:I39)</f>
        <v>-141.07399999999996</v>
      </c>
      <c r="J40" s="707">
        <f>SUM(J35:J39)</f>
        <v>-181.69700000000003</v>
      </c>
      <c r="K40" s="707">
        <f>SUM(K35:K39)</f>
        <v>-142.26299999999998</v>
      </c>
      <c r="L40" s="765">
        <f t="shared" si="91"/>
        <v>-142.26299999999998</v>
      </c>
      <c r="M40" s="707">
        <f>SUM(M35:M39)</f>
        <v>-88.137999999999991</v>
      </c>
      <c r="N40" s="707">
        <f>SUM(N35:N39)</f>
        <v>-250.99800000000002</v>
      </c>
      <c r="O40" s="707">
        <f>SUM(O35:O39)</f>
        <v>-333.80399999999986</v>
      </c>
      <c r="P40" s="707">
        <f>SUM(P35:P39)</f>
        <v>-548.39200000000005</v>
      </c>
      <c r="Q40" s="765">
        <f t="shared" si="92"/>
        <v>-548.39200000000005</v>
      </c>
      <c r="R40" s="707">
        <f>SUM(R35:R39)</f>
        <v>-157.714</v>
      </c>
      <c r="S40" s="707">
        <f>SUM(S35:S39)</f>
        <v>-217.322</v>
      </c>
      <c r="T40" s="707">
        <f>SUM(T35:T39)</f>
        <v>-241.292</v>
      </c>
      <c r="U40" s="707">
        <f>SUM(U35:U39)</f>
        <v>-393.64800000000002</v>
      </c>
      <c r="V40" s="765">
        <f t="shared" si="93"/>
        <v>-393.64800000000002</v>
      </c>
      <c r="W40" s="707">
        <f>SUM(W35:W39)</f>
        <v>-227.50000000000003</v>
      </c>
      <c r="X40" s="707">
        <f>SUM(X35:X39)</f>
        <v>-431.8189999999999</v>
      </c>
      <c r="Y40" s="707">
        <f>SUM(Y35:Y39)</f>
        <v>-458.24499999999983</v>
      </c>
      <c r="Z40" s="707">
        <f>SUM(Z35:Z39)</f>
        <v>-320.36299999999989</v>
      </c>
      <c r="AA40" s="765">
        <f t="shared" si="94"/>
        <v>-320.36299999999989</v>
      </c>
      <c r="AB40" s="707">
        <f>SUM(AB35:AB39)</f>
        <v>281.98200000000003</v>
      </c>
      <c r="AC40" s="707">
        <f>SUM(AC35:AC39)</f>
        <v>303.53900000000004</v>
      </c>
      <c r="AD40" s="707">
        <f>SUM(AD35:AD39)</f>
        <v>342.54500000000007</v>
      </c>
      <c r="AE40" s="707">
        <f>SUM(AE35:AE39)</f>
        <v>222.79800000000009</v>
      </c>
      <c r="AF40" s="765">
        <f t="shared" si="95"/>
        <v>222.79800000000009</v>
      </c>
      <c r="AG40" s="707">
        <f>SUM(AG35:AG39)</f>
        <v>-309.84899999999999</v>
      </c>
      <c r="AH40" s="707">
        <f>SUM(AH35:AH39)</f>
        <v>-157.84200000000004</v>
      </c>
      <c r="AI40" s="707">
        <f>SUM(AI35:AI39)</f>
        <v>-213.34699999999989</v>
      </c>
      <c r="AJ40" s="707">
        <f>SUM(AJ35:AJ39)</f>
        <v>83.294000000000111</v>
      </c>
      <c r="AK40" s="765">
        <f t="shared" si="96"/>
        <v>83.294000000000111</v>
      </c>
      <c r="AL40" s="707">
        <f>SUM(AL35:AL39)</f>
        <v>328.77099999999996</v>
      </c>
      <c r="AM40" s="707">
        <f>SUM(AM35:AM39)</f>
        <v>259.66899999999998</v>
      </c>
      <c r="AN40" s="707">
        <f>SUM(AN35:AN39)</f>
        <v>-5.5190000000000197</v>
      </c>
      <c r="AO40" s="707">
        <f>SUM(AO35:AO39)</f>
        <v>-304.68100000000049</v>
      </c>
      <c r="AP40" s="765">
        <f t="shared" si="97"/>
        <v>-304.68100000000049</v>
      </c>
      <c r="AQ40" s="707">
        <f>SUM(AQ35:AQ39)</f>
        <v>-131.56199999999998</v>
      </c>
      <c r="AR40" s="707">
        <f>SUM(AR35:AR39)</f>
        <v>-349.31399999999996</v>
      </c>
      <c r="AS40" s="707">
        <f>SUM(AS35:AS39)</f>
        <v>-405.20799999999997</v>
      </c>
      <c r="AT40" s="707">
        <f>SUM(AT35:AT39)</f>
        <v>-1497.096</v>
      </c>
      <c r="AU40" s="765">
        <f t="shared" si="98"/>
        <v>-1497.096</v>
      </c>
      <c r="AV40" s="707">
        <f>SUM(AV35:AV39)</f>
        <v>-208.71900000000002</v>
      </c>
      <c r="AW40" s="707">
        <f>SUM(AW35:AW39)</f>
        <v>-689.62199999999996</v>
      </c>
      <c r="AX40" s="707">
        <f>SUM(AX35:AX39)</f>
        <v>-956.29</v>
      </c>
      <c r="AY40" s="707">
        <f>SUM(AY35:AY39)</f>
        <v>-1159.2939999999999</v>
      </c>
      <c r="AZ40" s="765">
        <f t="shared" si="99"/>
        <v>-1159.2939999999999</v>
      </c>
      <c r="BA40" s="707">
        <f>SUM(BA35:BA39)</f>
        <v>-95.125</v>
      </c>
      <c r="BB40" s="707">
        <f>SUM(BB35:BB39)</f>
        <v>-197.6</v>
      </c>
      <c r="BC40" s="707">
        <f>SUM(BC35:BC39)</f>
        <v>-497.72200000000004</v>
      </c>
      <c r="BD40" s="707">
        <f>SUM(BD35:BD39)</f>
        <v>-757.40200000000004</v>
      </c>
      <c r="BE40" s="765">
        <f t="shared" si="100"/>
        <v>-757.40200000000004</v>
      </c>
      <c r="BF40" s="707">
        <f>SUM(BF35:BF39)</f>
        <v>-437.70700000000005</v>
      </c>
      <c r="BG40" s="707">
        <f>SUM(BG35:BG39)</f>
        <v>-585.9670000000001</v>
      </c>
      <c r="BH40" s="707">
        <f>SUM(BH35:BH39)</f>
        <v>-705.18700000000001</v>
      </c>
      <c r="BI40" s="707">
        <f>SUM(BI35:BI39)</f>
        <v>-834.66200000000003</v>
      </c>
      <c r="BJ40" s="765">
        <f t="shared" si="101"/>
        <v>-834.66200000000003</v>
      </c>
      <c r="BK40" s="707">
        <f>SUM(BK35:BK39)</f>
        <v>-446.11399999999998</v>
      </c>
      <c r="BL40" s="707">
        <f>SUM(BL35:BL39)</f>
        <v>-780.55299999999988</v>
      </c>
      <c r="BM40" s="707">
        <f>SUM(BM35:BM39)</f>
        <v>-1177.788</v>
      </c>
      <c r="BN40" s="707">
        <f>SUM(BN35:BN39)</f>
        <v>-1177.8030000000001</v>
      </c>
      <c r="BO40" s="765">
        <f t="shared" si="102"/>
        <v>-1177.8030000000001</v>
      </c>
      <c r="BP40" s="707">
        <f>SUM(BP35:BP39)</f>
        <v>-94.421999999999997</v>
      </c>
      <c r="BQ40" s="707">
        <f>SUM(BQ35:BQ39)</f>
        <v>-242.35399999999998</v>
      </c>
      <c r="BR40" s="707">
        <f>SUM(BR35:BR39)</f>
        <v>-412.74799999999999</v>
      </c>
      <c r="BS40" s="707">
        <f>SUM(BS35:BS39)</f>
        <v>-490.70699999999999</v>
      </c>
      <c r="BT40" s="765">
        <f t="shared" si="103"/>
        <v>-490.70699999999999</v>
      </c>
      <c r="BU40" s="707">
        <f>SUM(BU35:BU39)</f>
        <v>-698.37100000000009</v>
      </c>
      <c r="BV40" s="707">
        <v>-737.27999999999986</v>
      </c>
      <c r="BW40" s="707">
        <f>SUM(BW35:BW39)</f>
        <v>-1202.3709999999999</v>
      </c>
      <c r="BX40" s="707">
        <f>SUM(BX35:BX39)</f>
        <v>-1488.3580000000002</v>
      </c>
      <c r="BY40" s="765">
        <f t="shared" si="104"/>
        <v>-1488.3580000000002</v>
      </c>
      <c r="BZ40" s="1373">
        <f>SUM(BZ35:BZ39)</f>
        <v>-258.84199999999998</v>
      </c>
      <c r="CA40" s="1373">
        <f>SUM(CA35:CA39)</f>
        <v>-510.34699999999987</v>
      </c>
      <c r="CB40" s="1373">
        <f>SUM(CB35:CB39)</f>
        <v>-816.93500000000006</v>
      </c>
      <c r="CC40" s="1373">
        <f>SUM(CC35:CC39)</f>
        <v>-960.0329999999999</v>
      </c>
      <c r="CD40" s="1678">
        <f t="shared" si="105"/>
        <v>-960.0329999999999</v>
      </c>
      <c r="CE40" s="1373">
        <f>SUM(CE35:CE39)</f>
        <v>-338.88200000000001</v>
      </c>
      <c r="CF40" s="1373">
        <f>SUM(CF35:CF39)</f>
        <v>-426.42899999999992</v>
      </c>
      <c r="CG40" s="1373">
        <f>SUM(CG35:CG39)</f>
        <v>-463.24300000000005</v>
      </c>
      <c r="CH40" s="1373">
        <f>SUM(CH35:CH39)</f>
        <v>-442.87699999999984</v>
      </c>
      <c r="CI40" s="1678">
        <f t="shared" si="106"/>
        <v>-442.87699999999984</v>
      </c>
      <c r="CJ40" s="1257">
        <f>SUM(CJ35:CJ39)</f>
        <v>-93.761999999999986</v>
      </c>
      <c r="CK40" s="1257">
        <f>SUM(CK35:CK39)</f>
        <v>-150.47332398763882</v>
      </c>
      <c r="CL40" s="1257">
        <f>SUM(CL35:CL39)</f>
        <v>-210.12746045937365</v>
      </c>
      <c r="CM40" s="1257">
        <f>SUM(CM35:CM39)</f>
        <v>-272.39406327889714</v>
      </c>
      <c r="CN40" s="1611">
        <f t="shared" si="107"/>
        <v>-272.39406327889714</v>
      </c>
      <c r="CO40" s="1257">
        <f>SUM(CO35:CO39)</f>
        <v>-64.993145852362787</v>
      </c>
      <c r="CP40" s="1257">
        <f>SUM(CP35:CP39)</f>
        <v>-132.75798447919823</v>
      </c>
      <c r="CQ40" s="1257">
        <f>SUM(CQ35:CQ39)</f>
        <v>-203.43941386824605</v>
      </c>
      <c r="CR40" s="1257">
        <f>SUM(CR35:CR39)</f>
        <v>-277.17912420709115</v>
      </c>
      <c r="CS40" s="1611">
        <f t="shared" si="108"/>
        <v>-277.17912420709115</v>
      </c>
      <c r="CT40" s="1257">
        <f>SUM(CT35:CT39)</f>
        <v>-76.791730269787124</v>
      </c>
      <c r="CU40" s="1257">
        <f>SUM(CU35:CU39)</f>
        <v>-156.61403018618233</v>
      </c>
      <c r="CV40" s="1257">
        <f>SUM(CV35:CV39)</f>
        <v>-239.42489387252732</v>
      </c>
      <c r="CW40" s="1257">
        <f>SUM(CW35:CW39)</f>
        <v>-325.21059515705878</v>
      </c>
      <c r="CX40" s="1611">
        <f t="shared" si="109"/>
        <v>-325.21059515705878</v>
      </c>
      <c r="CZ40" s="686"/>
      <c r="DA40" s="769"/>
      <c r="DB40" s="686"/>
      <c r="DC40" s="686"/>
    </row>
    <row r="41" spans="1:113" ht="10.5" hidden="1" customHeight="1" outlineLevel="1">
      <c r="A41" s="693" t="s">
        <v>707</v>
      </c>
      <c r="B41" s="693"/>
      <c r="C41" s="687"/>
      <c r="D41" s="687"/>
      <c r="E41" s="687"/>
      <c r="F41" s="687"/>
      <c r="G41" s="705"/>
      <c r="H41" s="687"/>
      <c r="I41" s="687"/>
      <c r="J41" s="687"/>
      <c r="K41" s="687"/>
      <c r="L41" s="705"/>
      <c r="M41" s="687"/>
      <c r="N41" s="687"/>
      <c r="O41" s="687"/>
      <c r="P41" s="687"/>
      <c r="Q41" s="705"/>
      <c r="R41" s="687"/>
      <c r="S41" s="687"/>
      <c r="T41" s="687"/>
      <c r="U41" s="687"/>
      <c r="V41" s="705"/>
      <c r="W41" s="687"/>
      <c r="X41" s="687"/>
      <c r="Y41" s="687"/>
      <c r="Z41" s="687"/>
      <c r="AA41" s="705"/>
      <c r="AB41" s="687"/>
      <c r="AC41" s="687"/>
      <c r="AD41" s="687"/>
      <c r="AE41" s="687"/>
      <c r="AF41" s="768"/>
      <c r="AG41" s="687"/>
      <c r="AH41" s="687"/>
      <c r="AI41" s="687"/>
      <c r="AJ41" s="687"/>
      <c r="AK41" s="705"/>
      <c r="AL41" s="687"/>
      <c r="AM41" s="687"/>
      <c r="AN41" s="687"/>
      <c r="AO41" s="687"/>
      <c r="AP41" s="705"/>
      <c r="AQ41" s="687"/>
      <c r="AR41" s="687"/>
      <c r="AS41" s="1008"/>
      <c r="AT41" s="687"/>
      <c r="AU41" s="705"/>
      <c r="AV41" s="687"/>
      <c r="AW41" s="687"/>
      <c r="AX41" s="687"/>
      <c r="AY41" s="687"/>
      <c r="AZ41" s="705"/>
      <c r="BA41" s="687"/>
      <c r="BB41" s="687"/>
      <c r="BC41" s="687"/>
      <c r="BD41" s="687"/>
      <c r="BE41" s="705"/>
      <c r="BF41" s="687"/>
      <c r="BG41" s="687"/>
      <c r="BH41" s="687"/>
      <c r="BI41" s="687"/>
      <c r="BJ41" s="705"/>
      <c r="BK41" s="687"/>
      <c r="BL41" s="687"/>
      <c r="BM41" s="687"/>
      <c r="BN41" s="687"/>
      <c r="BO41" s="705"/>
      <c r="BP41" s="687"/>
      <c r="BQ41" s="687"/>
      <c r="BR41" s="687"/>
      <c r="BS41" s="687"/>
      <c r="BT41" s="705"/>
      <c r="BU41" s="687"/>
      <c r="BV41" s="687"/>
      <c r="BW41" s="687"/>
      <c r="BX41" s="687"/>
      <c r="BY41" s="705"/>
      <c r="BZ41" s="1106"/>
      <c r="CA41" s="1106"/>
      <c r="CB41" s="1106"/>
      <c r="CC41" s="1106"/>
      <c r="CD41" s="1613"/>
      <c r="CE41" s="1106"/>
      <c r="CF41" s="1106"/>
      <c r="CG41" s="1106"/>
      <c r="CH41" s="1106"/>
      <c r="CI41" s="1613"/>
      <c r="CJ41" s="1569"/>
      <c r="CK41" s="1569"/>
      <c r="CL41" s="1569"/>
      <c r="CM41" s="1569"/>
      <c r="CN41" s="1599"/>
      <c r="CO41" s="1569"/>
      <c r="CP41" s="1569"/>
      <c r="CQ41" s="1569"/>
      <c r="CR41" s="1569"/>
      <c r="CS41" s="1599"/>
      <c r="CT41" s="1569"/>
      <c r="CU41" s="1569"/>
      <c r="CV41" s="1569"/>
      <c r="CW41" s="1569"/>
      <c r="CX41" s="1599"/>
      <c r="CZ41" s="697"/>
      <c r="DA41" s="769"/>
      <c r="DB41" s="697"/>
      <c r="DC41" s="697"/>
    </row>
    <row r="42" spans="1:113" ht="10.5" hidden="1" customHeight="1" outlineLevel="1">
      <c r="A42" s="699" t="s">
        <v>187</v>
      </c>
      <c r="B42" s="699"/>
      <c r="C42" s="715"/>
      <c r="D42" s="715"/>
      <c r="E42" s="715"/>
      <c r="F42" s="715"/>
      <c r="G42" s="705">
        <f t="shared" ref="G42:G49" si="110">F42</f>
        <v>0</v>
      </c>
      <c r="H42" s="715"/>
      <c r="I42" s="715"/>
      <c r="J42" s="715"/>
      <c r="K42" s="715"/>
      <c r="L42" s="705">
        <f t="shared" ref="L42:L49" si="111">K42</f>
        <v>0</v>
      </c>
      <c r="M42" s="715"/>
      <c r="N42" s="715"/>
      <c r="O42" s="715"/>
      <c r="P42" s="715">
        <v>128.64400000000001</v>
      </c>
      <c r="Q42" s="705">
        <f t="shared" ref="Q42:Q49" si="112">P42</f>
        <v>128.64400000000001</v>
      </c>
      <c r="R42" s="715"/>
      <c r="S42" s="715"/>
      <c r="T42" s="715"/>
      <c r="U42" s="715"/>
      <c r="V42" s="705">
        <f t="shared" ref="V42:V49" si="113">U42</f>
        <v>0</v>
      </c>
      <c r="W42" s="715"/>
      <c r="X42" s="715"/>
      <c r="Y42" s="715"/>
      <c r="Z42" s="715"/>
      <c r="AA42" s="705">
        <f t="shared" ref="AA42:AA49" si="114">Z42</f>
        <v>0</v>
      </c>
      <c r="AB42" s="715">
        <v>0.30599999999999999</v>
      </c>
      <c r="AC42" s="687">
        <f>+AB42</f>
        <v>0.30599999999999999</v>
      </c>
      <c r="AD42" s="687">
        <v>0.30599999999999999</v>
      </c>
      <c r="AE42" s="687">
        <f>AD42</f>
        <v>0.30599999999999999</v>
      </c>
      <c r="AF42" s="768">
        <f t="shared" ref="AF42:AF49" si="115">AE42</f>
        <v>0.30599999999999999</v>
      </c>
      <c r="AG42" s="687"/>
      <c r="AH42" s="687"/>
      <c r="AI42" s="687"/>
      <c r="AJ42" s="687"/>
      <c r="AK42" s="705">
        <f t="shared" ref="AK42:AK49" si="116">AJ42</f>
        <v>0</v>
      </c>
      <c r="AL42" s="687">
        <v>0</v>
      </c>
      <c r="AM42" s="687">
        <f>AL42+0</f>
        <v>0</v>
      </c>
      <c r="AN42" s="687">
        <f>(BS!AN44)-(BS!AM44)+AM42</f>
        <v>0</v>
      </c>
      <c r="AO42" s="687">
        <v>0</v>
      </c>
      <c r="AP42" s="705">
        <f t="shared" ref="AP42:AP49" si="117">AO42</f>
        <v>0</v>
      </c>
      <c r="AQ42" s="687">
        <f>BS!AQ44-BS!AO44</f>
        <v>0</v>
      </c>
      <c r="AR42" s="687">
        <v>0</v>
      </c>
      <c r="AS42" s="687">
        <v>0</v>
      </c>
      <c r="AT42" s="687">
        <f t="shared" ref="AT42:AT48" si="118">AS42+AT96</f>
        <v>0</v>
      </c>
      <c r="AU42" s="705">
        <f t="shared" ref="AU42:AU49" si="119">AT42</f>
        <v>0</v>
      </c>
      <c r="AV42" s="687">
        <v>0</v>
      </c>
      <c r="AW42" s="687">
        <f>AV42</f>
        <v>0</v>
      </c>
      <c r="AX42" s="687">
        <f>AW42</f>
        <v>0</v>
      </c>
      <c r="AY42" s="687">
        <f>AX42</f>
        <v>0</v>
      </c>
      <c r="AZ42" s="705">
        <f t="shared" ref="AZ42:AZ49" si="120">AY42</f>
        <v>0</v>
      </c>
      <c r="BA42" s="687">
        <v>0</v>
      </c>
      <c r="BB42" s="687">
        <v>0</v>
      </c>
      <c r="BC42" s="687">
        <v>0</v>
      </c>
      <c r="BD42" s="687">
        <f>BC42</f>
        <v>0</v>
      </c>
      <c r="BE42" s="705">
        <f t="shared" ref="BE42:BE49" si="121">BD42</f>
        <v>0</v>
      </c>
      <c r="BF42" s="687">
        <v>0</v>
      </c>
      <c r="BG42" s="687">
        <v>0</v>
      </c>
      <c r="BH42" s="687">
        <v>0</v>
      </c>
      <c r="BI42" s="687">
        <v>0</v>
      </c>
      <c r="BJ42" s="705">
        <f t="shared" ref="BJ42:BJ49" si="122">BI42</f>
        <v>0</v>
      </c>
      <c r="BK42" s="687">
        <v>0</v>
      </c>
      <c r="BL42" s="687">
        <v>0</v>
      </c>
      <c r="BM42" s="687">
        <v>0</v>
      </c>
      <c r="BN42" s="687">
        <v>0</v>
      </c>
      <c r="BO42" s="705">
        <f t="shared" ref="BO42:BO49" si="123">BN42</f>
        <v>0</v>
      </c>
      <c r="BP42" s="687">
        <v>0</v>
      </c>
      <c r="BQ42" s="687">
        <v>0</v>
      </c>
      <c r="BR42" s="687">
        <v>0</v>
      </c>
      <c r="BS42" s="687">
        <v>0</v>
      </c>
      <c r="BT42" s="705">
        <f t="shared" ref="BT42:BT49" si="124">BS42</f>
        <v>0</v>
      </c>
      <c r="BU42" s="687">
        <v>0</v>
      </c>
      <c r="BV42" s="687">
        <v>0</v>
      </c>
      <c r="BW42" s="687">
        <v>0</v>
      </c>
      <c r="BX42" s="687">
        <v>0</v>
      </c>
      <c r="BY42" s="705">
        <f t="shared" ref="BY42:BY49" si="125">BX42</f>
        <v>0</v>
      </c>
      <c r="BZ42" s="1106">
        <v>0</v>
      </c>
      <c r="CA42" s="1106">
        <f>(BS!CA44)-(BS!BZ44)+BZ42</f>
        <v>0</v>
      </c>
      <c r="CB42" s="1106">
        <v>0</v>
      </c>
      <c r="CC42" s="1106">
        <f t="shared" ref="CC42:CD44" si="126">CB42</f>
        <v>0</v>
      </c>
      <c r="CD42" s="1613">
        <f t="shared" si="126"/>
        <v>0</v>
      </c>
      <c r="CE42" s="1106">
        <v>0</v>
      </c>
      <c r="CF42" s="1106">
        <v>0</v>
      </c>
      <c r="CG42" s="1106">
        <v>0</v>
      </c>
      <c r="CH42" s="1106">
        <v>0</v>
      </c>
      <c r="CI42" s="1613">
        <f t="shared" ref="CI42:CI49" si="127">CH42</f>
        <v>0</v>
      </c>
      <c r="CJ42" s="1569">
        <v>0</v>
      </c>
      <c r="CK42" s="1569">
        <f>(BS!CK44)-(BS!CJ44)+CJ42</f>
        <v>0</v>
      </c>
      <c r="CL42" s="1569">
        <f>(BS!CL44)-(BS!CK44)+CK42</f>
        <v>0</v>
      </c>
      <c r="CM42" s="1569">
        <f>(BS!CM44)-(BS!CL44)+CL42</f>
        <v>0</v>
      </c>
      <c r="CN42" s="1599">
        <f t="shared" ref="CN42:CN49" si="128">CM42</f>
        <v>0</v>
      </c>
      <c r="CO42" s="1569">
        <f>BS!CO44-BS!CM44</f>
        <v>0</v>
      </c>
      <c r="CP42" s="1569">
        <f>(BS!CP44)-(BS!CO44)+CO42</f>
        <v>0</v>
      </c>
      <c r="CQ42" s="1569">
        <f>(BS!CQ44)-(BS!CP44)+CP42</f>
        <v>0</v>
      </c>
      <c r="CR42" s="1569">
        <f>(BS!CR44)-(BS!CQ44)+CQ42</f>
        <v>0</v>
      </c>
      <c r="CS42" s="1599">
        <f t="shared" ref="CS42:CS53" si="129">CR42</f>
        <v>0</v>
      </c>
      <c r="CT42" s="1569">
        <f>BS!CT44-BS!CR44</f>
        <v>0</v>
      </c>
      <c r="CU42" s="1569">
        <f>(BS!CU44)-(BS!CT44)+CT42</f>
        <v>0</v>
      </c>
      <c r="CV42" s="1569">
        <f>(BS!CV44)-(BS!CU44)+CU42</f>
        <v>0</v>
      </c>
      <c r="CW42" s="1569">
        <f>(BS!CW44)-(BS!CV44)+CV42</f>
        <v>0</v>
      </c>
      <c r="CX42" s="1599">
        <f t="shared" ref="CX42:CX53" si="130">CW42</f>
        <v>0</v>
      </c>
      <c r="CZ42" s="697"/>
      <c r="DA42" s="769"/>
      <c r="DB42" s="697"/>
      <c r="DC42" s="686"/>
    </row>
    <row r="43" spans="1:113" ht="10.5" hidden="1" customHeight="1" outlineLevel="1">
      <c r="A43" s="699" t="s">
        <v>382</v>
      </c>
      <c r="B43" s="699"/>
      <c r="C43" s="715"/>
      <c r="D43" s="715"/>
      <c r="E43" s="715"/>
      <c r="F43" s="715"/>
      <c r="G43" s="705">
        <f t="shared" si="110"/>
        <v>0</v>
      </c>
      <c r="H43" s="715"/>
      <c r="I43" s="715"/>
      <c r="J43" s="715"/>
      <c r="K43" s="715"/>
      <c r="L43" s="705">
        <f t="shared" si="111"/>
        <v>0</v>
      </c>
      <c r="M43" s="715"/>
      <c r="N43" s="715"/>
      <c r="O43" s="715"/>
      <c r="P43" s="715"/>
      <c r="Q43" s="705">
        <f t="shared" si="112"/>
        <v>0</v>
      </c>
      <c r="R43" s="715"/>
      <c r="S43" s="715"/>
      <c r="T43" s="715"/>
      <c r="U43" s="715"/>
      <c r="V43" s="705">
        <f t="shared" si="113"/>
        <v>0</v>
      </c>
      <c r="W43" s="715"/>
      <c r="X43" s="715"/>
      <c r="Y43" s="715"/>
      <c r="Z43" s="715"/>
      <c r="AA43" s="705">
        <f t="shared" si="114"/>
        <v>0</v>
      </c>
      <c r="AB43" s="715"/>
      <c r="AC43" s="687"/>
      <c r="AD43" s="687"/>
      <c r="AE43" s="687"/>
      <c r="AF43" s="768">
        <f t="shared" si="115"/>
        <v>0</v>
      </c>
      <c r="AG43" s="687"/>
      <c r="AH43" s="687"/>
      <c r="AI43" s="687"/>
      <c r="AJ43" s="687"/>
      <c r="AK43" s="705">
        <f t="shared" si="116"/>
        <v>0</v>
      </c>
      <c r="AL43" s="687">
        <f>53.51</f>
        <v>53.51</v>
      </c>
      <c r="AM43" s="687">
        <f>AL43+108.957</f>
        <v>162.46699999999998</v>
      </c>
      <c r="AN43" s="687">
        <f>AM43+138.987</f>
        <v>301.45399999999995</v>
      </c>
      <c r="AO43" s="687">
        <v>319.16500000000002</v>
      </c>
      <c r="AP43" s="705">
        <f t="shared" si="117"/>
        <v>319.16500000000002</v>
      </c>
      <c r="AQ43" s="687">
        <v>28.603999999999999</v>
      </c>
      <c r="AR43" s="687">
        <v>48.819000000000003</v>
      </c>
      <c r="AS43" s="687">
        <f>AR43+73.4</f>
        <v>122.21900000000001</v>
      </c>
      <c r="AT43" s="687">
        <f t="shared" si="118"/>
        <v>179.566</v>
      </c>
      <c r="AU43" s="705">
        <f>AT43</f>
        <v>179.566</v>
      </c>
      <c r="AV43" s="687">
        <v>49.823999999999998</v>
      </c>
      <c r="AW43" s="687">
        <f>AV43+34.236</f>
        <v>84.06</v>
      </c>
      <c r="AX43" s="687">
        <f>AW43+45.58</f>
        <v>129.63999999999999</v>
      </c>
      <c r="AY43" s="687">
        <f>AX43</f>
        <v>129.63999999999999</v>
      </c>
      <c r="AZ43" s="705">
        <f t="shared" si="120"/>
        <v>129.63999999999999</v>
      </c>
      <c r="BA43" s="687">
        <v>40.651000000000003</v>
      </c>
      <c r="BB43" s="687">
        <f>BA43+46.732</f>
        <v>87.38300000000001</v>
      </c>
      <c r="BC43" s="687">
        <f>BB43+56.18</f>
        <v>143.56300000000002</v>
      </c>
      <c r="BD43" s="687">
        <f>BC43+1.191</f>
        <v>144.75400000000002</v>
      </c>
      <c r="BE43" s="705">
        <f t="shared" si="121"/>
        <v>144.75400000000002</v>
      </c>
      <c r="BF43" s="687">
        <v>13.366</v>
      </c>
      <c r="BG43" s="687">
        <f>0+BF43</f>
        <v>13.366</v>
      </c>
      <c r="BH43" s="687">
        <f>BG43</f>
        <v>13.366</v>
      </c>
      <c r="BI43" s="687">
        <f>BH43+19.089</f>
        <v>32.454999999999998</v>
      </c>
      <c r="BJ43" s="705">
        <f t="shared" si="122"/>
        <v>32.454999999999998</v>
      </c>
      <c r="BK43" s="687">
        <f>88.566</f>
        <v>88.566000000000003</v>
      </c>
      <c r="BL43" s="687">
        <f>356.771-83.55</f>
        <v>273.221</v>
      </c>
      <c r="BM43" s="687">
        <f>526.24-90.356</f>
        <v>435.88400000000001</v>
      </c>
      <c r="BN43" s="687">
        <f>BM43</f>
        <v>435.88400000000001</v>
      </c>
      <c r="BO43" s="705">
        <f t="shared" si="123"/>
        <v>435.88400000000001</v>
      </c>
      <c r="BP43" s="687">
        <v>-53.776000000000003</v>
      </c>
      <c r="BQ43" s="687">
        <f>109.143-150.095</f>
        <v>-40.951999999999998</v>
      </c>
      <c r="BR43" s="687">
        <f>213.841-163.293</f>
        <v>50.548000000000002</v>
      </c>
      <c r="BS43" s="687">
        <f>227.841-173.675</f>
        <v>54.165999999999997</v>
      </c>
      <c r="BT43" s="705">
        <f t="shared" si="124"/>
        <v>54.165999999999997</v>
      </c>
      <c r="BU43" s="687">
        <f>56.32-150.017</f>
        <v>-93.697000000000003</v>
      </c>
      <c r="BV43" s="687">
        <v>-90.786000000000001</v>
      </c>
      <c r="BW43" s="687">
        <f>154.759-176.904</f>
        <v>-22.14500000000001</v>
      </c>
      <c r="BX43" s="687">
        <f>164.27-186.373</f>
        <v>-22.10299999999998</v>
      </c>
      <c r="BY43" s="705">
        <f t="shared" si="125"/>
        <v>-22.10299999999998</v>
      </c>
      <c r="BZ43" s="1106">
        <v>0</v>
      </c>
      <c r="CA43" s="1106">
        <v>0</v>
      </c>
      <c r="CB43" s="1106">
        <v>0</v>
      </c>
      <c r="CC43" s="1106">
        <f t="shared" si="126"/>
        <v>0</v>
      </c>
      <c r="CD43" s="1613">
        <f t="shared" si="126"/>
        <v>0</v>
      </c>
      <c r="CE43" s="1106">
        <v>0</v>
      </c>
      <c r="CF43" s="1106">
        <f>CE43</f>
        <v>0</v>
      </c>
      <c r="CG43" s="1106">
        <v>0</v>
      </c>
      <c r="CH43" s="1106">
        <v>0</v>
      </c>
      <c r="CI43" s="1613">
        <f t="shared" si="127"/>
        <v>0</v>
      </c>
      <c r="CJ43" s="1569">
        <v>0</v>
      </c>
      <c r="CK43" s="1569">
        <f>CJ43+BS!CK74+BS!CK82</f>
        <v>50</v>
      </c>
      <c r="CL43" s="1569">
        <f>CK43+BS!CL74+BS!CL82</f>
        <v>100</v>
      </c>
      <c r="CM43" s="1569">
        <f>CL43+BS!CM74+BS!CM82</f>
        <v>150</v>
      </c>
      <c r="CN43" s="1599">
        <f t="shared" si="128"/>
        <v>150</v>
      </c>
      <c r="CO43" s="1569">
        <f>BS!CO74+BS!CO82</f>
        <v>50</v>
      </c>
      <c r="CP43" s="1569">
        <f>CO43+BS!CP74+BS!CP82</f>
        <v>100</v>
      </c>
      <c r="CQ43" s="1569">
        <f>CP43+BS!CQ74+BS!CQ82</f>
        <v>150</v>
      </c>
      <c r="CR43" s="1569">
        <f>CQ43+BS!CR74+BS!CR82</f>
        <v>200</v>
      </c>
      <c r="CS43" s="1599">
        <f t="shared" si="129"/>
        <v>200</v>
      </c>
      <c r="CT43" s="1569">
        <f>BS!CT74+BS!CT82</f>
        <v>50</v>
      </c>
      <c r="CU43" s="1569">
        <f>CT43+BS!CU74+BS!CU82</f>
        <v>100</v>
      </c>
      <c r="CV43" s="1569">
        <f>CU43+BS!CV74+BS!CV82</f>
        <v>150</v>
      </c>
      <c r="CW43" s="1569">
        <f>CV43+BS!CW74+BS!CW82</f>
        <v>200</v>
      </c>
      <c r="CX43" s="1599">
        <f t="shared" si="130"/>
        <v>200</v>
      </c>
      <c r="CZ43" s="697"/>
      <c r="DA43" s="769"/>
      <c r="DB43" s="697"/>
      <c r="DC43" s="686"/>
    </row>
    <row r="44" spans="1:113" ht="10.5" hidden="1" customHeight="1" outlineLevel="1">
      <c r="A44" s="699" t="s">
        <v>528</v>
      </c>
      <c r="B44" s="699"/>
      <c r="C44" s="715"/>
      <c r="D44" s="715"/>
      <c r="E44" s="715"/>
      <c r="F44" s="715"/>
      <c r="G44" s="705"/>
      <c r="H44" s="715"/>
      <c r="I44" s="715"/>
      <c r="J44" s="715"/>
      <c r="K44" s="715"/>
      <c r="L44" s="705"/>
      <c r="M44" s="715"/>
      <c r="N44" s="715"/>
      <c r="O44" s="715"/>
      <c r="P44" s="715"/>
      <c r="Q44" s="705"/>
      <c r="R44" s="715"/>
      <c r="S44" s="715"/>
      <c r="T44" s="715"/>
      <c r="U44" s="715"/>
      <c r="V44" s="705"/>
      <c r="W44" s="715"/>
      <c r="X44" s="715"/>
      <c r="Y44" s="715"/>
      <c r="Z44" s="715"/>
      <c r="AA44" s="705"/>
      <c r="AB44" s="715"/>
      <c r="AC44" s="687"/>
      <c r="AD44" s="687"/>
      <c r="AE44" s="687"/>
      <c r="AF44" s="768"/>
      <c r="AG44" s="687"/>
      <c r="AH44" s="687"/>
      <c r="AI44" s="687"/>
      <c r="AJ44" s="687"/>
      <c r="AK44" s="705"/>
      <c r="AL44" s="687">
        <v>450</v>
      </c>
      <c r="AM44" s="687">
        <f>AL44-100</f>
        <v>350</v>
      </c>
      <c r="AN44" s="687">
        <f>AM44+0</f>
        <v>350</v>
      </c>
      <c r="AO44" s="687">
        <f>800-450</f>
        <v>350</v>
      </c>
      <c r="AP44" s="705">
        <f>AO44</f>
        <v>350</v>
      </c>
      <c r="AQ44" s="687">
        <f>BS!AQ37-BS!AO37</f>
        <v>0</v>
      </c>
      <c r="AR44" s="687">
        <f>AQ44</f>
        <v>0</v>
      </c>
      <c r="AS44" s="687">
        <f>AR44</f>
        <v>0</v>
      </c>
      <c r="AT44" s="687">
        <f t="shared" si="118"/>
        <v>650</v>
      </c>
      <c r="AU44" s="705">
        <f>AT44</f>
        <v>650</v>
      </c>
      <c r="AV44" s="687">
        <v>493.43900000000008</v>
      </c>
      <c r="AW44" s="687">
        <f>AV44</f>
        <v>493.43900000000008</v>
      </c>
      <c r="AX44" s="687">
        <f>AW44-1.559</f>
        <v>491.88000000000005</v>
      </c>
      <c r="AY44" s="687">
        <f>AX44</f>
        <v>491.88000000000005</v>
      </c>
      <c r="AZ44" s="705">
        <f>AY44</f>
        <v>491.88000000000005</v>
      </c>
      <c r="BA44" s="687">
        <v>-2.169</v>
      </c>
      <c r="BB44" s="687">
        <f>BA44-1.455</f>
        <v>-3.6240000000000001</v>
      </c>
      <c r="BC44" s="687">
        <f>BB44-4.179</f>
        <v>-7.8030000000000008</v>
      </c>
      <c r="BD44" s="687">
        <f>BC44-2.243</f>
        <v>-10.046000000000001</v>
      </c>
      <c r="BE44" s="705">
        <f>BD44</f>
        <v>-10.046000000000001</v>
      </c>
      <c r="BF44" s="687">
        <v>0</v>
      </c>
      <c r="BG44" s="687">
        <f>0+BF44</f>
        <v>0</v>
      </c>
      <c r="BH44" s="687">
        <f>BG44+3.152-2.316</f>
        <v>0.8360000000000003</v>
      </c>
      <c r="BI44" s="687">
        <f>BH44-2.985</f>
        <v>-2.1489999999999996</v>
      </c>
      <c r="BJ44" s="705">
        <f>BI44</f>
        <v>-2.1489999999999996</v>
      </c>
      <c r="BK44" s="687">
        <f>25.703-2.507-0.357</f>
        <v>22.838999999999999</v>
      </c>
      <c r="BL44" s="687">
        <f>BK44</f>
        <v>22.838999999999999</v>
      </c>
      <c r="BM44" s="687">
        <f>BL44-10.034</f>
        <v>12.804999999999998</v>
      </c>
      <c r="BN44" s="687">
        <f>BM44-6.041</f>
        <v>6.7639999999999976</v>
      </c>
      <c r="BO44" s="705">
        <f>BN44</f>
        <v>6.7639999999999976</v>
      </c>
      <c r="BP44" s="687">
        <v>-4.4329999999999998</v>
      </c>
      <c r="BQ44" s="687">
        <f>BP44</f>
        <v>-4.4329999999999998</v>
      </c>
      <c r="BR44" s="687">
        <f>BQ44</f>
        <v>-4.4329999999999998</v>
      </c>
      <c r="BS44" s="687">
        <f>BR44</f>
        <v>-4.4329999999999998</v>
      </c>
      <c r="BT44" s="705">
        <f>BS44</f>
        <v>-4.4329999999999998</v>
      </c>
      <c r="BU44" s="687">
        <f>989.28-602.189-7.718</f>
        <v>379.37299999999999</v>
      </c>
      <c r="BV44" s="687">
        <v>379.22</v>
      </c>
      <c r="BW44" s="687">
        <f>989.28-602.189-8.828</f>
        <v>378.26300000000003</v>
      </c>
      <c r="BX44" s="687">
        <f>989.28-602.189</f>
        <v>387.09100000000001</v>
      </c>
      <c r="BY44" s="705">
        <f>BX44</f>
        <v>387.09100000000001</v>
      </c>
      <c r="BZ44" s="1106">
        <v>0</v>
      </c>
      <c r="CA44" s="1106">
        <v>0</v>
      </c>
      <c r="CB44" s="1106">
        <v>0</v>
      </c>
      <c r="CC44" s="1106">
        <f t="shared" si="126"/>
        <v>0</v>
      </c>
      <c r="CD44" s="1613">
        <f t="shared" si="126"/>
        <v>0</v>
      </c>
      <c r="CE44" s="1106">
        <v>0</v>
      </c>
      <c r="CF44" s="1106">
        <f>CE44</f>
        <v>0</v>
      </c>
      <c r="CG44" s="1106">
        <v>0</v>
      </c>
      <c r="CH44" s="1106">
        <v>0</v>
      </c>
      <c r="CI44" s="1613">
        <f>CH44</f>
        <v>0</v>
      </c>
      <c r="CJ44" s="1569">
        <v>0</v>
      </c>
      <c r="CK44" s="1569">
        <f>CJ44+BS!CK37-BS!CJ37</f>
        <v>26.805999999999813</v>
      </c>
      <c r="CL44" s="1569">
        <f>CK44+BS!CL37-BS!CK37</f>
        <v>26.805999999999813</v>
      </c>
      <c r="CM44" s="1569">
        <f>CL44+BS!CM37-BS!CL37</f>
        <v>26.805999999999813</v>
      </c>
      <c r="CN44" s="1599">
        <f>CM44</f>
        <v>26.805999999999813</v>
      </c>
      <c r="CO44" s="1569">
        <f>BS!CO37-BS!CM37</f>
        <v>0</v>
      </c>
      <c r="CP44" s="1569">
        <f>CO44+BS!CP37-BS!CO37</f>
        <v>0</v>
      </c>
      <c r="CQ44" s="1569">
        <f>CP44+BS!CQ37-BS!CP37</f>
        <v>0</v>
      </c>
      <c r="CR44" s="1569">
        <f>CQ44+BS!CR37-BS!CQ37</f>
        <v>0</v>
      </c>
      <c r="CS44" s="1599">
        <f t="shared" si="129"/>
        <v>0</v>
      </c>
      <c r="CT44" s="1569">
        <f>BS!CT37-BS!CR37</f>
        <v>0</v>
      </c>
      <c r="CU44" s="1569">
        <f>CT44+BS!CU37-BS!CT37</f>
        <v>0</v>
      </c>
      <c r="CV44" s="1569">
        <f>CU44+BS!CV37-BS!CU37</f>
        <v>0</v>
      </c>
      <c r="CW44" s="1569">
        <f>CV44+BS!CW37-BS!CV37</f>
        <v>0</v>
      </c>
      <c r="CX44" s="1599">
        <f t="shared" si="130"/>
        <v>0</v>
      </c>
      <c r="CZ44" s="697"/>
      <c r="DA44" s="769"/>
      <c r="DB44" s="697"/>
      <c r="DC44" s="686"/>
    </row>
    <row r="45" spans="1:113" ht="10.5" hidden="1" customHeight="1" outlineLevel="1">
      <c r="A45" s="699" t="s">
        <v>527</v>
      </c>
      <c r="B45" s="699"/>
      <c r="C45" s="715"/>
      <c r="D45" s="715"/>
      <c r="E45" s="715"/>
      <c r="F45" s="715"/>
      <c r="G45" s="705"/>
      <c r="H45" s="715"/>
      <c r="I45" s="715"/>
      <c r="J45" s="715"/>
      <c r="K45" s="715"/>
      <c r="L45" s="705"/>
      <c r="M45" s="715"/>
      <c r="N45" s="715"/>
      <c r="O45" s="715"/>
      <c r="P45" s="715"/>
      <c r="Q45" s="705"/>
      <c r="R45" s="715"/>
      <c r="S45" s="715"/>
      <c r="T45" s="715"/>
      <c r="U45" s="715"/>
      <c r="V45" s="705"/>
      <c r="W45" s="715"/>
      <c r="X45" s="715"/>
      <c r="Y45" s="715"/>
      <c r="Z45" s="715"/>
      <c r="AA45" s="705"/>
      <c r="AB45" s="715">
        <v>23.42</v>
      </c>
      <c r="AC45" s="687">
        <f>22.732+AB45</f>
        <v>46.152000000000001</v>
      </c>
      <c r="AD45" s="687">
        <v>81.587000000000003</v>
      </c>
      <c r="AE45" s="687">
        <f>61.531+AD45</f>
        <v>143.11799999999999</v>
      </c>
      <c r="AF45" s="771">
        <f>AE45</f>
        <v>143.11799999999999</v>
      </c>
      <c r="AG45" s="687">
        <v>1.556</v>
      </c>
      <c r="AH45" s="687">
        <v>37.421999999999997</v>
      </c>
      <c r="AI45" s="687">
        <v>54.396000000000001</v>
      </c>
      <c r="AJ45" s="687">
        <f>AI45+30.654</f>
        <v>85.05</v>
      </c>
      <c r="AK45" s="705">
        <f>AJ45</f>
        <v>85.05</v>
      </c>
      <c r="AL45" s="687">
        <v>0</v>
      </c>
      <c r="AM45" s="687">
        <f>AL45+9.329</f>
        <v>9.3290000000000006</v>
      </c>
      <c r="AN45" s="687">
        <f>AM45+14.306</f>
        <v>23.634999999999998</v>
      </c>
      <c r="AO45" s="687">
        <v>31.983000000000001</v>
      </c>
      <c r="AP45" s="705">
        <f>AO45</f>
        <v>31.983000000000001</v>
      </c>
      <c r="AQ45" s="687">
        <v>8.4000000000000005E-2</v>
      </c>
      <c r="AR45" s="687">
        <v>8.4000000000000005E-2</v>
      </c>
      <c r="AS45" s="687">
        <f>AR45</f>
        <v>8.4000000000000005E-2</v>
      </c>
      <c r="AT45" s="687">
        <f t="shared" si="118"/>
        <v>11.98</v>
      </c>
      <c r="AU45" s="705">
        <f>AT45</f>
        <v>11.98</v>
      </c>
      <c r="AV45" s="687">
        <v>7.0579999999999998</v>
      </c>
      <c r="AW45" s="687">
        <f>AV45+1.427</f>
        <v>8.4849999999999994</v>
      </c>
      <c r="AX45" s="687">
        <f>AW45+1.687</f>
        <v>10.171999999999999</v>
      </c>
      <c r="AY45" s="687">
        <f>AX45+6.258-2.148</f>
        <v>14.282</v>
      </c>
      <c r="AZ45" s="705">
        <f>AY45</f>
        <v>14.282</v>
      </c>
      <c r="BA45" s="687">
        <v>0</v>
      </c>
      <c r="BB45" s="687">
        <v>0</v>
      </c>
      <c r="BC45" s="687">
        <f>BB45+0.318</f>
        <v>0.318</v>
      </c>
      <c r="BD45" s="687">
        <f>BC45+0.853</f>
        <v>1.171</v>
      </c>
      <c r="BE45" s="705">
        <f>BD45</f>
        <v>1.171</v>
      </c>
      <c r="BF45" s="687">
        <v>2.67</v>
      </c>
      <c r="BG45" s="687">
        <f>BF45+2.684</f>
        <v>5.3540000000000001</v>
      </c>
      <c r="BH45" s="687">
        <f>BG45+1.172</f>
        <v>6.5259999999999998</v>
      </c>
      <c r="BI45" s="687">
        <f>BH45+3.477</f>
        <v>10.003</v>
      </c>
      <c r="BJ45" s="705">
        <f>BI45</f>
        <v>10.003</v>
      </c>
      <c r="BK45" s="687">
        <v>0</v>
      </c>
      <c r="BL45" s="687">
        <v>0</v>
      </c>
      <c r="BM45" s="687">
        <f>-BM17</f>
        <v>0</v>
      </c>
      <c r="BN45" s="687">
        <f>BM45+40.619</f>
        <v>40.619</v>
      </c>
      <c r="BO45" s="705">
        <f>BN45</f>
        <v>40.619</v>
      </c>
      <c r="BP45" s="687">
        <v>0</v>
      </c>
      <c r="BQ45" s="687">
        <v>4.875</v>
      </c>
      <c r="BR45" s="687">
        <v>31.952999999999999</v>
      </c>
      <c r="BS45" s="687">
        <v>53.234999999999999</v>
      </c>
      <c r="BT45" s="705">
        <f>BS45</f>
        <v>53.234999999999999</v>
      </c>
      <c r="BU45" s="687">
        <v>33.598999999999997</v>
      </c>
      <c r="BV45" s="687">
        <v>44.738999999999997</v>
      </c>
      <c r="BW45" s="687">
        <v>58.344999999999999</v>
      </c>
      <c r="BX45" s="687">
        <f>BW45+9.808</f>
        <v>68.152999999999992</v>
      </c>
      <c r="BY45" s="705">
        <f>BX45</f>
        <v>68.152999999999992</v>
      </c>
      <c r="BZ45" s="1106">
        <v>14.859</v>
      </c>
      <c r="CA45" s="1106">
        <v>65.289000000000001</v>
      </c>
      <c r="CB45" s="1106">
        <v>69.269000000000005</v>
      </c>
      <c r="CC45" s="1106">
        <f>CB45+5.836</f>
        <v>75.105000000000004</v>
      </c>
      <c r="CD45" s="1613">
        <f>CC45</f>
        <v>75.105000000000004</v>
      </c>
      <c r="CE45" s="1106">
        <v>0</v>
      </c>
      <c r="CF45" s="1106">
        <f>CE45</f>
        <v>0</v>
      </c>
      <c r="CG45" s="1106">
        <f>+-220.58</f>
        <v>-220.58</v>
      </c>
      <c r="CH45" s="1106">
        <f>+-240.126</f>
        <v>-240.126</v>
      </c>
      <c r="CI45" s="1613">
        <f>CH45</f>
        <v>-240.126</v>
      </c>
      <c r="CJ45" s="1569">
        <f>+-240.969</f>
        <v>-240.96899999999999</v>
      </c>
      <c r="CK45" s="1569">
        <f>-CK17</f>
        <v>0</v>
      </c>
      <c r="CL45" s="1569">
        <f>-CL17</f>
        <v>0</v>
      </c>
      <c r="CM45" s="1569">
        <f>-CM17</f>
        <v>0</v>
      </c>
      <c r="CN45" s="1599">
        <f>CM45</f>
        <v>0</v>
      </c>
      <c r="CO45" s="1569">
        <f>-CO17</f>
        <v>0</v>
      </c>
      <c r="CP45" s="1569">
        <f>-CP17</f>
        <v>0</v>
      </c>
      <c r="CQ45" s="1569">
        <f>-CQ17</f>
        <v>0</v>
      </c>
      <c r="CR45" s="1569">
        <f>-CR17</f>
        <v>0</v>
      </c>
      <c r="CS45" s="1599">
        <f t="shared" si="129"/>
        <v>0</v>
      </c>
      <c r="CT45" s="1569">
        <f>-CT17</f>
        <v>0</v>
      </c>
      <c r="CU45" s="1569">
        <f>-CU17</f>
        <v>0</v>
      </c>
      <c r="CV45" s="1569">
        <f>-CV17</f>
        <v>0</v>
      </c>
      <c r="CW45" s="1569">
        <f>-CW17</f>
        <v>0</v>
      </c>
      <c r="CX45" s="1599">
        <f t="shared" si="130"/>
        <v>0</v>
      </c>
      <c r="CZ45" s="697"/>
      <c r="DA45" s="769"/>
      <c r="DB45" s="697"/>
      <c r="DC45" s="686"/>
    </row>
    <row r="46" spans="1:113" s="47" customFormat="1" ht="10.5" hidden="1" customHeight="1" outlineLevel="1">
      <c r="A46" s="699" t="s">
        <v>809</v>
      </c>
      <c r="B46" s="699"/>
      <c r="C46" s="715"/>
      <c r="D46" s="715"/>
      <c r="E46" s="715"/>
      <c r="F46" s="715">
        <f>-485.115+87.536</f>
        <v>-397.57900000000001</v>
      </c>
      <c r="G46" s="705">
        <f t="shared" si="110"/>
        <v>-397.57900000000001</v>
      </c>
      <c r="H46" s="715">
        <f>-10.952+32.941</f>
        <v>21.989000000000004</v>
      </c>
      <c r="I46" s="715">
        <f>-47.223+59.517</f>
        <v>12.294000000000004</v>
      </c>
      <c r="J46" s="715">
        <f>-158.303+77.087</f>
        <v>-81.215999999999994</v>
      </c>
      <c r="K46" s="715">
        <f>-293.241+81.859</f>
        <v>-211.38200000000001</v>
      </c>
      <c r="L46" s="705">
        <f t="shared" si="111"/>
        <v>-211.38200000000001</v>
      </c>
      <c r="M46" s="715">
        <f>-45.207+13.729</f>
        <v>-31.478000000000002</v>
      </c>
      <c r="N46" s="715">
        <f>-45.35+49.96</f>
        <v>4.6099999999999994</v>
      </c>
      <c r="O46" s="715">
        <f>-84.537+81.1</f>
        <v>-3.4370000000000118</v>
      </c>
      <c r="P46" s="715"/>
      <c r="Q46" s="705">
        <f t="shared" si="112"/>
        <v>0</v>
      </c>
      <c r="R46" s="715">
        <f>-55.607+40.356</f>
        <v>-15.250999999999998</v>
      </c>
      <c r="S46" s="715">
        <f>-185.983+105.713</f>
        <v>-80.27000000000001</v>
      </c>
      <c r="T46" s="715">
        <f>-408.666+174.96</f>
        <v>-233.70599999999999</v>
      </c>
      <c r="U46" s="715">
        <f>-608.681+396.105</f>
        <v>-212.57600000000002</v>
      </c>
      <c r="V46" s="705">
        <f t="shared" si="113"/>
        <v>-212.57600000000002</v>
      </c>
      <c r="W46" s="715">
        <f>-100.022+125.921</f>
        <v>25.899000000000001</v>
      </c>
      <c r="X46" s="715">
        <f>-100.046+197.321</f>
        <v>97.274999999999991</v>
      </c>
      <c r="Y46" s="715">
        <f>-100.092+249.665</f>
        <v>149.57299999999998</v>
      </c>
      <c r="Z46" s="715">
        <f>356.547-600.099</f>
        <v>-243.55200000000002</v>
      </c>
      <c r="AA46" s="705">
        <f t="shared" si="114"/>
        <v>-243.55200000000002</v>
      </c>
      <c r="AB46" s="715">
        <f>-504.482+234.378</f>
        <v>-270.10400000000004</v>
      </c>
      <c r="AC46" s="687">
        <f>-559.62+61.76+AB46</f>
        <v>-767.96400000000006</v>
      </c>
      <c r="AD46" s="687">
        <f>-1164.249+360.994</f>
        <v>-803.255</v>
      </c>
      <c r="AE46" s="687">
        <f>148.512-200.163+AD46</f>
        <v>-854.90599999999995</v>
      </c>
      <c r="AF46" s="768">
        <f t="shared" si="115"/>
        <v>-854.90599999999995</v>
      </c>
      <c r="AG46" s="687">
        <f>-301.468+94.033</f>
        <v>-207.435</v>
      </c>
      <c r="AH46" s="687">
        <f>231.833-601.481</f>
        <v>-369.64800000000002</v>
      </c>
      <c r="AI46" s="687">
        <f>-1451.525+354.652</f>
        <v>-1096.873</v>
      </c>
      <c r="AJ46" s="687">
        <f>AI46-338.378</f>
        <v>-1435.251</v>
      </c>
      <c r="AK46" s="705">
        <f t="shared" si="116"/>
        <v>-1435.251</v>
      </c>
      <c r="AL46" s="687">
        <v>-1150.0219999999999</v>
      </c>
      <c r="AM46" s="687">
        <f>AL46+-150.161</f>
        <v>-1300.183</v>
      </c>
      <c r="AN46" s="687">
        <f>AM46-122.552</f>
        <v>-1422.7349999999999</v>
      </c>
      <c r="AO46" s="687">
        <v>-1722.7149999999999</v>
      </c>
      <c r="AP46" s="705">
        <f t="shared" si="117"/>
        <v>-1722.7149999999999</v>
      </c>
      <c r="AQ46" s="687">
        <v>-1.2999999999999999E-2</v>
      </c>
      <c r="AR46" s="687">
        <v>-1.2999999999999999E-2</v>
      </c>
      <c r="AS46" s="687">
        <f>AR46-350</f>
        <v>-350.01299999999998</v>
      </c>
      <c r="AT46" s="687">
        <f t="shared" si="118"/>
        <v>-350.01299999999998</v>
      </c>
      <c r="AU46" s="705">
        <f>AT46</f>
        <v>-350.01299999999998</v>
      </c>
      <c r="AV46" s="687">
        <v>-0.02</v>
      </c>
      <c r="AW46" s="687">
        <f>AV46-250</f>
        <v>-250.02</v>
      </c>
      <c r="AX46" s="687">
        <f>AW46-400</f>
        <v>-650.02</v>
      </c>
      <c r="AY46" s="687">
        <f>AX46-200+9.628</f>
        <v>-840.39199999999994</v>
      </c>
      <c r="AZ46" s="705">
        <f t="shared" si="120"/>
        <v>-840.39199999999994</v>
      </c>
      <c r="BA46" s="687">
        <v>-125</v>
      </c>
      <c r="BB46" s="687">
        <f>BA46-420.015</f>
        <v>-545.01499999999999</v>
      </c>
      <c r="BC46" s="687">
        <f>BB46-150</f>
        <v>-695.01499999999999</v>
      </c>
      <c r="BD46" s="687">
        <f>BC46</f>
        <v>-695.01499999999999</v>
      </c>
      <c r="BE46" s="705">
        <f t="shared" si="121"/>
        <v>-695.01499999999999</v>
      </c>
      <c r="BF46" s="687">
        <f>-80</f>
        <v>-80</v>
      </c>
      <c r="BG46" s="687">
        <f>BF46+-225+75.871</f>
        <v>-229.12900000000002</v>
      </c>
      <c r="BH46" s="687">
        <f>BG46+60.948</f>
        <v>-168.18100000000001</v>
      </c>
      <c r="BI46" s="687">
        <f>BH46-100</f>
        <v>-268.18100000000004</v>
      </c>
      <c r="BJ46" s="705">
        <f t="shared" si="122"/>
        <v>-268.18100000000004</v>
      </c>
      <c r="BK46" s="687">
        <v>-100</v>
      </c>
      <c r="BL46" s="687">
        <v>-300</v>
      </c>
      <c r="BM46" s="687">
        <v>-700</v>
      </c>
      <c r="BN46" s="687">
        <f>BM46-400+64.892</f>
        <v>-1035.1079999999999</v>
      </c>
      <c r="BO46" s="705">
        <f t="shared" si="123"/>
        <v>-1035.1079999999999</v>
      </c>
      <c r="BP46" s="687">
        <v>-200</v>
      </c>
      <c r="BQ46" s="687">
        <v>-350</v>
      </c>
      <c r="BR46" s="687">
        <v>-475</v>
      </c>
      <c r="BS46" s="687">
        <v>-600</v>
      </c>
      <c r="BT46" s="705">
        <f t="shared" si="124"/>
        <v>-600</v>
      </c>
      <c r="BU46" s="687">
        <f>-200</f>
        <v>-200</v>
      </c>
      <c r="BV46" s="687">
        <v>-400</v>
      </c>
      <c r="BW46" s="687">
        <v>-500</v>
      </c>
      <c r="BX46" s="687">
        <v>-625</v>
      </c>
      <c r="BY46" s="705">
        <f t="shared" si="125"/>
        <v>-625</v>
      </c>
      <c r="BZ46" s="1106">
        <f>-150+45.544-194.795</f>
        <v>-299.25099999999998</v>
      </c>
      <c r="CA46" s="1106">
        <f>+-375+52.285-207.833</f>
        <v>-530.548</v>
      </c>
      <c r="CB46" s="1106">
        <f>+-775+139.823+-224.243</f>
        <v>-859.42000000000007</v>
      </c>
      <c r="CC46" s="1106">
        <f>CB46-300-6.283</f>
        <v>-1165.703</v>
      </c>
      <c r="CD46" s="1613">
        <f t="shared" ref="CD46:CD49" si="131">CC46</f>
        <v>-1165.703</v>
      </c>
      <c r="CE46" s="1106">
        <f>-200+51.787-183.014</f>
        <v>-331.22699999999998</v>
      </c>
      <c r="CF46" s="1106">
        <f>+-500+52.83-197.845</f>
        <v>-645.01499999999999</v>
      </c>
      <c r="CG46" s="1106">
        <f>+-800+157.682</f>
        <v>-642.31799999999998</v>
      </c>
      <c r="CH46" s="1106">
        <f>+-1100+158.351</f>
        <v>-941.649</v>
      </c>
      <c r="CI46" s="1613">
        <f t="shared" si="127"/>
        <v>-941.649</v>
      </c>
      <c r="CJ46" s="1106">
        <f>+-300</f>
        <v>-300</v>
      </c>
      <c r="CK46" s="1106">
        <f>CJ46+BS!CK83</f>
        <v>-648.38778710176302</v>
      </c>
      <c r="CL46" s="1106">
        <f>CK46+BS!CL83</f>
        <v>-1008.8702445701958</v>
      </c>
      <c r="CM46" s="1106">
        <f>CL46+BS!CM83</f>
        <v>-1381.8673266555224</v>
      </c>
      <c r="CN46" s="1613">
        <f t="shared" si="128"/>
        <v>-1381.8673266555224</v>
      </c>
      <c r="CO46" s="1106">
        <f>BS!CO83</f>
        <v>-385.94624525555463</v>
      </c>
      <c r="CP46" s="1106">
        <f>CO46+BS!CP83</f>
        <v>-785.29128311311229</v>
      </c>
      <c r="CQ46" s="1106">
        <f>CP46+BS!CQ83</f>
        <v>-1198.5003580567557</v>
      </c>
      <c r="CR46" s="1106">
        <f>CQ46+BS!CR83</f>
        <v>-1626.0548720067613</v>
      </c>
      <c r="CS46" s="1613">
        <f t="shared" si="129"/>
        <v>-1626.0548720067613</v>
      </c>
      <c r="CT46" s="1106">
        <f>BS!CT83</f>
        <v>-442.39807353936556</v>
      </c>
      <c r="CU46" s="1106">
        <f>CT46+BS!CU83</f>
        <v>-900.15512663786353</v>
      </c>
      <c r="CV46" s="1106">
        <f>CU46+BS!CV83</f>
        <v>-1373.8044795509022</v>
      </c>
      <c r="CW46" s="1106">
        <f>CV46+BS!CW83</f>
        <v>-1863.8979745944016</v>
      </c>
      <c r="CX46" s="1613">
        <f t="shared" si="130"/>
        <v>-1863.8979745944016</v>
      </c>
      <c r="CY46"/>
      <c r="CZ46" s="697"/>
      <c r="DA46" s="769"/>
      <c r="DB46" s="697"/>
      <c r="DC46" s="686"/>
      <c r="DD46"/>
      <c r="DE46"/>
      <c r="DF46"/>
      <c r="DG46"/>
      <c r="DH46"/>
      <c r="DI46"/>
    </row>
    <row r="47" spans="1:113" ht="10.5" hidden="1" customHeight="1" outlineLevel="1">
      <c r="A47" s="699" t="s">
        <v>561</v>
      </c>
      <c r="B47" s="699"/>
      <c r="C47" s="715"/>
      <c r="D47" s="715"/>
      <c r="E47" s="715"/>
      <c r="F47" s="715"/>
      <c r="G47" s="705">
        <f t="shared" si="110"/>
        <v>0</v>
      </c>
      <c r="H47" s="715"/>
      <c r="I47" s="715"/>
      <c r="J47" s="715"/>
      <c r="K47" s="715"/>
      <c r="L47" s="705">
        <f t="shared" si="111"/>
        <v>0</v>
      </c>
      <c r="M47" s="715"/>
      <c r="N47" s="715"/>
      <c r="O47" s="715"/>
      <c r="P47" s="715"/>
      <c r="Q47" s="705">
        <f t="shared" si="112"/>
        <v>0</v>
      </c>
      <c r="R47" s="687"/>
      <c r="S47" s="687"/>
      <c r="T47" s="687"/>
      <c r="U47" s="687"/>
      <c r="V47" s="705">
        <f t="shared" si="113"/>
        <v>0</v>
      </c>
      <c r="W47" s="687"/>
      <c r="X47" s="687"/>
      <c r="Y47" s="687"/>
      <c r="Z47" s="687"/>
      <c r="AA47" s="705">
        <f t="shared" si="114"/>
        <v>0</v>
      </c>
      <c r="AB47" s="687"/>
      <c r="AC47" s="687"/>
      <c r="AD47" s="687"/>
      <c r="AE47" s="687"/>
      <c r="AF47" s="768">
        <f t="shared" si="115"/>
        <v>0</v>
      </c>
      <c r="AG47" s="687"/>
      <c r="AH47" s="687"/>
      <c r="AI47" s="687"/>
      <c r="AJ47" s="687"/>
      <c r="AK47" s="705">
        <f t="shared" si="116"/>
        <v>0</v>
      </c>
      <c r="AL47" s="687">
        <v>0</v>
      </c>
      <c r="AM47" s="687">
        <f>AL47+0</f>
        <v>0</v>
      </c>
      <c r="AN47" s="687">
        <f>AM47+0</f>
        <v>0</v>
      </c>
      <c r="AO47" s="687">
        <v>0</v>
      </c>
      <c r="AP47" s="705">
        <f t="shared" si="117"/>
        <v>0</v>
      </c>
      <c r="AQ47" s="687">
        <f>(BS!AQ29+BS!AQ36)-(BS!AP29+BS!AP36)</f>
        <v>0</v>
      </c>
      <c r="AR47" s="687">
        <f>AQ47</f>
        <v>0</v>
      </c>
      <c r="AS47" s="687">
        <f>AR47</f>
        <v>0</v>
      </c>
      <c r="AT47" s="687">
        <f t="shared" si="118"/>
        <v>0</v>
      </c>
      <c r="AU47" s="705">
        <f t="shared" si="119"/>
        <v>0</v>
      </c>
      <c r="AV47" s="687">
        <v>0</v>
      </c>
      <c r="AW47" s="687">
        <f>AV47</f>
        <v>0</v>
      </c>
      <c r="AX47" s="687">
        <f>AW47</f>
        <v>0</v>
      </c>
      <c r="AY47" s="687">
        <f>AX47</f>
        <v>0</v>
      </c>
      <c r="AZ47" s="705">
        <f t="shared" si="120"/>
        <v>0</v>
      </c>
      <c r="BA47" s="687">
        <v>0</v>
      </c>
      <c r="BB47" s="687">
        <v>0</v>
      </c>
      <c r="BC47" s="687">
        <v>0</v>
      </c>
      <c r="BD47" s="687">
        <f>BC47</f>
        <v>0</v>
      </c>
      <c r="BE47" s="705">
        <f t="shared" si="121"/>
        <v>0</v>
      </c>
      <c r="BF47" s="687">
        <v>0</v>
      </c>
      <c r="BG47" s="687">
        <f>BF47</f>
        <v>0</v>
      </c>
      <c r="BH47" s="687">
        <f>BG47</f>
        <v>0</v>
      </c>
      <c r="BI47" s="687">
        <f>BH47</f>
        <v>0</v>
      </c>
      <c r="BJ47" s="705">
        <f t="shared" si="122"/>
        <v>0</v>
      </c>
      <c r="BK47" s="687">
        <v>0</v>
      </c>
      <c r="BL47" s="687">
        <v>0</v>
      </c>
      <c r="BM47" s="687">
        <v>0</v>
      </c>
      <c r="BN47" s="687">
        <v>0</v>
      </c>
      <c r="BO47" s="705">
        <f t="shared" si="123"/>
        <v>0</v>
      </c>
      <c r="BP47" s="687">
        <v>0</v>
      </c>
      <c r="BQ47" s="687">
        <v>0</v>
      </c>
      <c r="BR47" s="687">
        <v>0</v>
      </c>
      <c r="BS47" s="687">
        <v>0</v>
      </c>
      <c r="BT47" s="705">
        <f t="shared" si="124"/>
        <v>0</v>
      </c>
      <c r="BU47" s="687">
        <v>0</v>
      </c>
      <c r="BV47" s="687">
        <v>0</v>
      </c>
      <c r="BW47" s="687">
        <v>0</v>
      </c>
      <c r="BX47" s="687">
        <v>-8.8279999999999994</v>
      </c>
      <c r="BY47" s="705">
        <f t="shared" si="125"/>
        <v>-8.8279999999999994</v>
      </c>
      <c r="BZ47" s="1106">
        <v>0</v>
      </c>
      <c r="CA47" s="1106">
        <v>0</v>
      </c>
      <c r="CB47" s="1106">
        <v>0</v>
      </c>
      <c r="CC47" s="1106">
        <f>CB47</f>
        <v>0</v>
      </c>
      <c r="CD47" s="1613">
        <f t="shared" si="131"/>
        <v>0</v>
      </c>
      <c r="CE47" s="1106">
        <f>(BS!CE29+BS!CE36)-(BS!CD29+BS!CD36)</f>
        <v>0</v>
      </c>
      <c r="CF47" s="1106">
        <v>0</v>
      </c>
      <c r="CG47" s="1106">
        <v>0</v>
      </c>
      <c r="CH47" s="1106">
        <v>0</v>
      </c>
      <c r="CI47" s="1613">
        <f t="shared" si="127"/>
        <v>0</v>
      </c>
      <c r="CJ47" s="1569">
        <v>0</v>
      </c>
      <c r="CK47" s="1569">
        <f>CJ47+(BS!CK29+BS!CK36)-(BS!CJ29+BS!CJ36)</f>
        <v>0</v>
      </c>
      <c r="CL47" s="1569">
        <f>CK47+(BS!CL29+BS!CL36)-(BS!CK29+BS!CK36)</f>
        <v>0</v>
      </c>
      <c r="CM47" s="1569">
        <f>CL47+(BS!CM29+BS!CM36)-(BS!CL29+BS!CL36)</f>
        <v>0</v>
      </c>
      <c r="CN47" s="1599">
        <f t="shared" si="128"/>
        <v>0</v>
      </c>
      <c r="CO47" s="1569">
        <f>(BS!CO29+BS!CO36)-(BS!CN29+BS!CN36)</f>
        <v>0</v>
      </c>
      <c r="CP47" s="1569">
        <f>CO47+(BS!CP29+BS!CP36)-(BS!CO29+BS!CO36)</f>
        <v>0</v>
      </c>
      <c r="CQ47" s="1569">
        <f>CP47+(BS!CQ29+BS!CQ36)-(BS!CP29+BS!CP36)</f>
        <v>0</v>
      </c>
      <c r="CR47" s="1569">
        <f>CQ47+(BS!CR29+BS!CR36)-(BS!CQ29+BS!CQ36)</f>
        <v>0</v>
      </c>
      <c r="CS47" s="1599">
        <f t="shared" si="129"/>
        <v>0</v>
      </c>
      <c r="CT47" s="1569">
        <f>(BS!CT29+BS!CT36)-(BS!CS29+BS!CS36)</f>
        <v>0</v>
      </c>
      <c r="CU47" s="1569">
        <f>CT47+(BS!CU29+BS!CU36)-(BS!CT29+BS!CT36)</f>
        <v>0</v>
      </c>
      <c r="CV47" s="1569">
        <f>CU47+(BS!CV29+BS!CV36)-(BS!CU29+BS!CU36)</f>
        <v>0</v>
      </c>
      <c r="CW47" s="1569">
        <f>CV47+(BS!CW29+BS!CW36)-(BS!CV29+BS!CV36)</f>
        <v>0</v>
      </c>
      <c r="CX47" s="1599">
        <f t="shared" si="130"/>
        <v>0</v>
      </c>
      <c r="CZ47" s="697"/>
      <c r="DA47" s="769"/>
      <c r="DB47" s="697"/>
      <c r="DC47" s="686"/>
    </row>
    <row r="48" spans="1:113" ht="10.5" hidden="1" customHeight="1" outlineLevel="1">
      <c r="A48" s="699" t="s">
        <v>155</v>
      </c>
      <c r="B48" s="699"/>
      <c r="C48" s="715"/>
      <c r="D48" s="715"/>
      <c r="E48" s="715"/>
      <c r="F48" s="715">
        <v>-12.007</v>
      </c>
      <c r="G48" s="705">
        <f t="shared" si="110"/>
        <v>-12.007</v>
      </c>
      <c r="H48" s="715">
        <v>-2.9609999999999999</v>
      </c>
      <c r="I48" s="715">
        <v>-5.9329999999999998</v>
      </c>
      <c r="J48" s="715">
        <v>-8.9269999999999996</v>
      </c>
      <c r="K48" s="715">
        <v>-11.881</v>
      </c>
      <c r="L48" s="705">
        <f t="shared" si="111"/>
        <v>-11.881</v>
      </c>
      <c r="M48" s="715">
        <v>-2.887</v>
      </c>
      <c r="N48" s="715">
        <v>-5.7850000000000001</v>
      </c>
      <c r="O48" s="715">
        <v>-8.7010000000000005</v>
      </c>
      <c r="P48" s="715">
        <v>-11.625999999999999</v>
      </c>
      <c r="Q48" s="705">
        <f t="shared" si="112"/>
        <v>-11.625999999999999</v>
      </c>
      <c r="R48" s="687">
        <v>-2.9860000000000002</v>
      </c>
      <c r="S48" s="687">
        <v>-5.9690000000000003</v>
      </c>
      <c r="T48" s="687">
        <v>-8.9600000000000009</v>
      </c>
      <c r="U48" s="687">
        <v>-11.942</v>
      </c>
      <c r="V48" s="705">
        <f t="shared" si="113"/>
        <v>-11.942</v>
      </c>
      <c r="W48" s="687">
        <v>-3.032</v>
      </c>
      <c r="X48" s="687">
        <v>-3.044</v>
      </c>
      <c r="Y48" s="687">
        <v>-3.044</v>
      </c>
      <c r="Z48" s="687">
        <v>-3.044</v>
      </c>
      <c r="AA48" s="705">
        <f t="shared" si="114"/>
        <v>-3.044</v>
      </c>
      <c r="AB48" s="687"/>
      <c r="AC48" s="687"/>
      <c r="AD48" s="687"/>
      <c r="AE48" s="687"/>
      <c r="AF48" s="768">
        <f t="shared" si="115"/>
        <v>0</v>
      </c>
      <c r="AG48" s="687"/>
      <c r="AH48" s="687"/>
      <c r="AI48" s="687"/>
      <c r="AJ48" s="687"/>
      <c r="AK48" s="705">
        <f t="shared" si="116"/>
        <v>0</v>
      </c>
      <c r="AL48" s="687"/>
      <c r="AM48" s="687"/>
      <c r="AN48" s="687"/>
      <c r="AO48" s="687"/>
      <c r="AP48" s="705">
        <f t="shared" si="117"/>
        <v>0</v>
      </c>
      <c r="AQ48" s="687">
        <v>0</v>
      </c>
      <c r="AR48" s="687">
        <f>AQ48</f>
        <v>0</v>
      </c>
      <c r="AS48" s="687">
        <f>AR48</f>
        <v>0</v>
      </c>
      <c r="AT48" s="687">
        <f t="shared" si="118"/>
        <v>-13.875</v>
      </c>
      <c r="AU48" s="705">
        <f t="shared" si="119"/>
        <v>-13.875</v>
      </c>
      <c r="AV48" s="687">
        <v>-10.141999999999999</v>
      </c>
      <c r="AW48" s="687">
        <f>AV48-0.52</f>
        <v>-10.661999999999999</v>
      </c>
      <c r="AX48" s="687">
        <f>AW48</f>
        <v>-10.661999999999999</v>
      </c>
      <c r="AY48" s="687">
        <f>AX48</f>
        <v>-10.661999999999999</v>
      </c>
      <c r="AZ48" s="705">
        <f t="shared" si="120"/>
        <v>-10.661999999999999</v>
      </c>
      <c r="BA48" s="687">
        <v>0</v>
      </c>
      <c r="BB48" s="687">
        <f>BA48+8.778</f>
        <v>8.7780000000000005</v>
      </c>
      <c r="BC48" s="687">
        <f>BB48</f>
        <v>8.7780000000000005</v>
      </c>
      <c r="BD48" s="687">
        <f>BC48</f>
        <v>8.7780000000000005</v>
      </c>
      <c r="BE48" s="705">
        <f t="shared" si="121"/>
        <v>8.7780000000000005</v>
      </c>
      <c r="BF48" s="687">
        <f>-2.264-2.297</f>
        <v>-4.5609999999999999</v>
      </c>
      <c r="BG48" s="687">
        <f>BF48-2.29</f>
        <v>-6.851</v>
      </c>
      <c r="BH48" s="687">
        <f>BG48</f>
        <v>-6.851</v>
      </c>
      <c r="BI48" s="687">
        <f>BH48</f>
        <v>-6.851</v>
      </c>
      <c r="BJ48" s="705">
        <f t="shared" si="122"/>
        <v>-6.851</v>
      </c>
      <c r="BK48" s="687">
        <v>0</v>
      </c>
      <c r="BL48" s="687">
        <f>BK48-7.297</f>
        <v>-7.2969999999999997</v>
      </c>
      <c r="BM48" s="687">
        <f>BL48</f>
        <v>-7.2969999999999997</v>
      </c>
      <c r="BN48" s="687">
        <f>BM48</f>
        <v>-7.2969999999999997</v>
      </c>
      <c r="BO48" s="705">
        <f t="shared" si="123"/>
        <v>-7.2969999999999997</v>
      </c>
      <c r="BP48" s="687">
        <v>0</v>
      </c>
      <c r="BQ48" s="687">
        <f>BP48-3.626</f>
        <v>-3.6259999999999999</v>
      </c>
      <c r="BR48" s="687">
        <f>BQ48-3.372</f>
        <v>-6.9979999999999993</v>
      </c>
      <c r="BS48" s="687">
        <f>BR48-3.253</f>
        <v>-10.250999999999999</v>
      </c>
      <c r="BT48" s="705">
        <f t="shared" si="124"/>
        <v>-10.250999999999999</v>
      </c>
      <c r="BU48" s="687">
        <v>0</v>
      </c>
      <c r="BV48" s="687">
        <v>0</v>
      </c>
      <c r="BW48" s="687">
        <v>0</v>
      </c>
      <c r="BX48" s="687">
        <v>0</v>
      </c>
      <c r="BY48" s="705">
        <f t="shared" si="125"/>
        <v>0</v>
      </c>
      <c r="BZ48" s="1106">
        <v>0</v>
      </c>
      <c r="CA48" s="1106">
        <f>+-0.021</f>
        <v>-2.1000000000000001E-2</v>
      </c>
      <c r="CB48" s="1106">
        <f>+-0.086</f>
        <v>-8.5999999999999993E-2</v>
      </c>
      <c r="CC48" s="1106">
        <f>CB48-0.022</f>
        <v>-0.10799999999999998</v>
      </c>
      <c r="CD48" s="1613">
        <f t="shared" si="131"/>
        <v>-0.10799999999999998</v>
      </c>
      <c r="CE48" s="1106">
        <v>-0.26800000000000002</v>
      </c>
      <c r="CF48" s="1106">
        <f>+-0.912</f>
        <v>-0.91200000000000003</v>
      </c>
      <c r="CG48" s="1106">
        <f>+-1.328</f>
        <v>-1.3280000000000001</v>
      </c>
      <c r="CH48" s="1106">
        <f>+-1.96</f>
        <v>-1.96</v>
      </c>
      <c r="CI48" s="1613">
        <f t="shared" si="127"/>
        <v>-1.96</v>
      </c>
      <c r="CJ48" s="1569">
        <f>+-0.304</f>
        <v>-0.30399999999999999</v>
      </c>
      <c r="CK48" s="1569">
        <f>CJ48+BS!CK46-BS!CJ46</f>
        <v>-0.30400000000000205</v>
      </c>
      <c r="CL48" s="1569">
        <f>CK48+BS!CL46-BS!CK46</f>
        <v>-0.30400000000000205</v>
      </c>
      <c r="CM48" s="1569">
        <f>CL48+BS!CM46-BS!CL46</f>
        <v>-0.30400000000000205</v>
      </c>
      <c r="CN48" s="1599">
        <f t="shared" si="128"/>
        <v>-0.30400000000000205</v>
      </c>
      <c r="CO48" s="1569">
        <f>BS!CO46-BS!CN46</f>
        <v>0</v>
      </c>
      <c r="CP48" s="1569">
        <f>CO48+BS!CP46-BS!CO46</f>
        <v>0</v>
      </c>
      <c r="CQ48" s="1569">
        <f>CP48+BS!CQ46-BS!CP46</f>
        <v>0</v>
      </c>
      <c r="CR48" s="1569">
        <f>CQ48+BS!CR46-BS!CQ46</f>
        <v>0</v>
      </c>
      <c r="CS48" s="1599">
        <f t="shared" si="129"/>
        <v>0</v>
      </c>
      <c r="CT48" s="1569">
        <f>BS!CT46-BS!CS46</f>
        <v>0</v>
      </c>
      <c r="CU48" s="1569">
        <f>CT48+BS!CU46-BS!CT46</f>
        <v>0</v>
      </c>
      <c r="CV48" s="1569">
        <f>CU48+BS!CV46-BS!CU46</f>
        <v>0</v>
      </c>
      <c r="CW48" s="1569">
        <f>CV48+BS!CW46-BS!CV46</f>
        <v>0</v>
      </c>
      <c r="CX48" s="1599">
        <f t="shared" si="130"/>
        <v>0</v>
      </c>
      <c r="CZ48" s="697"/>
      <c r="DA48" s="769"/>
      <c r="DB48" s="697"/>
      <c r="DC48" s="686"/>
    </row>
    <row r="49" spans="1:113" ht="10.5" hidden="1" customHeight="1" outlineLevel="1">
      <c r="A49" s="706" t="s">
        <v>747</v>
      </c>
      <c r="B49" s="706"/>
      <c r="C49" s="707">
        <v>-88.206999999999994</v>
      </c>
      <c r="D49" s="707">
        <f>-229.786</f>
        <v>-229.786</v>
      </c>
      <c r="E49" s="707">
        <v>-301.10700000000003</v>
      </c>
      <c r="F49" s="707">
        <f>SUM(F42:F48)</f>
        <v>-409.58600000000001</v>
      </c>
      <c r="G49" s="765">
        <f t="shared" si="110"/>
        <v>-409.58600000000001</v>
      </c>
      <c r="H49" s="707">
        <f>SUM(H42:H48)</f>
        <v>19.028000000000006</v>
      </c>
      <c r="I49" s="707">
        <f>SUM(I42:I48)</f>
        <v>6.3610000000000042</v>
      </c>
      <c r="J49" s="707">
        <f>SUM(J42:J48)</f>
        <v>-90.143000000000001</v>
      </c>
      <c r="K49" s="707">
        <f>SUM(K42:K48)</f>
        <v>-223.26300000000001</v>
      </c>
      <c r="L49" s="765">
        <f t="shared" si="111"/>
        <v>-223.26300000000001</v>
      </c>
      <c r="M49" s="707">
        <f>SUM(M42:M48)</f>
        <v>-34.365000000000002</v>
      </c>
      <c r="N49" s="707">
        <f>SUM(N42:N48)</f>
        <v>-1.1750000000000007</v>
      </c>
      <c r="O49" s="707">
        <f>SUM(O42:O48)</f>
        <v>-12.138000000000012</v>
      </c>
      <c r="P49" s="707">
        <f>SUM(P42:P48)</f>
        <v>117.018</v>
      </c>
      <c r="Q49" s="765">
        <f t="shared" si="112"/>
        <v>117.018</v>
      </c>
      <c r="R49" s="707">
        <f>SUM(R42:R48)</f>
        <v>-18.236999999999998</v>
      </c>
      <c r="S49" s="707">
        <f>SUM(S42:S48)</f>
        <v>-86.239000000000004</v>
      </c>
      <c r="T49" s="707">
        <f>SUM(T42:T48)</f>
        <v>-242.666</v>
      </c>
      <c r="U49" s="707">
        <f>SUM(U42:U48)</f>
        <v>-224.51800000000003</v>
      </c>
      <c r="V49" s="765">
        <f t="shared" si="113"/>
        <v>-224.51800000000003</v>
      </c>
      <c r="W49" s="707">
        <f>SUM(W42:W48)</f>
        <v>22.867000000000001</v>
      </c>
      <c r="X49" s="707">
        <f>SUM(X42:X48)</f>
        <v>94.230999999999995</v>
      </c>
      <c r="Y49" s="707">
        <f>SUM(Y42:Y48)</f>
        <v>146.52899999999997</v>
      </c>
      <c r="Z49" s="707">
        <f>SUM(Z42:Z48)</f>
        <v>-246.59600000000003</v>
      </c>
      <c r="AA49" s="765">
        <f t="shared" si="114"/>
        <v>-246.59600000000003</v>
      </c>
      <c r="AB49" s="707">
        <f>SUM(AB42:AB48)</f>
        <v>-246.37800000000004</v>
      </c>
      <c r="AC49" s="707">
        <f>SUM(AC42:AC48)</f>
        <v>-721.50600000000009</v>
      </c>
      <c r="AD49" s="707">
        <f>SUM(AD42:AD48)</f>
        <v>-721.36199999999997</v>
      </c>
      <c r="AE49" s="707">
        <f>SUM(AE42:AE48)</f>
        <v>-711.48199999999997</v>
      </c>
      <c r="AF49" s="765">
        <f t="shared" si="115"/>
        <v>-711.48199999999997</v>
      </c>
      <c r="AG49" s="707">
        <f>SUM(AG42:AG48)</f>
        <v>-205.87899999999999</v>
      </c>
      <c r="AH49" s="707">
        <f>SUM(AH42:AH48)</f>
        <v>-332.226</v>
      </c>
      <c r="AI49" s="707">
        <f>SUM(AI42:AI48)</f>
        <v>-1042.4770000000001</v>
      </c>
      <c r="AJ49" s="707">
        <f>SUM(AJ42:AJ48)</f>
        <v>-1350.201</v>
      </c>
      <c r="AK49" s="765">
        <f t="shared" si="116"/>
        <v>-1350.201</v>
      </c>
      <c r="AL49" s="707">
        <f>SUM(AL42:AL48)</f>
        <v>-646.51199999999994</v>
      </c>
      <c r="AM49" s="707">
        <f>SUM(AM42:AM48)</f>
        <v>-778.38700000000006</v>
      </c>
      <c r="AN49" s="707">
        <f>SUM(AN42:AN48)</f>
        <v>-747.64599999999996</v>
      </c>
      <c r="AO49" s="707">
        <f>SUM(AO42:AO48)</f>
        <v>-1021.567</v>
      </c>
      <c r="AP49" s="765">
        <f t="shared" si="117"/>
        <v>-1021.567</v>
      </c>
      <c r="AQ49" s="1012">
        <f>SUM(AQ42:AQ48)</f>
        <v>28.674999999999997</v>
      </c>
      <c r="AR49" s="707">
        <f>SUM(AR42:AR48)</f>
        <v>48.890000000000008</v>
      </c>
      <c r="AS49" s="707">
        <f>SUM(AS42:AS48)</f>
        <v>-227.70999999999998</v>
      </c>
      <c r="AT49" s="707">
        <f>SUM(AT42:AT48)</f>
        <v>477.65800000000007</v>
      </c>
      <c r="AU49" s="765">
        <f t="shared" si="119"/>
        <v>477.65800000000007</v>
      </c>
      <c r="AV49" s="707">
        <f>SUM(AV42:AV48)</f>
        <v>540.15899999999999</v>
      </c>
      <c r="AW49" s="707">
        <f>SUM(AW42:AW48)</f>
        <v>325.30200000000008</v>
      </c>
      <c r="AX49" s="707">
        <f>SUM(AX42:AX48)</f>
        <v>-28.989999999999974</v>
      </c>
      <c r="AY49" s="707">
        <f>SUM(AY42:AY48)</f>
        <v>-215.25199999999992</v>
      </c>
      <c r="AZ49" s="765">
        <f t="shared" si="120"/>
        <v>-215.25199999999992</v>
      </c>
      <c r="BA49" s="707">
        <f>SUM(BA42:BA48)</f>
        <v>-86.518000000000001</v>
      </c>
      <c r="BB49" s="707">
        <f>SUM(BB42:BB48)</f>
        <v>-452.47799999999995</v>
      </c>
      <c r="BC49" s="707">
        <f>SUM(BC42:BC48)</f>
        <v>-550.15899999999988</v>
      </c>
      <c r="BD49" s="707">
        <f>SUM(BD42:BD48)</f>
        <v>-550.35799999999995</v>
      </c>
      <c r="BE49" s="765">
        <f t="shared" si="121"/>
        <v>-550.35799999999995</v>
      </c>
      <c r="BF49" s="707">
        <f>SUM(BF42:BF48)</f>
        <v>-68.525000000000006</v>
      </c>
      <c r="BG49" s="707">
        <f>SUM(BG42:BG48)</f>
        <v>-217.26000000000002</v>
      </c>
      <c r="BH49" s="707">
        <f>SUM(BH42:BH48)</f>
        <v>-154.304</v>
      </c>
      <c r="BI49" s="707">
        <f>SUM(BI42:BI48)</f>
        <v>-234.72300000000004</v>
      </c>
      <c r="BJ49" s="765">
        <f t="shared" si="122"/>
        <v>-234.72300000000004</v>
      </c>
      <c r="BK49" s="707">
        <f>SUM(BK42:BK48)</f>
        <v>11.405000000000001</v>
      </c>
      <c r="BL49" s="707">
        <f>SUM(BL42:BL48)</f>
        <v>-11.236999999999998</v>
      </c>
      <c r="BM49" s="707">
        <f>SUM(BM42:BM48)</f>
        <v>-258.608</v>
      </c>
      <c r="BN49" s="707">
        <f>SUM(BN42:BN48)</f>
        <v>-559.13799999999992</v>
      </c>
      <c r="BO49" s="765">
        <f t="shared" si="123"/>
        <v>-559.13799999999992</v>
      </c>
      <c r="BP49" s="707">
        <f>SUM(BP42:BP48)</f>
        <v>-258.209</v>
      </c>
      <c r="BQ49" s="707">
        <f>SUM(BQ42:BQ48)</f>
        <v>-394.13599999999997</v>
      </c>
      <c r="BR49" s="707">
        <f>SUM(BR42:BR48)</f>
        <v>-403.93</v>
      </c>
      <c r="BS49" s="707">
        <f>SUM(BS42:BS48)</f>
        <v>-507.28300000000002</v>
      </c>
      <c r="BT49" s="765">
        <f t="shared" si="124"/>
        <v>-507.28300000000002</v>
      </c>
      <c r="BU49" s="707">
        <f>SUM(BU42:BU48)</f>
        <v>119.27499999999998</v>
      </c>
      <c r="BV49" s="707">
        <v>-66.827000000000055</v>
      </c>
      <c r="BW49" s="707">
        <f>SUM(BW42:BW48)</f>
        <v>-85.536999999999921</v>
      </c>
      <c r="BX49" s="707">
        <f>SUM(BX42:BX48)</f>
        <v>-200.68699999999993</v>
      </c>
      <c r="BY49" s="765">
        <f t="shared" si="125"/>
        <v>-200.68699999999993</v>
      </c>
      <c r="BZ49" s="1373">
        <f>SUM(BZ42:BZ48)</f>
        <v>-284.392</v>
      </c>
      <c r="CA49" s="1373">
        <f>SUM(CA42:CA48)</f>
        <v>-465.28000000000003</v>
      </c>
      <c r="CB49" s="1373">
        <f>SUM(CB42:CB48)</f>
        <v>-790.23700000000008</v>
      </c>
      <c r="CC49" s="1373">
        <f>SUM(CC42:CC48)</f>
        <v>-1090.7059999999999</v>
      </c>
      <c r="CD49" s="1678">
        <f t="shared" si="131"/>
        <v>-1090.7059999999999</v>
      </c>
      <c r="CE49" s="1373">
        <f>SUM(CE42:CE48)</f>
        <v>-331.49499999999995</v>
      </c>
      <c r="CF49" s="1373">
        <f>SUM(CF42:CF48)</f>
        <v>-645.92700000000002</v>
      </c>
      <c r="CG49" s="1373">
        <f>SUM(CG42:CG48)</f>
        <v>-864.226</v>
      </c>
      <c r="CH49" s="1373">
        <f>SUM(CH42:CH48)</f>
        <v>-1183.7350000000001</v>
      </c>
      <c r="CI49" s="1678">
        <f t="shared" si="127"/>
        <v>-1183.7350000000001</v>
      </c>
      <c r="CJ49" s="1257">
        <f>SUM(CJ42:CJ48)</f>
        <v>-541.27300000000002</v>
      </c>
      <c r="CK49" s="1257">
        <f>SUM(CK42:CK48)</f>
        <v>-571.88578710176319</v>
      </c>
      <c r="CL49" s="1257">
        <f>SUM(CL42:CL48)</f>
        <v>-882.368244570196</v>
      </c>
      <c r="CM49" s="1257">
        <f>SUM(CM42:CM48)</f>
        <v>-1205.3653266555227</v>
      </c>
      <c r="CN49" s="1611">
        <f t="shared" si="128"/>
        <v>-1205.3653266555227</v>
      </c>
      <c r="CO49" s="1257">
        <f>SUM(CO42:CO48)</f>
        <v>-335.94624525555463</v>
      </c>
      <c r="CP49" s="1257">
        <f>SUM(CP42:CP48)</f>
        <v>-685.29128311311229</v>
      </c>
      <c r="CQ49" s="1257">
        <f>SUM(CQ42:CQ48)</f>
        <v>-1048.5003580567557</v>
      </c>
      <c r="CR49" s="1257">
        <f>SUM(CR42:CR48)</f>
        <v>-1426.0548720067613</v>
      </c>
      <c r="CS49" s="1611">
        <f t="shared" si="129"/>
        <v>-1426.0548720067613</v>
      </c>
      <c r="CT49" s="1257">
        <f>SUM(CT42:CT48)</f>
        <v>-392.39807353936556</v>
      </c>
      <c r="CU49" s="1257">
        <f>SUM(CU42:CU48)</f>
        <v>-800.15512663786353</v>
      </c>
      <c r="CV49" s="1257">
        <f>SUM(CV42:CV48)</f>
        <v>-1223.8044795509022</v>
      </c>
      <c r="CW49" s="1257">
        <f>SUM(CW42:CW48)</f>
        <v>-1663.8979745944016</v>
      </c>
      <c r="CX49" s="1611">
        <f t="shared" si="130"/>
        <v>-1663.8979745944016</v>
      </c>
      <c r="CZ49" s="686"/>
      <c r="DA49" s="769"/>
      <c r="DB49" s="686"/>
      <c r="DC49" s="686"/>
    </row>
    <row r="50" spans="1:113" ht="10.5" hidden="1" customHeight="1" outlineLevel="1">
      <c r="A50" s="699" t="s">
        <v>151</v>
      </c>
      <c r="B50" s="699"/>
      <c r="C50" s="715">
        <v>2.3E-2</v>
      </c>
      <c r="D50" s="715">
        <f>-1.113</f>
        <v>-1.113</v>
      </c>
      <c r="E50" s="715">
        <v>-0.33500000000000002</v>
      </c>
      <c r="F50" s="715">
        <v>-0.89500000000000002</v>
      </c>
      <c r="G50" s="705">
        <f>F50</f>
        <v>-0.89500000000000002</v>
      </c>
      <c r="H50" s="715">
        <v>-0.56899999999999995</v>
      </c>
      <c r="I50" s="715">
        <v>0.47</v>
      </c>
      <c r="J50" s="715">
        <v>1.1200000000000001</v>
      </c>
      <c r="K50" s="715">
        <v>1.2170000000000001</v>
      </c>
      <c r="L50" s="705">
        <f>K50</f>
        <v>1.2170000000000001</v>
      </c>
      <c r="M50" s="715">
        <v>1.569</v>
      </c>
      <c r="N50" s="715">
        <v>2.8820000000000001</v>
      </c>
      <c r="O50" s="715">
        <v>2.198</v>
      </c>
      <c r="P50" s="715">
        <v>4.4710000000000001</v>
      </c>
      <c r="Q50" s="705">
        <f>P50</f>
        <v>4.4710000000000001</v>
      </c>
      <c r="R50" s="687">
        <v>0.33200000000000002</v>
      </c>
      <c r="S50" s="687">
        <v>-0.153</v>
      </c>
      <c r="T50" s="687">
        <v>-0.16600000000000001</v>
      </c>
      <c r="U50" s="687">
        <v>3.5659999999999998</v>
      </c>
      <c r="V50" s="705">
        <f>U50</f>
        <v>3.5659999999999998</v>
      </c>
      <c r="W50" s="687">
        <f>-1.165</f>
        <v>-1.165</v>
      </c>
      <c r="X50" s="687">
        <f>-3.25</f>
        <v>-3.25</v>
      </c>
      <c r="Y50" s="687">
        <f>-1.277</f>
        <v>-1.2769999999999999</v>
      </c>
      <c r="Z50" s="687">
        <f>-1.637-0.316</f>
        <v>-1.9530000000000001</v>
      </c>
      <c r="AA50" s="705">
        <f>Z50</f>
        <v>-1.9530000000000001</v>
      </c>
      <c r="AB50" s="687">
        <v>0.96299999999999997</v>
      </c>
      <c r="AC50" s="687">
        <f>2.512+AB50</f>
        <v>3.4750000000000001</v>
      </c>
      <c r="AD50" s="687">
        <v>3.4950000000000001</v>
      </c>
      <c r="AE50" s="687">
        <f>AD50+0.929</f>
        <v>4.4240000000000004</v>
      </c>
      <c r="AF50" s="768">
        <f>AE50</f>
        <v>4.4240000000000004</v>
      </c>
      <c r="AG50" s="687">
        <v>-1.26</v>
      </c>
      <c r="AH50" s="687">
        <v>3.2679999999999998</v>
      </c>
      <c r="AI50" s="687">
        <v>1.52</v>
      </c>
      <c r="AJ50" s="687">
        <f>AI50+0.195</f>
        <v>1.7150000000000001</v>
      </c>
      <c r="AK50" s="705">
        <f>AJ50</f>
        <v>1.7150000000000001</v>
      </c>
      <c r="AL50" s="687">
        <v>4.7519999999999998</v>
      </c>
      <c r="AM50" s="687">
        <f>AL50+-1.094</f>
        <v>3.6579999999999995</v>
      </c>
      <c r="AN50" s="687">
        <f>AM50-5.514</f>
        <v>-1.8560000000000008</v>
      </c>
      <c r="AO50" s="687">
        <f>AN50-12.55</f>
        <v>-14.406000000000002</v>
      </c>
      <c r="AP50" s="705">
        <f>AO50</f>
        <v>-14.406000000000002</v>
      </c>
      <c r="AQ50" s="687">
        <v>-0.38100000000000001</v>
      </c>
      <c r="AR50" s="687">
        <v>13.481999999999999</v>
      </c>
      <c r="AS50" s="687">
        <f>AR50+1.177</f>
        <v>14.658999999999999</v>
      </c>
      <c r="AT50" s="687">
        <f>AS50+AT104</f>
        <v>14.702999999999999</v>
      </c>
      <c r="AU50" s="705">
        <f>AT50</f>
        <v>14.702999999999999</v>
      </c>
      <c r="AV50" s="687">
        <v>-1.288</v>
      </c>
      <c r="AW50" s="687">
        <f>AV50-7.166</f>
        <v>-8.4540000000000006</v>
      </c>
      <c r="AX50" s="687">
        <f>AW50+6.032</f>
        <v>-2.4220000000000006</v>
      </c>
      <c r="AY50" s="687">
        <f>AX50+14.387</f>
        <v>11.965</v>
      </c>
      <c r="AZ50" s="705">
        <f>AY50</f>
        <v>11.965</v>
      </c>
      <c r="BA50" s="687">
        <v>-0.19400000000000001</v>
      </c>
      <c r="BB50" s="687">
        <f>BA50+6.423</f>
        <v>6.2290000000000001</v>
      </c>
      <c r="BC50" s="687">
        <f>BB50+14.412</f>
        <v>20.641000000000002</v>
      </c>
      <c r="BD50" s="687">
        <f>BC50+-16.586</f>
        <v>4.0550000000000033</v>
      </c>
      <c r="BE50" s="705">
        <f>BD50</f>
        <v>4.0550000000000033</v>
      </c>
      <c r="BF50" s="687">
        <v>3.6320000000000001</v>
      </c>
      <c r="BG50" s="687">
        <f>BF50-1.248</f>
        <v>2.3840000000000003</v>
      </c>
      <c r="BH50" s="687">
        <f>BG50+4.066</f>
        <v>6.45</v>
      </c>
      <c r="BI50" s="687">
        <f>BH50-1.093</f>
        <v>5.3570000000000002</v>
      </c>
      <c r="BJ50" s="705">
        <f>BI50</f>
        <v>5.3570000000000002</v>
      </c>
      <c r="BK50" s="687">
        <v>-5.992</v>
      </c>
      <c r="BL50" s="687">
        <f>BK50-2.039</f>
        <v>-8.0310000000000006</v>
      </c>
      <c r="BM50" s="687">
        <f>BL50+1.756</f>
        <v>-6.2750000000000004</v>
      </c>
      <c r="BN50" s="687">
        <f>BM50+1.034</f>
        <v>-5.2410000000000005</v>
      </c>
      <c r="BO50" s="705">
        <f>BN50</f>
        <v>-5.2410000000000005</v>
      </c>
      <c r="BP50" s="687">
        <v>0.318</v>
      </c>
      <c r="BQ50" s="687">
        <f>BP50-0.573</f>
        <v>-0.25499999999999995</v>
      </c>
      <c r="BR50" s="687">
        <f>BQ50-2.023</f>
        <v>-2.278</v>
      </c>
      <c r="BS50" s="687">
        <f>BR50-4.37</f>
        <v>-6.6479999999999997</v>
      </c>
      <c r="BT50" s="705">
        <f>BS50</f>
        <v>-6.6479999999999997</v>
      </c>
      <c r="BU50" s="687">
        <v>-8.4350000000000005</v>
      </c>
      <c r="BV50" s="687">
        <v>-11.645</v>
      </c>
      <c r="BW50" s="687">
        <v>-15.186999999999999</v>
      </c>
      <c r="BX50" s="687">
        <v>-21.297000000000001</v>
      </c>
      <c r="BY50" s="705">
        <f>BX50</f>
        <v>-21.297000000000001</v>
      </c>
      <c r="BZ50" s="1106">
        <v>-0.157</v>
      </c>
      <c r="CA50" s="1106">
        <f>+-0.796</f>
        <v>-0.79600000000000004</v>
      </c>
      <c r="CB50" s="1106">
        <f>+-5.843</f>
        <v>-5.843</v>
      </c>
      <c r="CC50" s="1106">
        <f>CB50-8.391</f>
        <v>-14.234</v>
      </c>
      <c r="CD50" s="1613">
        <f>CC50</f>
        <v>-14.234</v>
      </c>
      <c r="CE50" s="1106">
        <v>-2.4119999999999999</v>
      </c>
      <c r="CF50" s="1106">
        <v>2.794</v>
      </c>
      <c r="CG50" s="1106">
        <v>11.071</v>
      </c>
      <c r="CH50" s="1106">
        <f>CG50-2.555</f>
        <v>8.516</v>
      </c>
      <c r="CI50" s="1613">
        <f>CH50</f>
        <v>8.516</v>
      </c>
      <c r="CJ50" s="1569">
        <v>6.343</v>
      </c>
      <c r="CK50" s="1569">
        <f>CJ50</f>
        <v>6.343</v>
      </c>
      <c r="CL50" s="1569">
        <f>CK50</f>
        <v>6.343</v>
      </c>
      <c r="CM50" s="1569">
        <f>CL50</f>
        <v>6.343</v>
      </c>
      <c r="CN50" s="1599">
        <f>CM50</f>
        <v>6.343</v>
      </c>
      <c r="CO50" s="1569">
        <v>0</v>
      </c>
      <c r="CP50" s="1569">
        <f>CO50</f>
        <v>0</v>
      </c>
      <c r="CQ50" s="1569">
        <f>CP50</f>
        <v>0</v>
      </c>
      <c r="CR50" s="1569">
        <f>CQ50</f>
        <v>0</v>
      </c>
      <c r="CS50" s="1599">
        <f t="shared" si="129"/>
        <v>0</v>
      </c>
      <c r="CT50" s="1569">
        <v>0</v>
      </c>
      <c r="CU50" s="1569">
        <f>CT50</f>
        <v>0</v>
      </c>
      <c r="CV50" s="1569">
        <f>CU50</f>
        <v>0</v>
      </c>
      <c r="CW50" s="1569">
        <f>CV50</f>
        <v>0</v>
      </c>
      <c r="CX50" s="1599">
        <f t="shared" si="130"/>
        <v>0</v>
      </c>
      <c r="CZ50" s="697"/>
      <c r="DA50" s="769"/>
      <c r="DB50" s="697"/>
      <c r="DC50" s="686"/>
    </row>
    <row r="51" spans="1:113" ht="10.5" hidden="1" customHeight="1" outlineLevel="1">
      <c r="A51" s="706" t="s">
        <v>309</v>
      </c>
      <c r="B51" s="706"/>
      <c r="C51" s="714">
        <f>C33+C40+C49+C50</f>
        <v>-60.603999999999985</v>
      </c>
      <c r="D51" s="714">
        <f>D33+D40+D49+D50</f>
        <v>-27.132000000000005</v>
      </c>
      <c r="E51" s="714">
        <f>E33+E40+E49+E50</f>
        <v>55.952999999999953</v>
      </c>
      <c r="F51" s="714">
        <f>F33+F40+F49+F50</f>
        <v>-57.724000000000068</v>
      </c>
      <c r="G51" s="764">
        <f>F51</f>
        <v>-57.724000000000068</v>
      </c>
      <c r="H51" s="714">
        <f>H33+H40+H49+H50</f>
        <v>2.0380000000000065</v>
      </c>
      <c r="I51" s="714">
        <f>I33+I40+I49+I50</f>
        <v>12.590000000000133</v>
      </c>
      <c r="J51" s="714">
        <f>J33+J40+J49+J50</f>
        <v>-77.307999999999964</v>
      </c>
      <c r="K51" s="714">
        <f>K33+K40+K49+K50</f>
        <v>-34.977999999999909</v>
      </c>
      <c r="L51" s="764">
        <f>K51</f>
        <v>-34.977999999999909</v>
      </c>
      <c r="M51" s="714">
        <f>M33+M40+M49+M50</f>
        <v>-41.587000000000039</v>
      </c>
      <c r="N51" s="714">
        <f>N33+N40+N49+N50</f>
        <v>-41.853000000000115</v>
      </c>
      <c r="O51" s="714">
        <f>O33+O40+O49+O50</f>
        <v>-39.222999999999971</v>
      </c>
      <c r="P51" s="714">
        <f>P33+P40+P49+P50</f>
        <v>6.2329999999998016</v>
      </c>
      <c r="Q51" s="764">
        <f>P51</f>
        <v>6.2329999999998016</v>
      </c>
      <c r="R51" s="714">
        <f>R33+R40+R49+R50</f>
        <v>9.8419999999999312</v>
      </c>
      <c r="S51" s="714">
        <f>S33+S40+S49+S50</f>
        <v>28.747000000000007</v>
      </c>
      <c r="T51" s="714">
        <f>T33+T40+T49+T50</f>
        <v>8.782999999999813</v>
      </c>
      <c r="U51" s="714">
        <f>U33+U40+U49+U50</f>
        <v>69.14399999999975</v>
      </c>
      <c r="V51" s="764">
        <f>U51</f>
        <v>69.14399999999975</v>
      </c>
      <c r="W51" s="714">
        <f>W33+W40+W49+W50</f>
        <v>-41.701000000000015</v>
      </c>
      <c r="X51" s="714">
        <f>X33+X40+X49+X50</f>
        <v>-5.7589999999999577</v>
      </c>
      <c r="Y51" s="714">
        <f>Y33+Y40+Y49+Y50</f>
        <v>195.10699999999994</v>
      </c>
      <c r="Z51" s="714">
        <f>Z33+Z40+Z49+Z50</f>
        <v>161.44099999999992</v>
      </c>
      <c r="AA51" s="764">
        <f>Z51</f>
        <v>161.44099999999992</v>
      </c>
      <c r="AB51" s="714">
        <f>AB33+AB40+AB49+AB50</f>
        <v>214.36800000000008</v>
      </c>
      <c r="AC51" s="714">
        <f>AC33+AC40+AC49+AC50</f>
        <v>4.5749999999999087</v>
      </c>
      <c r="AD51" s="714">
        <f>AD33+AD40+AD49+AD50</f>
        <v>223.93600000000015</v>
      </c>
      <c r="AE51" s="714">
        <f>AE33+AE40+AE49+AE50</f>
        <v>351.68200000000002</v>
      </c>
      <c r="AF51" s="765">
        <f>AE51</f>
        <v>351.68200000000002</v>
      </c>
      <c r="AG51" s="714">
        <f>AG33+AG40+AG49+AG50</f>
        <v>-246.46999999999983</v>
      </c>
      <c r="AH51" s="714">
        <f>AH33+AH40+AH49+AH50</f>
        <v>129.11699999999988</v>
      </c>
      <c r="AI51" s="714">
        <f>AI33+AI40+AI49+AI50</f>
        <v>-213.21699999999973</v>
      </c>
      <c r="AJ51" s="714">
        <f>AJ33+AJ40+AJ49+AJ50</f>
        <v>173.92199999999988</v>
      </c>
      <c r="AK51" s="764">
        <f>AJ51</f>
        <v>173.92199999999988</v>
      </c>
      <c r="AL51" s="714">
        <f>AL33+AL40+AL49+AL50</f>
        <v>86.310999999999964</v>
      </c>
      <c r="AM51" s="714">
        <f>AM33+AM40+AM49+AM50</f>
        <v>216.03099999999992</v>
      </c>
      <c r="AN51" s="714">
        <f>AN33+AN40+AN49+AN50</f>
        <v>187.84099999999989</v>
      </c>
      <c r="AO51" s="714">
        <f>AO33+AO40+AO49+AO50</f>
        <v>-59.972000000000719</v>
      </c>
      <c r="AP51" s="764">
        <f>AO51</f>
        <v>-59.972000000000719</v>
      </c>
      <c r="AQ51" s="714">
        <f>AQ33+AQ40+AQ49+AQ50</f>
        <v>262.47499999999997</v>
      </c>
      <c r="AR51" s="714">
        <f>AR33+AR40+AR49+AR50</f>
        <v>340.33000000000004</v>
      </c>
      <c r="AS51" s="714">
        <f>AS33+AS40+AS49+AS50</f>
        <v>245.69400000000024</v>
      </c>
      <c r="AT51" s="714">
        <f>AT33+AT40+AT49+AT50</f>
        <v>113.03700000000023</v>
      </c>
      <c r="AU51" s="764">
        <f>AT51</f>
        <v>113.03700000000023</v>
      </c>
      <c r="AV51" s="714">
        <f>AV33+AV40+AV49+AV50</f>
        <v>589.95499999999993</v>
      </c>
      <c r="AW51" s="714">
        <f>AW33+AW40+AW49+AW50</f>
        <v>138.11900000000003</v>
      </c>
      <c r="AX51" s="714">
        <f>AX33+AX40+AX49+AX50</f>
        <v>-185.33800000000014</v>
      </c>
      <c r="AY51" s="714">
        <f>AY33+AY40+AY49+AY50</f>
        <v>-249.59600000000015</v>
      </c>
      <c r="AZ51" s="764">
        <f>AY51</f>
        <v>-249.59600000000015</v>
      </c>
      <c r="BA51" s="714">
        <f>BA33+BA40+BA49+BA50</f>
        <v>150.26499999999999</v>
      </c>
      <c r="BB51" s="714">
        <f>BB33+BB40+BB49+BB50</f>
        <v>77.584000000000131</v>
      </c>
      <c r="BC51" s="714">
        <f>BC33+BC40+BC49+BC50</f>
        <v>19.320999999999838</v>
      </c>
      <c r="BD51" s="714">
        <f>BD33+BD40+BD49+BD50</f>
        <v>239.60900000000009</v>
      </c>
      <c r="BE51" s="764">
        <f>BD51</f>
        <v>239.60900000000009</v>
      </c>
      <c r="BF51" s="714">
        <f>BF33+BF40+BF49+BF50</f>
        <v>-188.23700000000005</v>
      </c>
      <c r="BG51" s="714">
        <f>BG33+BG40+BG49+BG50</f>
        <v>-38.2620000000001</v>
      </c>
      <c r="BH51" s="714">
        <f>BH33+BH40+BH49+BH50</f>
        <v>172.88000000000002</v>
      </c>
      <c r="BI51" s="714">
        <f>BI33+BI40+BI49+BI50</f>
        <v>435.55199999999962</v>
      </c>
      <c r="BJ51" s="764">
        <f>BI51</f>
        <v>435.55199999999962</v>
      </c>
      <c r="BK51" s="714">
        <f>BK33+BK40+BK49+BK50</f>
        <v>-118.66999999999997</v>
      </c>
      <c r="BL51" s="714">
        <f>BL33+BL40+BL49+BL50</f>
        <v>-178.6419999999998</v>
      </c>
      <c r="BM51" s="714">
        <f>BM33+BM40+BM49+BM50</f>
        <v>-605.96699999999998</v>
      </c>
      <c r="BN51" s="714">
        <f>BN33+BN40+BN49+BN50</f>
        <v>-590.49600000000009</v>
      </c>
      <c r="BO51" s="764">
        <f>BN51</f>
        <v>-590.49600000000009</v>
      </c>
      <c r="BP51" s="714">
        <f>BP33+BP40+BP49+BP50</f>
        <v>-100.64000000000003</v>
      </c>
      <c r="BQ51" s="714">
        <f>BQ33+BQ40+BQ49+BQ50</f>
        <v>-17.536000000000005</v>
      </c>
      <c r="BR51" s="714">
        <f>BR33+BR40+BR49+BR50</f>
        <v>68.773000000000039</v>
      </c>
      <c r="BS51" s="714">
        <f>BS33+BS40+BS49+BS50</f>
        <v>282.84399999999994</v>
      </c>
      <c r="BT51" s="764">
        <f>BS51</f>
        <v>282.84399999999994</v>
      </c>
      <c r="BU51" s="714">
        <f>BU33+BU40+BU49+BU50</f>
        <v>-404.51600000000002</v>
      </c>
      <c r="BV51" s="714">
        <f>BV33+BV40+BV49+BV50</f>
        <v>-161.2529999999999</v>
      </c>
      <c r="BW51" s="714">
        <f>BW33+BW40+BW49+BW50</f>
        <v>-288.10799999999972</v>
      </c>
      <c r="BX51" s="714">
        <f>BX33+BX40+BX49+BX50</f>
        <v>-240.84000000000015</v>
      </c>
      <c r="BY51" s="764">
        <f>BX51</f>
        <v>-240.84000000000015</v>
      </c>
      <c r="BZ51" s="1373">
        <f>BZ33+BZ40+BZ49+BZ50</f>
        <v>-45.863999999999933</v>
      </c>
      <c r="CA51" s="707">
        <f>CA33+CA40+CA49+CA50</f>
        <v>9.8190000000000666</v>
      </c>
      <c r="CB51" s="707">
        <f>CB33+CB40+CB49+CB50</f>
        <v>-108.88799999999996</v>
      </c>
      <c r="CC51" s="1373">
        <f>CC33+CC40+CC49+CC50</f>
        <v>134.75500000000025</v>
      </c>
      <c r="CD51" s="1678">
        <f>CC51</f>
        <v>134.75500000000025</v>
      </c>
      <c r="CE51" s="1373">
        <f>CE33+CE40+CE49+CE50</f>
        <v>57.581000000000166</v>
      </c>
      <c r="CF51" s="707">
        <f>CF33+CF40+CF49+CF50</f>
        <v>305.63500000000022</v>
      </c>
      <c r="CG51" s="707">
        <f>CG33+CG40+CG49+CG50</f>
        <v>763.2349999999999</v>
      </c>
      <c r="CH51" s="1373">
        <f>CH33+CH40+CH49+CH50</f>
        <v>1294.7570000000001</v>
      </c>
      <c r="CI51" s="1678">
        <f>CH51</f>
        <v>1294.7570000000001</v>
      </c>
      <c r="CJ51" s="1257">
        <f>CJ33+CJ40+CJ49+CJ50</f>
        <v>360.90900000000039</v>
      </c>
      <c r="CK51" s="1257">
        <f>CK33+CK40+CK49+CK50</f>
        <v>1130.0425424190778</v>
      </c>
      <c r="CL51" s="1257">
        <f>CL33+CL40+CL49+CL50</f>
        <v>1670.5007887858731</v>
      </c>
      <c r="CM51" s="1257">
        <f>CM33+CM40+CM49+CM50</f>
        <v>2481.7857727863675</v>
      </c>
      <c r="CN51" s="1611">
        <f>CM51</f>
        <v>2481.7857727863675</v>
      </c>
      <c r="CO51" s="1257">
        <f>CO33+CO40+CO49+CO50</f>
        <v>601.39859494292045</v>
      </c>
      <c r="CP51" s="1257">
        <f>CP33+CP40+CP49+CP50</f>
        <v>1173.4683170169892</v>
      </c>
      <c r="CQ51" s="1257">
        <f>CQ33+CQ40+CQ49+CQ50</f>
        <v>1785.4573510658827</v>
      </c>
      <c r="CR51" s="1257">
        <f>CR33+CR40+CR49+CR50</f>
        <v>2708.0407547774407</v>
      </c>
      <c r="CS51" s="1611">
        <f t="shared" si="129"/>
        <v>2708.0407547774407</v>
      </c>
      <c r="CT51" s="1257">
        <f>CT33+CT40+CT49+CT50</f>
        <v>763.04829094964418</v>
      </c>
      <c r="CU51" s="1257">
        <f>CU33+CU40+CU49+CU50</f>
        <v>1446.6078073660058</v>
      </c>
      <c r="CV51" s="1257">
        <f>CV33+CV40+CV49+CV50</f>
        <v>2168.0013709554205</v>
      </c>
      <c r="CW51" s="1257">
        <f>CW33+CW40+CW49+CW50</f>
        <v>3236.7781995465239</v>
      </c>
      <c r="CX51" s="1611">
        <f t="shared" si="130"/>
        <v>3236.7781995465239</v>
      </c>
      <c r="CZ51" s="686"/>
      <c r="DA51" s="769"/>
      <c r="DB51" s="686"/>
      <c r="DC51" s="686"/>
    </row>
    <row r="52" spans="1:113" ht="10.5" hidden="1" customHeight="1" outlineLevel="1">
      <c r="A52" s="706" t="s">
        <v>310</v>
      </c>
      <c r="B52" s="706"/>
      <c r="C52" s="714">
        <v>236.86600000000001</v>
      </c>
      <c r="D52" s="714">
        <f>C52</f>
        <v>236.86600000000001</v>
      </c>
      <c r="E52" s="714">
        <f>C52</f>
        <v>236.86600000000001</v>
      </c>
      <c r="F52" s="714">
        <f>C52</f>
        <v>236.86600000000001</v>
      </c>
      <c r="G52" s="764">
        <f>F52</f>
        <v>236.86600000000001</v>
      </c>
      <c r="H52" s="714">
        <f>G53</f>
        <v>179.14199999999994</v>
      </c>
      <c r="I52" s="714">
        <f>H52</f>
        <v>179.14199999999994</v>
      </c>
      <c r="J52" s="714">
        <f>H52</f>
        <v>179.14199999999994</v>
      </c>
      <c r="K52" s="714">
        <f>H52</f>
        <v>179.14199999999994</v>
      </c>
      <c r="L52" s="764">
        <f>K52</f>
        <v>179.14199999999994</v>
      </c>
      <c r="M52" s="714">
        <f>L53</f>
        <v>144.16400000000004</v>
      </c>
      <c r="N52" s="714">
        <f>M52</f>
        <v>144.16400000000004</v>
      </c>
      <c r="O52" s="714">
        <f>M52</f>
        <v>144.16400000000004</v>
      </c>
      <c r="P52" s="714">
        <f>M52</f>
        <v>144.16400000000004</v>
      </c>
      <c r="Q52" s="764">
        <f>P52</f>
        <v>144.16400000000004</v>
      </c>
      <c r="R52" s="714">
        <f>Q53</f>
        <v>150.39699999999985</v>
      </c>
      <c r="S52" s="714">
        <f>R52</f>
        <v>150.39699999999985</v>
      </c>
      <c r="T52" s="714">
        <f>R52</f>
        <v>150.39699999999985</v>
      </c>
      <c r="U52" s="714">
        <f>R52</f>
        <v>150.39699999999985</v>
      </c>
      <c r="V52" s="764">
        <f>U52</f>
        <v>150.39699999999985</v>
      </c>
      <c r="W52" s="714">
        <f>259.061</f>
        <v>259.06099999999998</v>
      </c>
      <c r="X52" s="714">
        <f>W52</f>
        <v>259.06099999999998</v>
      </c>
      <c r="Y52" s="714">
        <f>X52</f>
        <v>259.06099999999998</v>
      </c>
      <c r="Z52" s="714">
        <f>Y52</f>
        <v>259.06099999999998</v>
      </c>
      <c r="AA52" s="764">
        <f>Z52</f>
        <v>259.06099999999998</v>
      </c>
      <c r="AB52" s="714">
        <f>Z53</f>
        <v>420.81799999999987</v>
      </c>
      <c r="AC52" s="714">
        <f>AB52</f>
        <v>420.81799999999987</v>
      </c>
      <c r="AD52" s="714">
        <f>AC52</f>
        <v>420.81799999999987</v>
      </c>
      <c r="AE52" s="714">
        <f>AD52</f>
        <v>420.81799999999987</v>
      </c>
      <c r="AF52" s="765">
        <f>AE52</f>
        <v>420.81799999999987</v>
      </c>
      <c r="AG52" s="714">
        <f>AE53</f>
        <v>772.49999999999989</v>
      </c>
      <c r="AH52" s="714">
        <f>AG52</f>
        <v>772.49999999999989</v>
      </c>
      <c r="AI52" s="714">
        <f>AH52</f>
        <v>772.49999999999989</v>
      </c>
      <c r="AJ52" s="714">
        <f>AI52</f>
        <v>772.49999999999989</v>
      </c>
      <c r="AK52" s="764">
        <f>AJ52</f>
        <v>772.49999999999989</v>
      </c>
      <c r="AL52" s="714">
        <f>AJ53</f>
        <v>946.4219999999998</v>
      </c>
      <c r="AM52" s="714">
        <f>AK53</f>
        <v>946.4219999999998</v>
      </c>
      <c r="AN52" s="714">
        <f>AK53</f>
        <v>946.4219999999998</v>
      </c>
      <c r="AO52" s="714">
        <f>AK53</f>
        <v>946.4219999999998</v>
      </c>
      <c r="AP52" s="764">
        <f>AO52</f>
        <v>946.4219999999998</v>
      </c>
      <c r="AQ52" s="714">
        <f>AO53</f>
        <v>886.44999999999914</v>
      </c>
      <c r="AR52" s="714">
        <f>AQ52</f>
        <v>886.44999999999914</v>
      </c>
      <c r="AS52" s="714">
        <f>AR52</f>
        <v>886.44999999999914</v>
      </c>
      <c r="AT52" s="714">
        <f>AS52</f>
        <v>886.44999999999914</v>
      </c>
      <c r="AU52" s="764">
        <f>AT52</f>
        <v>886.44999999999914</v>
      </c>
      <c r="AV52" s="714">
        <f>AT53</f>
        <v>999.4869999999994</v>
      </c>
      <c r="AW52" s="714">
        <f>AV52</f>
        <v>999.4869999999994</v>
      </c>
      <c r="AX52" s="714">
        <f>AW52</f>
        <v>999.4869999999994</v>
      </c>
      <c r="AY52" s="714">
        <f>AX52</f>
        <v>999.4869999999994</v>
      </c>
      <c r="AZ52" s="764">
        <f>AY52</f>
        <v>999.4869999999994</v>
      </c>
      <c r="BA52" s="714">
        <f>AY53</f>
        <v>749.89099999999928</v>
      </c>
      <c r="BB52" s="714">
        <f>BA52</f>
        <v>749.89099999999928</v>
      </c>
      <c r="BC52" s="714">
        <f>BB52</f>
        <v>749.89099999999928</v>
      </c>
      <c r="BD52" s="714">
        <f>BC52</f>
        <v>749.89099999999928</v>
      </c>
      <c r="BE52" s="764">
        <f>BD52</f>
        <v>749.89099999999928</v>
      </c>
      <c r="BF52" s="714">
        <f>BD53</f>
        <v>989.49999999999932</v>
      </c>
      <c r="BG52" s="714">
        <f>BF52</f>
        <v>989.49999999999932</v>
      </c>
      <c r="BH52" s="714">
        <f>BG52</f>
        <v>989.49999999999932</v>
      </c>
      <c r="BI52" s="714">
        <f>BH52</f>
        <v>989.49999999999932</v>
      </c>
      <c r="BJ52" s="764">
        <f>BI52</f>
        <v>989.49999999999932</v>
      </c>
      <c r="BK52" s="714">
        <f>BI53</f>
        <v>1425.051999999999</v>
      </c>
      <c r="BL52" s="714">
        <f>BK52</f>
        <v>1425.051999999999</v>
      </c>
      <c r="BM52" s="714">
        <f>BL52</f>
        <v>1425.051999999999</v>
      </c>
      <c r="BN52" s="714">
        <f>BM52</f>
        <v>1425.051999999999</v>
      </c>
      <c r="BO52" s="764">
        <f>BN52</f>
        <v>1425.051999999999</v>
      </c>
      <c r="BP52" s="714">
        <f>BN53</f>
        <v>834.5559999999989</v>
      </c>
      <c r="BQ52" s="714">
        <f>BP52</f>
        <v>834.5559999999989</v>
      </c>
      <c r="BR52" s="714">
        <f>BQ52</f>
        <v>834.5559999999989</v>
      </c>
      <c r="BS52" s="714">
        <f>BR52</f>
        <v>834.5559999999989</v>
      </c>
      <c r="BT52" s="764">
        <f>BS52</f>
        <v>834.5559999999989</v>
      </c>
      <c r="BU52" s="714">
        <f>BS53</f>
        <v>1117.3999999999987</v>
      </c>
      <c r="BV52" s="714">
        <v>1117.3999999999992</v>
      </c>
      <c r="BW52" s="714">
        <f>BV52</f>
        <v>1117.3999999999992</v>
      </c>
      <c r="BX52" s="714">
        <f>BW52</f>
        <v>1117.3999999999992</v>
      </c>
      <c r="BY52" s="764">
        <f>BX52</f>
        <v>1117.3999999999992</v>
      </c>
      <c r="BZ52" s="1373">
        <f>BX53</f>
        <v>876.55999999999904</v>
      </c>
      <c r="CA52" s="1373">
        <f>BZ52</f>
        <v>876.55999999999904</v>
      </c>
      <c r="CB52" s="1373">
        <f>CA52</f>
        <v>876.55999999999904</v>
      </c>
      <c r="CC52" s="1373">
        <f>CB52</f>
        <v>876.55999999999904</v>
      </c>
      <c r="CD52" s="1678">
        <f>CC52</f>
        <v>876.55999999999904</v>
      </c>
      <c r="CE52" s="1373">
        <f>CC53</f>
        <v>1011.3149999999993</v>
      </c>
      <c r="CF52" s="1373">
        <f>CE52</f>
        <v>1011.3149999999993</v>
      </c>
      <c r="CG52" s="1373">
        <f>CF52</f>
        <v>1011.3149999999993</v>
      </c>
      <c r="CH52" s="1373">
        <f>CG52</f>
        <v>1011.3149999999993</v>
      </c>
      <c r="CI52" s="1678">
        <f>CH52</f>
        <v>1011.3149999999993</v>
      </c>
      <c r="CJ52" s="1257">
        <f>CH53</f>
        <v>2306.0719999999992</v>
      </c>
      <c r="CK52" s="1257">
        <f>CJ52</f>
        <v>2306.0719999999992</v>
      </c>
      <c r="CL52" s="1257">
        <f>CK52</f>
        <v>2306.0719999999992</v>
      </c>
      <c r="CM52" s="1257">
        <f>CL52</f>
        <v>2306.0719999999992</v>
      </c>
      <c r="CN52" s="1611">
        <f>CM52</f>
        <v>2306.0719999999992</v>
      </c>
      <c r="CO52" s="1257">
        <f>CM53</f>
        <v>4787.8577727863667</v>
      </c>
      <c r="CP52" s="1257">
        <f>CO52</f>
        <v>4787.8577727863667</v>
      </c>
      <c r="CQ52" s="1257">
        <f>CP52</f>
        <v>4787.8577727863667</v>
      </c>
      <c r="CR52" s="1257">
        <f>CQ52</f>
        <v>4787.8577727863667</v>
      </c>
      <c r="CS52" s="1611">
        <f t="shared" si="129"/>
        <v>4787.8577727863667</v>
      </c>
      <c r="CT52" s="1257">
        <f>CR53</f>
        <v>7495.8985275638079</v>
      </c>
      <c r="CU52" s="1257">
        <f>CT52</f>
        <v>7495.8985275638079</v>
      </c>
      <c r="CV52" s="1257">
        <f>CU52</f>
        <v>7495.8985275638079</v>
      </c>
      <c r="CW52" s="1257">
        <f>CV52</f>
        <v>7495.8985275638079</v>
      </c>
      <c r="CX52" s="1611">
        <f t="shared" si="130"/>
        <v>7495.8985275638079</v>
      </c>
      <c r="CZ52" s="686"/>
      <c r="DA52" s="769"/>
      <c r="DB52" s="686"/>
      <c r="DC52" s="686"/>
    </row>
    <row r="53" spans="1:113" ht="10.5" hidden="1" customHeight="1" outlineLevel="1">
      <c r="A53" s="706" t="s">
        <v>673</v>
      </c>
      <c r="B53" s="706"/>
      <c r="C53" s="707">
        <f>C51+C52</f>
        <v>176.26200000000003</v>
      </c>
      <c r="D53" s="707">
        <f>D51+D52</f>
        <v>209.73400000000001</v>
      </c>
      <c r="E53" s="707">
        <f>E51+E52</f>
        <v>292.81899999999996</v>
      </c>
      <c r="F53" s="707">
        <f>F51+F52</f>
        <v>179.14199999999994</v>
      </c>
      <c r="G53" s="765">
        <f>F53</f>
        <v>179.14199999999994</v>
      </c>
      <c r="H53" s="707">
        <f>H51+H52</f>
        <v>181.17999999999995</v>
      </c>
      <c r="I53" s="707">
        <f>I51+I52</f>
        <v>191.73200000000008</v>
      </c>
      <c r="J53" s="707">
        <f>J51+J52</f>
        <v>101.83399999999997</v>
      </c>
      <c r="K53" s="707">
        <f>K51+K52</f>
        <v>144.16400000000004</v>
      </c>
      <c r="L53" s="765">
        <f>K53</f>
        <v>144.16400000000004</v>
      </c>
      <c r="M53" s="707">
        <f>M51+M52</f>
        <v>102.577</v>
      </c>
      <c r="N53" s="707">
        <f>N51+N52</f>
        <v>102.31099999999992</v>
      </c>
      <c r="O53" s="707">
        <f>O51+O52</f>
        <v>104.94100000000007</v>
      </c>
      <c r="P53" s="707">
        <f>P51+P52</f>
        <v>150.39699999999985</v>
      </c>
      <c r="Q53" s="765">
        <f>P53</f>
        <v>150.39699999999985</v>
      </c>
      <c r="R53" s="707">
        <f>R51+R52</f>
        <v>160.23899999999978</v>
      </c>
      <c r="S53" s="707">
        <f>S51+S52</f>
        <v>179.14399999999986</v>
      </c>
      <c r="T53" s="707">
        <f>T51+T52</f>
        <v>159.17999999999967</v>
      </c>
      <c r="U53" s="707">
        <f>U51+U52-0.14</f>
        <v>219.40099999999961</v>
      </c>
      <c r="V53" s="708">
        <f>U53</f>
        <v>219.40099999999961</v>
      </c>
      <c r="W53" s="707">
        <f>W51+W52</f>
        <v>217.35999999999996</v>
      </c>
      <c r="X53" s="707">
        <f>X51+X52</f>
        <v>253.30200000000002</v>
      </c>
      <c r="Y53" s="707">
        <f>Y51+Y52</f>
        <v>454.16799999999989</v>
      </c>
      <c r="Z53" s="707">
        <f>Z51+Z52+0.316</f>
        <v>420.81799999999987</v>
      </c>
      <c r="AA53" s="765">
        <f>Z53</f>
        <v>420.81799999999987</v>
      </c>
      <c r="AB53" s="707">
        <f>AB51+AB52</f>
        <v>635.18599999999992</v>
      </c>
      <c r="AC53" s="707">
        <f>AC51+AC52</f>
        <v>425.3929999999998</v>
      </c>
      <c r="AD53" s="707">
        <f>AD51+AD52</f>
        <v>644.75400000000002</v>
      </c>
      <c r="AE53" s="707">
        <f>AE51+AE52</f>
        <v>772.49999999999989</v>
      </c>
      <c r="AF53" s="765">
        <f>AE53</f>
        <v>772.49999999999989</v>
      </c>
      <c r="AG53" s="707">
        <f>AG51+AG52</f>
        <v>526.03000000000009</v>
      </c>
      <c r="AH53" s="707">
        <f>AH51+AH52</f>
        <v>901.61699999999973</v>
      </c>
      <c r="AI53" s="707">
        <f>AI51+AI52</f>
        <v>559.28300000000013</v>
      </c>
      <c r="AJ53" s="707">
        <f>AJ51+AJ52</f>
        <v>946.4219999999998</v>
      </c>
      <c r="AK53" s="765">
        <f>AJ53</f>
        <v>946.4219999999998</v>
      </c>
      <c r="AL53" s="707">
        <f>AL51+AL52</f>
        <v>1032.7329999999997</v>
      </c>
      <c r="AM53" s="707">
        <f>AM51+AM52</f>
        <v>1162.4529999999997</v>
      </c>
      <c r="AN53" s="707">
        <f>AN51+AN52</f>
        <v>1134.2629999999997</v>
      </c>
      <c r="AO53" s="707">
        <f>AO51+AO52</f>
        <v>886.44999999999914</v>
      </c>
      <c r="AP53" s="765">
        <f>AO53</f>
        <v>886.44999999999914</v>
      </c>
      <c r="AQ53" s="707">
        <f>AQ51+AQ52</f>
        <v>1148.924999999999</v>
      </c>
      <c r="AR53" s="707">
        <f>AR51+AR52</f>
        <v>1226.7799999999993</v>
      </c>
      <c r="AS53" s="707">
        <f>AS51+AS52</f>
        <v>1132.1439999999993</v>
      </c>
      <c r="AT53" s="707">
        <f>AT51+AT52</f>
        <v>999.4869999999994</v>
      </c>
      <c r="AU53" s="765">
        <f>AT53</f>
        <v>999.4869999999994</v>
      </c>
      <c r="AV53" s="707">
        <f>AV51+AV52</f>
        <v>1589.4419999999993</v>
      </c>
      <c r="AW53" s="707">
        <f>AW51+AW52</f>
        <v>1137.6059999999993</v>
      </c>
      <c r="AX53" s="707">
        <f>AX51+AX52</f>
        <v>814.14899999999921</v>
      </c>
      <c r="AY53" s="707">
        <f>AY51+AY52</f>
        <v>749.89099999999928</v>
      </c>
      <c r="AZ53" s="765">
        <f>AY53</f>
        <v>749.89099999999928</v>
      </c>
      <c r="BA53" s="707">
        <f>BA51+BA52</f>
        <v>900.15599999999927</v>
      </c>
      <c r="BB53" s="707">
        <f>BB51+BB52</f>
        <v>827.47499999999945</v>
      </c>
      <c r="BC53" s="707">
        <f>BC51+BC52</f>
        <v>769.21199999999908</v>
      </c>
      <c r="BD53" s="707">
        <f>BD51+BD52</f>
        <v>989.49999999999932</v>
      </c>
      <c r="BE53" s="765">
        <f>BD53</f>
        <v>989.49999999999932</v>
      </c>
      <c r="BF53" s="707">
        <f>BF51+BF52</f>
        <v>801.26299999999924</v>
      </c>
      <c r="BG53" s="707">
        <f>BG51+BG52</f>
        <v>951.23799999999926</v>
      </c>
      <c r="BH53" s="707">
        <f>BH51+BH52</f>
        <v>1162.3799999999994</v>
      </c>
      <c r="BI53" s="707">
        <f>BI51+BI52</f>
        <v>1425.051999999999</v>
      </c>
      <c r="BJ53" s="765">
        <f>BI53</f>
        <v>1425.051999999999</v>
      </c>
      <c r="BK53" s="707">
        <f>BK51+BK52</f>
        <v>1306.3819999999989</v>
      </c>
      <c r="BL53" s="707">
        <f>BL51+BL52</f>
        <v>1246.4099999999992</v>
      </c>
      <c r="BM53" s="707">
        <f>BM51+BM52</f>
        <v>819.08499999999901</v>
      </c>
      <c r="BN53" s="707">
        <f>BN51+BN52</f>
        <v>834.5559999999989</v>
      </c>
      <c r="BO53" s="765">
        <f>BN53</f>
        <v>834.5559999999989</v>
      </c>
      <c r="BP53" s="707">
        <f>BP51+BP52</f>
        <v>733.91599999999892</v>
      </c>
      <c r="BQ53" s="707">
        <f>BQ51+BQ52</f>
        <v>817.01999999999884</v>
      </c>
      <c r="BR53" s="707">
        <f>BR51+BR52</f>
        <v>903.32899999999893</v>
      </c>
      <c r="BS53" s="707">
        <f>BS51+BS52</f>
        <v>1117.3999999999987</v>
      </c>
      <c r="BT53" s="765">
        <f>BS53</f>
        <v>1117.3999999999987</v>
      </c>
      <c r="BU53" s="707">
        <f>BU51+BU52</f>
        <v>712.88399999999865</v>
      </c>
      <c r="BV53" s="707">
        <f>BV51+BV52</f>
        <v>956.14699999999925</v>
      </c>
      <c r="BW53" s="707">
        <f>BW51+BW52</f>
        <v>829.29199999999946</v>
      </c>
      <c r="BX53" s="707">
        <f>BX51+BX52</f>
        <v>876.55999999999904</v>
      </c>
      <c r="BY53" s="765">
        <f>BX53</f>
        <v>876.55999999999904</v>
      </c>
      <c r="BZ53" s="1373">
        <f>BZ51+BZ52</f>
        <v>830.69599999999912</v>
      </c>
      <c r="CA53" s="1373">
        <f>CA51+CA52</f>
        <v>886.37899999999911</v>
      </c>
      <c r="CB53" s="1373">
        <f>CB51+CB52</f>
        <v>767.67199999999912</v>
      </c>
      <c r="CC53" s="1373">
        <f>CC51+CC52</f>
        <v>1011.3149999999993</v>
      </c>
      <c r="CD53" s="1678">
        <f>CC53</f>
        <v>1011.3149999999993</v>
      </c>
      <c r="CE53" s="1373">
        <f>CE51+CE52</f>
        <v>1068.8959999999995</v>
      </c>
      <c r="CF53" s="1373">
        <f>CF51+CF52</f>
        <v>1316.9499999999994</v>
      </c>
      <c r="CG53" s="1373">
        <f>CG51+CG52</f>
        <v>1774.5499999999993</v>
      </c>
      <c r="CH53" s="1373">
        <f>CH51+CH52</f>
        <v>2306.0719999999992</v>
      </c>
      <c r="CI53" s="1678">
        <f>CH53</f>
        <v>2306.0719999999992</v>
      </c>
      <c r="CJ53" s="1257">
        <f>CJ51+CJ52</f>
        <v>2666.9809999999998</v>
      </c>
      <c r="CK53" s="1257">
        <f>CK51+CK52</f>
        <v>3436.1145424190772</v>
      </c>
      <c r="CL53" s="1257">
        <f>CL51+CL52</f>
        <v>3976.572788785872</v>
      </c>
      <c r="CM53" s="1257">
        <f>CM51+CM52</f>
        <v>4787.8577727863667</v>
      </c>
      <c r="CN53" s="1611">
        <f>CM53</f>
        <v>4787.8577727863667</v>
      </c>
      <c r="CO53" s="1257">
        <f>CO51+CO52</f>
        <v>5389.2563677292874</v>
      </c>
      <c r="CP53" s="1257">
        <f>CP51+CP52</f>
        <v>5961.3260898033559</v>
      </c>
      <c r="CQ53" s="1257">
        <f>CQ51+CQ52</f>
        <v>6573.3151238522496</v>
      </c>
      <c r="CR53" s="1257">
        <f>CR51+CR52</f>
        <v>7495.8985275638079</v>
      </c>
      <c r="CS53" s="1611">
        <f t="shared" si="129"/>
        <v>7495.8985275638079</v>
      </c>
      <c r="CT53" s="1257">
        <f>CT51+CT52</f>
        <v>8258.9468185134519</v>
      </c>
      <c r="CU53" s="1257">
        <f>CU51+CU52</f>
        <v>8942.5063349298143</v>
      </c>
      <c r="CV53" s="1257">
        <f>CV51+CV52</f>
        <v>9663.8998985192284</v>
      </c>
      <c r="CW53" s="1257">
        <f>CW51+CW52</f>
        <v>10732.676727110331</v>
      </c>
      <c r="CX53" s="1611">
        <f t="shared" si="130"/>
        <v>10732.676727110331</v>
      </c>
      <c r="CZ53" s="686"/>
      <c r="DA53" s="769"/>
      <c r="DB53" s="686"/>
      <c r="DC53" s="686"/>
    </row>
    <row r="54" spans="1:113" ht="10.5" hidden="1" customHeight="1" outlineLevel="1">
      <c r="A54" s="743" t="s">
        <v>539</v>
      </c>
      <c r="B54" s="743"/>
      <c r="C54" s="725"/>
      <c r="D54" s="725"/>
      <c r="E54" s="725"/>
      <c r="F54" s="725"/>
      <c r="G54" s="764"/>
      <c r="H54" s="725"/>
      <c r="I54" s="725"/>
      <c r="J54" s="725"/>
      <c r="K54" s="725"/>
      <c r="L54" s="764"/>
      <c r="M54" s="725"/>
      <c r="N54" s="725"/>
      <c r="O54" s="725"/>
      <c r="P54" s="725"/>
      <c r="Q54" s="764"/>
      <c r="R54" s="725"/>
      <c r="S54" s="725"/>
      <c r="T54" s="725"/>
      <c r="U54" s="725"/>
      <c r="V54" s="764"/>
      <c r="W54" s="725" t="str">
        <f>IF(W53=BS!W8," ","Error")</f>
        <v xml:space="preserve"> </v>
      </c>
      <c r="X54" s="725" t="str">
        <f>IF(X53=BS!X8," ","Error")</f>
        <v xml:space="preserve"> </v>
      </c>
      <c r="Y54" s="725" t="str">
        <f>IF(Y53=BS!Y8," ","Error")</f>
        <v xml:space="preserve"> </v>
      </c>
      <c r="Z54" s="725" t="str">
        <f>IF(Z53=BS!Z8," ","Error")</f>
        <v xml:space="preserve"> </v>
      </c>
      <c r="AA54" s="764"/>
      <c r="AB54" s="725" t="str">
        <f>IF(ROUND(AB53,3)=ROUND(BS!AB8,3)," ","Error")</f>
        <v xml:space="preserve"> </v>
      </c>
      <c r="AC54" s="725" t="str">
        <f>IF(ROUND(AC53,3)=ROUND(BS!AC8,3)," ","Error")</f>
        <v xml:space="preserve"> </v>
      </c>
      <c r="AD54" s="725" t="str">
        <f>IF(ROUND(AD53,3)=ROUND(BS!AD8,3)," ","Error")</f>
        <v xml:space="preserve"> </v>
      </c>
      <c r="AE54" s="725" t="str">
        <f>IF(ROUND(AE53,3)=ROUND(BS!AE8,3)," ","Error")</f>
        <v xml:space="preserve"> </v>
      </c>
      <c r="AF54" s="765"/>
      <c r="AG54" s="759"/>
      <c r="AH54" s="759"/>
      <c r="AI54" s="759"/>
      <c r="AJ54" s="759"/>
      <c r="AK54" s="764"/>
      <c r="AL54" s="759"/>
      <c r="AM54" s="759"/>
      <c r="AN54" s="759"/>
      <c r="AO54" s="759"/>
      <c r="AP54" s="764"/>
      <c r="AQ54" s="759"/>
      <c r="AR54" s="759"/>
      <c r="AS54" s="759"/>
      <c r="AT54" s="759"/>
      <c r="AU54" s="766"/>
      <c r="AV54" s="759"/>
      <c r="AW54" s="759"/>
      <c r="AX54" s="759"/>
      <c r="AY54" s="759"/>
      <c r="AZ54" s="766"/>
      <c r="BA54" s="759"/>
      <c r="BB54" s="725"/>
      <c r="BC54" s="725"/>
      <c r="BD54" s="759"/>
      <c r="BE54" s="766"/>
      <c r="BF54" s="759"/>
      <c r="BG54" s="725"/>
      <c r="BH54" s="725"/>
      <c r="BI54" s="759"/>
      <c r="BJ54" s="766"/>
      <c r="BK54" s="759"/>
      <c r="BL54" s="725"/>
      <c r="BM54" s="725"/>
      <c r="BN54" s="725"/>
      <c r="BO54" s="766"/>
      <c r="BP54" s="759"/>
      <c r="BQ54" s="725"/>
      <c r="BR54" s="725"/>
      <c r="BS54" s="725"/>
      <c r="BT54" s="766"/>
      <c r="BU54" s="759"/>
      <c r="BV54" s="725"/>
      <c r="BW54" s="725"/>
      <c r="BX54" s="725"/>
      <c r="BY54" s="766"/>
      <c r="BZ54" s="725"/>
      <c r="CA54" s="725"/>
      <c r="CB54" s="725"/>
      <c r="CC54" s="725"/>
      <c r="CD54" s="1680"/>
      <c r="CE54" s="759"/>
      <c r="CF54" s="725"/>
      <c r="CG54" s="725"/>
      <c r="CH54" s="725"/>
      <c r="CI54" s="1680"/>
      <c r="CJ54" s="759"/>
      <c r="CK54" s="759"/>
      <c r="CL54" s="759"/>
      <c r="CM54" s="759"/>
      <c r="CN54" s="975"/>
      <c r="CO54" s="759"/>
      <c r="CP54" s="759"/>
      <c r="CQ54" s="759"/>
      <c r="CR54" s="759"/>
      <c r="CS54" s="975"/>
      <c r="CT54" s="759"/>
      <c r="CU54" s="759"/>
      <c r="CV54" s="759"/>
      <c r="CW54" s="759"/>
      <c r="CX54" s="975"/>
      <c r="CZ54" s="697"/>
      <c r="DA54" s="769"/>
      <c r="DB54" s="697"/>
      <c r="DC54" s="697"/>
    </row>
    <row r="55" spans="1:113" s="1632" customFormat="1" hidden="1" outlineLevel="1">
      <c r="A55" s="1633" t="s">
        <v>358</v>
      </c>
      <c r="B55" s="1633"/>
      <c r="C55" s="1631"/>
      <c r="D55" s="1631"/>
      <c r="E55" s="1631"/>
      <c r="F55" s="1631"/>
      <c r="G55" s="1634"/>
      <c r="H55" s="1245"/>
      <c r="I55" s="1245"/>
      <c r="J55" s="1245"/>
      <c r="K55" s="1245"/>
      <c r="L55" s="1634"/>
      <c r="M55" s="1245"/>
      <c r="N55" s="1245"/>
      <c r="O55" s="1245"/>
      <c r="P55" s="1245"/>
      <c r="Q55" s="1634"/>
      <c r="R55" s="1245"/>
      <c r="S55" s="1245"/>
      <c r="T55" s="1245"/>
      <c r="U55" s="1245"/>
      <c r="V55" s="1634"/>
      <c r="W55" s="1245">
        <f>W53-BS!W8</f>
        <v>0</v>
      </c>
      <c r="X55" s="1245">
        <f>X53-BS!X8</f>
        <v>0</v>
      </c>
      <c r="Y55" s="1245">
        <f>Y53-BS!Y8</f>
        <v>0</v>
      </c>
      <c r="Z55" s="1245">
        <f>Z53-BS!Z8</f>
        <v>0</v>
      </c>
      <c r="AA55" s="1634"/>
      <c r="AB55" s="1245">
        <f>AB53-BS!AB8</f>
        <v>0</v>
      </c>
      <c r="AC55" s="1245">
        <f>AC53-BS!AC8</f>
        <v>0</v>
      </c>
      <c r="AD55" s="1245">
        <f>AD53-BS!AD8</f>
        <v>0</v>
      </c>
      <c r="AE55" s="1245">
        <f>AE53-BS!AE8</f>
        <v>0</v>
      </c>
      <c r="AF55" s="1635"/>
      <c r="AG55" s="1245">
        <f>AG53-BS!AG8</f>
        <v>0</v>
      </c>
      <c r="AH55" s="1245">
        <f>AH53-BS!AH8</f>
        <v>0</v>
      </c>
      <c r="AI55" s="1245">
        <f>AI53-BS!AI8</f>
        <v>0</v>
      </c>
      <c r="AJ55" s="1245">
        <f>AJ53-BS!AJ8</f>
        <v>0</v>
      </c>
      <c r="AK55" s="1634"/>
      <c r="AL55" s="1245">
        <f>AL53-BS!AL8</f>
        <v>0</v>
      </c>
      <c r="AM55" s="1245">
        <f>AM53-BS!AM8</f>
        <v>0</v>
      </c>
      <c r="AN55" s="1245">
        <f>AN53-BS!AN8</f>
        <v>0</v>
      </c>
      <c r="AO55" s="1245"/>
      <c r="AP55" s="1634"/>
      <c r="AQ55" s="1245">
        <f>AQ53-BS!AQ8</f>
        <v>0</v>
      </c>
      <c r="AR55" s="1245">
        <f>AR53-BS!AR8</f>
        <v>0</v>
      </c>
      <c r="AS55" s="1245">
        <f>AS53-BS!AS8</f>
        <v>0</v>
      </c>
      <c r="AT55" s="1245"/>
      <c r="AU55" s="1634"/>
      <c r="AV55" s="1245">
        <f>AV53-BS!AV8</f>
        <v>0</v>
      </c>
      <c r="AW55" s="1245">
        <f>AW53-BS!AW8</f>
        <v>0</v>
      </c>
      <c r="AX55" s="1245">
        <f>AX53-BS!AX8</f>
        <v>0</v>
      </c>
      <c r="AY55" s="1245">
        <f>AY53-BS!AY8</f>
        <v>0</v>
      </c>
      <c r="AZ55" s="1634"/>
      <c r="BA55" s="1245">
        <f>BA53-BS!BA8</f>
        <v>0</v>
      </c>
      <c r="BB55" s="1631">
        <f>BB53-BS!BB8</f>
        <v>0</v>
      </c>
      <c r="BC55" s="1245">
        <f>BC53-BS!BC8</f>
        <v>-9.0949470177292824E-13</v>
      </c>
      <c r="BD55" s="1245">
        <f>BD53-BS!BD8</f>
        <v>0</v>
      </c>
      <c r="BE55" s="1634"/>
      <c r="BF55" s="1245">
        <f>BF53-BS!BF8</f>
        <v>0</v>
      </c>
      <c r="BG55" s="1631">
        <f>BG53-BS!BG8</f>
        <v>0</v>
      </c>
      <c r="BH55" s="1631">
        <f>BH53-BS!BH8</f>
        <v>0</v>
      </c>
      <c r="BI55" s="1245">
        <f>BI53-BS!BI8</f>
        <v>0</v>
      </c>
      <c r="BJ55" s="1634"/>
      <c r="BK55" s="1245">
        <f>BK53-BS!BK8</f>
        <v>0</v>
      </c>
      <c r="BL55" s="1631">
        <f>BL53-BS!BL8</f>
        <v>0</v>
      </c>
      <c r="BM55" s="1631">
        <f>BM53-BS!BM8</f>
        <v>-1.0231815394945443E-12</v>
      </c>
      <c r="BN55" s="1631">
        <f>BN53-BS!BN8</f>
        <v>-1.1368683772161603E-12</v>
      </c>
      <c r="BO55" s="1634"/>
      <c r="BP55" s="1245">
        <f>BP53-BS!BP8</f>
        <v>-1.1368683772161603E-12</v>
      </c>
      <c r="BQ55" s="1631">
        <f>BQ53-BS!BQ8</f>
        <v>-1.1368683772161603E-12</v>
      </c>
      <c r="BR55" s="1245">
        <f>BR53-BS!BR8</f>
        <v>-1.0231815394945443E-12</v>
      </c>
      <c r="BS55" s="1245">
        <f>BS53-BS!BS8</f>
        <v>0</v>
      </c>
      <c r="BT55" s="1634"/>
      <c r="BU55" s="1245">
        <f>BU53-BS!BU8</f>
        <v>-1.3642420526593924E-12</v>
      </c>
      <c r="BV55" s="1245">
        <f>BV53-BS!BV8</f>
        <v>0</v>
      </c>
      <c r="BW55" s="1245">
        <f>BW53-BS!BW8</f>
        <v>0</v>
      </c>
      <c r="BX55" s="1245">
        <f>BX53-BS!BX8</f>
        <v>-9.0949470177292824E-13</v>
      </c>
      <c r="BY55" s="1634"/>
      <c r="BZ55" s="1245">
        <f>BZ53-BS!BZ8</f>
        <v>-9.0949470177292824E-13</v>
      </c>
      <c r="CA55" s="1245">
        <f>CA53-BS!CA8</f>
        <v>-9.0949470177292824E-13</v>
      </c>
      <c r="CB55" s="1245">
        <f>CB53-BS!CB8</f>
        <v>-9.0949470177292824E-13</v>
      </c>
      <c r="CC55" s="1741">
        <f>CC53-BS!CC8</f>
        <v>0</v>
      </c>
      <c r="CD55" s="1681"/>
      <c r="CE55" s="1631">
        <f>CE53-BS!CE8</f>
        <v>0</v>
      </c>
      <c r="CF55" s="1631">
        <f>CF53-BS!CF8</f>
        <v>0</v>
      </c>
      <c r="CG55" s="1631">
        <f>CG53-BS!CG8</f>
        <v>0</v>
      </c>
      <c r="CH55" s="1631">
        <f>CH53-BS!CH8</f>
        <v>0</v>
      </c>
      <c r="CI55" s="1681"/>
      <c r="CJ55" s="1741">
        <f>CJ53-BS!CJ8</f>
        <v>0</v>
      </c>
      <c r="CK55" s="1741">
        <f>CK53-BS!CK8</f>
        <v>0</v>
      </c>
      <c r="CL55" s="1741">
        <f>CL53-BS!CL8</f>
        <v>0</v>
      </c>
      <c r="CM55" s="1741">
        <f>CM53-BS!CM8</f>
        <v>0</v>
      </c>
      <c r="CN55" s="1636"/>
      <c r="CO55" s="1245">
        <f>CO53-BS!CO8</f>
        <v>0</v>
      </c>
      <c r="CP55" s="1245">
        <f>CP53-BS!CP8</f>
        <v>0</v>
      </c>
      <c r="CQ55" s="1245">
        <f>CQ53-BS!CQ8</f>
        <v>0</v>
      </c>
      <c r="CR55" s="1245">
        <f>CR53-BS!CR8</f>
        <v>0</v>
      </c>
      <c r="CS55" s="1636"/>
      <c r="CT55" s="1245">
        <f>CT53-BS!CT8</f>
        <v>0</v>
      </c>
      <c r="CU55" s="1245">
        <f>CU53-BS!CU8</f>
        <v>0</v>
      </c>
      <c r="CV55" s="1245">
        <f>CV53-BS!CV8</f>
        <v>0</v>
      </c>
      <c r="CW55" s="1245">
        <f>CW53-BS!CW8</f>
        <v>0</v>
      </c>
      <c r="CX55" s="1636"/>
      <c r="CY55"/>
      <c r="CZ55" s="1006"/>
      <c r="DA55" s="1637"/>
      <c r="DB55" s="1006"/>
      <c r="DC55" s="1006"/>
      <c r="DD55"/>
      <c r="DE55"/>
      <c r="DF55"/>
      <c r="DG55"/>
      <c r="DH55"/>
      <c r="DI55"/>
    </row>
    <row r="56" spans="1:113" hidden="1" outlineLevel="1">
      <c r="A56" s="976" t="s">
        <v>650</v>
      </c>
      <c r="B56" s="976"/>
      <c r="C56" s="977"/>
      <c r="D56" s="977"/>
      <c r="E56" s="977"/>
      <c r="F56" s="977"/>
      <c r="G56" s="978"/>
      <c r="H56" s="977"/>
      <c r="I56" s="977"/>
      <c r="J56" s="977"/>
      <c r="K56" s="977"/>
      <c r="L56" s="978"/>
      <c r="M56" s="977"/>
      <c r="N56" s="977"/>
      <c r="O56" s="977"/>
      <c r="P56" s="977"/>
      <c r="Q56" s="978"/>
      <c r="R56" s="977"/>
      <c r="S56" s="977"/>
      <c r="T56" s="977"/>
      <c r="U56" s="977"/>
      <c r="V56" s="978"/>
      <c r="W56" s="977"/>
      <c r="X56" s="977"/>
      <c r="Y56" s="977"/>
      <c r="Z56" s="977"/>
      <c r="AA56" s="978"/>
      <c r="AB56" s="977"/>
      <c r="AC56" s="977"/>
      <c r="AD56" s="977"/>
      <c r="AE56" s="977"/>
      <c r="AF56" s="979"/>
      <c r="AG56" s="977"/>
      <c r="AH56" s="977"/>
      <c r="AI56" s="977"/>
      <c r="AJ56" s="977"/>
      <c r="AK56" s="978"/>
      <c r="AL56" s="977"/>
      <c r="AM56" s="977"/>
      <c r="AN56" s="977"/>
      <c r="AO56" s="977"/>
      <c r="AP56" s="978"/>
      <c r="AQ56" s="977"/>
      <c r="AR56" s="980"/>
      <c r="AS56" s="980"/>
      <c r="AT56" s="980"/>
      <c r="AU56" s="981"/>
      <c r="AV56" s="977"/>
      <c r="AW56" s="977"/>
      <c r="AX56" s="977"/>
      <c r="AY56" s="980"/>
      <c r="AZ56" s="981"/>
      <c r="BA56" s="977"/>
      <c r="BB56" s="977"/>
      <c r="BC56" s="980"/>
      <c r="BD56" s="980"/>
      <c r="BE56" s="981"/>
      <c r="BF56" s="977"/>
      <c r="BG56" s="977"/>
      <c r="BH56" s="977"/>
      <c r="BI56" s="980"/>
      <c r="BJ56" s="981"/>
      <c r="BK56" s="977"/>
      <c r="BL56" s="977"/>
      <c r="BM56" s="977"/>
      <c r="BN56" s="977"/>
      <c r="BO56" s="981"/>
      <c r="BP56" s="977"/>
      <c r="BQ56" s="977"/>
      <c r="BR56" s="977"/>
      <c r="BS56" s="977"/>
      <c r="BT56" s="981"/>
      <c r="BU56" s="977"/>
      <c r="BV56" s="977"/>
      <c r="BW56" s="977"/>
      <c r="BX56" s="977"/>
      <c r="BY56" s="981"/>
      <c r="BZ56" s="977"/>
      <c r="CA56" s="977"/>
      <c r="CB56" s="977"/>
      <c r="CC56" s="977"/>
      <c r="CD56" s="1682"/>
      <c r="CE56" s="980"/>
      <c r="CF56" s="977"/>
      <c r="CG56" s="977"/>
      <c r="CH56" s="977"/>
      <c r="CI56" s="1682"/>
      <c r="CJ56" s="980"/>
      <c r="CK56" s="980"/>
      <c r="CL56" s="980"/>
      <c r="CM56" s="980"/>
      <c r="CN56" s="982"/>
      <c r="CO56" s="980"/>
      <c r="CP56" s="980"/>
      <c r="CQ56" s="980"/>
      <c r="CR56" s="980"/>
      <c r="CS56" s="982"/>
      <c r="CT56" s="980"/>
      <c r="CU56" s="980"/>
      <c r="CV56" s="980"/>
      <c r="CW56" s="980"/>
      <c r="CX56" s="982"/>
      <c r="CZ56" s="710"/>
      <c r="DA56" s="750"/>
      <c r="DB56" s="710"/>
      <c r="DC56" s="710"/>
    </row>
    <row r="57" spans="1:113" ht="20.100000000000001" customHeight="1" collapsed="1">
      <c r="A57" s="970" t="str">
        <f>A1</f>
        <v>Adobe Systems</v>
      </c>
      <c r="B57" s="970"/>
      <c r="C57" s="688"/>
      <c r="D57" s="688"/>
      <c r="E57" s="688"/>
      <c r="F57" s="688"/>
      <c r="G57" s="688"/>
      <c r="H57" s="688"/>
      <c r="I57" s="688"/>
      <c r="J57" s="688"/>
      <c r="K57" s="688"/>
      <c r="L57" s="688"/>
      <c r="M57" s="688"/>
      <c r="N57" s="688"/>
      <c r="O57" s="688"/>
      <c r="P57" s="688"/>
      <c r="Q57" s="688"/>
      <c r="R57" s="688"/>
      <c r="S57" s="688"/>
      <c r="T57" s="688"/>
      <c r="U57" s="688"/>
      <c r="V57" s="688">
        <v>37.086999999999897</v>
      </c>
      <c r="W57" s="688"/>
      <c r="X57" s="688"/>
      <c r="Y57" s="688"/>
      <c r="Z57" s="688"/>
      <c r="AA57" s="688"/>
      <c r="AB57" s="688"/>
      <c r="AC57" s="688"/>
      <c r="AD57" s="688"/>
      <c r="AE57" s="688"/>
      <c r="AF57" s="688"/>
      <c r="AG57" s="688"/>
      <c r="AH57" s="688"/>
      <c r="AI57" s="688"/>
      <c r="AJ57" s="688"/>
      <c r="AK57" s="688"/>
      <c r="AL57" s="688"/>
      <c r="AM57" s="688"/>
      <c r="AN57" s="688"/>
      <c r="AO57" s="688"/>
      <c r="AP57" s="688"/>
      <c r="AQ57" s="688"/>
      <c r="AR57" s="692"/>
      <c r="AS57" s="692"/>
      <c r="AT57" s="692"/>
      <c r="AU57" s="729"/>
      <c r="AV57" s="688"/>
      <c r="AW57" s="688"/>
      <c r="AX57" s="688"/>
      <c r="AY57" s="692"/>
      <c r="AZ57" s="729"/>
      <c r="BA57" s="688"/>
      <c r="BB57" s="688"/>
      <c r="BC57" s="1246"/>
      <c r="BD57" s="692"/>
      <c r="BE57" s="729"/>
      <c r="BF57" s="688"/>
      <c r="BG57" s="688"/>
      <c r="BH57" s="688"/>
      <c r="BI57" s="692"/>
      <c r="BJ57" s="729"/>
      <c r="BK57" s="688"/>
      <c r="BL57" s="688"/>
      <c r="BM57" s="688"/>
      <c r="BN57" s="688"/>
      <c r="BO57" s="729"/>
      <c r="BP57" s="688"/>
      <c r="BQ57" s="688"/>
      <c r="BR57" s="688"/>
      <c r="BS57" s="688"/>
      <c r="BT57" s="729"/>
      <c r="BU57" s="688"/>
      <c r="BV57" s="688"/>
      <c r="BW57" s="688"/>
      <c r="BX57" s="688"/>
      <c r="BY57" s="729"/>
      <c r="BZ57" s="1658"/>
      <c r="CA57" s="688"/>
      <c r="CB57" s="688"/>
      <c r="CC57" s="688"/>
      <c r="CD57" s="688"/>
      <c r="CE57" s="1256"/>
      <c r="CF57" s="688"/>
      <c r="CG57" s="688"/>
      <c r="CH57" s="688"/>
      <c r="CI57" s="688"/>
      <c r="CJ57" s="1256"/>
      <c r="CK57" s="692"/>
      <c r="CL57" s="692"/>
      <c r="CM57" s="692"/>
      <c r="CN57" s="729"/>
      <c r="CO57" s="1256"/>
      <c r="CP57" s="692"/>
      <c r="CQ57" s="692"/>
      <c r="CR57" s="692"/>
      <c r="CS57" s="729"/>
      <c r="CT57" s="1256"/>
      <c r="CU57" s="692"/>
      <c r="CV57" s="692"/>
      <c r="CW57" s="692"/>
      <c r="CX57" s="729"/>
      <c r="CY57" s="729"/>
      <c r="CZ57" s="689"/>
      <c r="DA57" s="685"/>
      <c r="DB57" s="689"/>
      <c r="DC57" s="689"/>
    </row>
    <row r="58" spans="1:113" ht="20.100000000000001" customHeight="1">
      <c r="A58" s="970" t="s">
        <v>494</v>
      </c>
      <c r="B58" s="970"/>
      <c r="C58" s="688"/>
      <c r="D58" s="688"/>
      <c r="E58" s="688"/>
      <c r="F58" s="688"/>
      <c r="G58" s="688"/>
      <c r="H58" s="688"/>
      <c r="I58" s="688"/>
      <c r="J58" s="688"/>
      <c r="K58" s="688"/>
      <c r="L58" s="688"/>
      <c r="M58" s="688"/>
      <c r="N58" s="688"/>
      <c r="O58" s="688"/>
      <c r="P58" s="688"/>
      <c r="Q58" s="688"/>
      <c r="R58" s="688"/>
      <c r="S58" s="688"/>
      <c r="T58" s="688"/>
      <c r="U58" s="688"/>
      <c r="V58" s="688"/>
      <c r="W58" s="688"/>
      <c r="X58" s="688"/>
      <c r="Y58" s="688"/>
      <c r="Z58" s="688"/>
      <c r="AA58" s="688"/>
      <c r="AB58" s="688"/>
      <c r="AC58" s="688"/>
      <c r="AD58" s="688"/>
      <c r="AE58" s="688"/>
      <c r="AF58" s="688"/>
      <c r="AG58" s="688"/>
      <c r="AH58" s="688"/>
      <c r="AI58" s="688"/>
      <c r="AJ58" s="688"/>
      <c r="AK58" s="688"/>
      <c r="AL58" s="688"/>
      <c r="AM58" s="688"/>
      <c r="AN58" s="688"/>
      <c r="AO58" s="688"/>
      <c r="AP58" s="688"/>
      <c r="AQ58" s="688"/>
      <c r="AR58" s="692"/>
      <c r="AS58" s="692"/>
      <c r="AT58" s="692"/>
      <c r="AU58" s="729"/>
      <c r="AV58" s="688"/>
      <c r="AW58" s="688"/>
      <c r="AX58" s="688"/>
      <c r="AY58" s="692"/>
      <c r="AZ58" s="729"/>
      <c r="BA58" s="688"/>
      <c r="BB58" s="688"/>
      <c r="BC58" s="729"/>
      <c r="BD58" s="692"/>
      <c r="BE58" s="729"/>
      <c r="BF58" s="688"/>
      <c r="BG58" s="688"/>
      <c r="BH58" s="688"/>
      <c r="BI58" s="692"/>
      <c r="BJ58" s="729"/>
      <c r="BK58" s="688"/>
      <c r="BL58" s="688"/>
      <c r="BM58" s="688"/>
      <c r="BN58" s="688"/>
      <c r="BO58" s="729"/>
      <c r="BP58" s="688"/>
      <c r="BQ58" s="688"/>
      <c r="BR58" s="688"/>
      <c r="BS58" s="688"/>
      <c r="BT58" s="729"/>
      <c r="BU58" s="688"/>
      <c r="BV58" s="688"/>
      <c r="BW58" s="688"/>
      <c r="BX58" s="688"/>
      <c r="BY58" s="729"/>
      <c r="BZ58" s="688"/>
      <c r="CA58" s="688"/>
      <c r="CB58" s="688"/>
      <c r="CC58" s="688"/>
      <c r="CD58" s="688"/>
      <c r="CE58" s="729"/>
      <c r="CF58" s="688"/>
      <c r="CG58" s="688"/>
      <c r="CH58" s="688"/>
      <c r="CI58" s="688"/>
      <c r="CJ58" s="729"/>
      <c r="CK58" s="692"/>
      <c r="CL58" s="692"/>
      <c r="CM58" s="692"/>
      <c r="CN58" s="692"/>
      <c r="CO58" s="729"/>
      <c r="CP58" s="692"/>
      <c r="CQ58" s="692"/>
      <c r="CR58" s="692"/>
      <c r="CS58" s="692"/>
      <c r="CT58" s="729"/>
      <c r="CU58" s="692"/>
      <c r="CV58" s="692"/>
      <c r="CW58" s="692"/>
      <c r="CX58" s="692"/>
      <c r="CY58" s="692"/>
      <c r="CZ58" s="689"/>
      <c r="DA58" s="685"/>
      <c r="DB58" s="689"/>
      <c r="DC58" s="689"/>
    </row>
    <row r="59" spans="1:113" ht="11.25" customHeight="1">
      <c r="A59" s="1485"/>
      <c r="B59" s="1568"/>
      <c r="C59" s="772"/>
      <c r="D59" s="772"/>
      <c r="E59" s="772"/>
      <c r="F59" s="772"/>
      <c r="G59" s="1261"/>
      <c r="H59" s="772"/>
      <c r="I59" s="772"/>
      <c r="J59" s="772"/>
      <c r="K59" s="772"/>
      <c r="L59" s="1261"/>
      <c r="M59" s="772"/>
      <c r="N59" s="772"/>
      <c r="O59" s="772"/>
      <c r="P59" s="772"/>
      <c r="Q59" s="1261"/>
      <c r="R59" s="772"/>
      <c r="S59" s="772"/>
      <c r="T59" s="772"/>
      <c r="U59" s="772"/>
      <c r="V59" s="1261"/>
      <c r="W59" s="772"/>
      <c r="X59" s="772"/>
      <c r="Y59" s="772"/>
      <c r="Z59" s="772"/>
      <c r="AA59" s="1261"/>
      <c r="AB59" s="772"/>
      <c r="AC59" s="772"/>
      <c r="AD59" s="772"/>
      <c r="AE59" s="772"/>
      <c r="AF59" s="1261"/>
      <c r="AG59" s="772"/>
      <c r="AH59" s="772"/>
      <c r="AI59" s="772"/>
      <c r="AJ59" s="772"/>
      <c r="AK59" s="1261"/>
      <c r="AL59" s="772"/>
      <c r="AM59" s="772"/>
      <c r="AN59" s="772"/>
      <c r="AO59" s="772"/>
      <c r="AP59" s="1261"/>
      <c r="AQ59" s="772"/>
      <c r="AR59" s="1263"/>
      <c r="AS59" s="1263"/>
      <c r="AT59" s="1263"/>
      <c r="AU59" s="1262"/>
      <c r="AV59" s="772"/>
      <c r="AW59" s="772"/>
      <c r="AX59" s="772"/>
      <c r="AY59" s="1263"/>
      <c r="AZ59" s="1262"/>
      <c r="BA59" s="772"/>
      <c r="BB59" s="772"/>
      <c r="BC59" s="772"/>
      <c r="BD59" s="1263"/>
      <c r="BE59" s="1481"/>
      <c r="BF59" s="1482"/>
      <c r="BG59" s="1482"/>
      <c r="BH59" s="1482"/>
      <c r="BI59" s="1483"/>
      <c r="BJ59" s="1481"/>
      <c r="BK59" s="1482"/>
      <c r="BL59" s="1482"/>
      <c r="BM59" s="1482"/>
      <c r="BN59" s="1482"/>
      <c r="BO59" s="1481"/>
      <c r="BP59" s="1482"/>
      <c r="BQ59" s="1482"/>
      <c r="BR59" s="1482"/>
      <c r="BS59" s="1482"/>
      <c r="BT59" s="1481"/>
      <c r="BU59" s="1482"/>
      <c r="BV59" s="1482"/>
      <c r="BW59" s="1482"/>
      <c r="BX59" s="1482"/>
      <c r="BY59" s="1481"/>
      <c r="BZ59" s="1482"/>
      <c r="CA59" s="1482"/>
      <c r="CB59" s="1482"/>
      <c r="CC59" s="1482"/>
      <c r="CD59" s="1683"/>
      <c r="CE59" s="1483"/>
      <c r="CF59" s="1482"/>
      <c r="CG59" s="1482"/>
      <c r="CH59" s="1482"/>
      <c r="CI59" s="1683"/>
      <c r="CJ59" s="1483"/>
      <c r="CK59" s="1483"/>
      <c r="CL59" s="1483"/>
      <c r="CM59" s="1483"/>
      <c r="CN59" s="1484"/>
      <c r="CO59" s="1483"/>
      <c r="CP59" s="1483"/>
      <c r="CQ59" s="1483"/>
      <c r="CR59" s="1483"/>
      <c r="CS59" s="1484"/>
      <c r="CT59" s="1483"/>
      <c r="CU59" s="1483"/>
      <c r="CV59" s="1483"/>
      <c r="CW59" s="1483"/>
      <c r="CX59" s="1484"/>
      <c r="CZ59" s="772"/>
      <c r="DA59" s="773"/>
      <c r="DB59" s="772"/>
      <c r="DC59" s="772"/>
    </row>
    <row r="60" spans="1:113">
      <c r="A60" s="1639" t="s">
        <v>332</v>
      </c>
      <c r="B60" s="774"/>
      <c r="C60" s="775" t="str">
        <f t="shared" ref="C60:AH60" si="132">C6</f>
        <v>2/01</v>
      </c>
      <c r="D60" s="775" t="str">
        <f t="shared" si="132"/>
        <v>5/01</v>
      </c>
      <c r="E60" s="775" t="str">
        <f t="shared" si="132"/>
        <v>8/01</v>
      </c>
      <c r="F60" s="775" t="str">
        <f t="shared" si="132"/>
        <v>11/01</v>
      </c>
      <c r="G60" s="776" t="str">
        <f t="shared" si="132"/>
        <v>FY01</v>
      </c>
      <c r="H60" s="775" t="str">
        <f t="shared" si="132"/>
        <v>2/02</v>
      </c>
      <c r="I60" s="775" t="str">
        <f t="shared" si="132"/>
        <v>5/02</v>
      </c>
      <c r="J60" s="775" t="str">
        <f t="shared" si="132"/>
        <v>8/02</v>
      </c>
      <c r="K60" s="775" t="str">
        <f t="shared" si="132"/>
        <v>11/02</v>
      </c>
      <c r="L60" s="776" t="str">
        <f t="shared" si="132"/>
        <v>FY02</v>
      </c>
      <c r="M60" s="775" t="str">
        <f t="shared" si="132"/>
        <v>2/03</v>
      </c>
      <c r="N60" s="775" t="str">
        <f t="shared" si="132"/>
        <v>5/03</v>
      </c>
      <c r="O60" s="775" t="str">
        <f t="shared" si="132"/>
        <v>8/03</v>
      </c>
      <c r="P60" s="775" t="str">
        <f t="shared" si="132"/>
        <v>11/03</v>
      </c>
      <c r="Q60" s="776" t="str">
        <f t="shared" si="132"/>
        <v>FY03</v>
      </c>
      <c r="R60" s="775" t="str">
        <f t="shared" si="132"/>
        <v>2/04</v>
      </c>
      <c r="S60" s="775" t="str">
        <f t="shared" si="132"/>
        <v>5/04</v>
      </c>
      <c r="T60" s="775" t="str">
        <f t="shared" si="132"/>
        <v>8/04</v>
      </c>
      <c r="U60" s="775" t="str">
        <f t="shared" si="132"/>
        <v>11/04</v>
      </c>
      <c r="V60" s="776" t="str">
        <f t="shared" si="132"/>
        <v>FY04</v>
      </c>
      <c r="W60" s="775" t="str">
        <f t="shared" si="132"/>
        <v>2/05</v>
      </c>
      <c r="X60" s="775" t="str">
        <f t="shared" si="132"/>
        <v xml:space="preserve"> 5/05</v>
      </c>
      <c r="Y60" s="775" t="str">
        <f t="shared" si="132"/>
        <v>8/05</v>
      </c>
      <c r="Z60" s="775" t="str">
        <f t="shared" si="132"/>
        <v>11/05</v>
      </c>
      <c r="AA60" s="776" t="str">
        <f t="shared" si="132"/>
        <v>FY05</v>
      </c>
      <c r="AB60" s="775" t="str">
        <f t="shared" si="132"/>
        <v>2/06</v>
      </c>
      <c r="AC60" s="775" t="str">
        <f t="shared" si="132"/>
        <v xml:space="preserve"> 5/06</v>
      </c>
      <c r="AD60" s="775" t="str">
        <f t="shared" si="132"/>
        <v>8/06</v>
      </c>
      <c r="AE60" s="775" t="str">
        <f t="shared" si="132"/>
        <v>11/06</v>
      </c>
      <c r="AF60" s="776" t="str">
        <f t="shared" si="132"/>
        <v>FY06</v>
      </c>
      <c r="AG60" s="775" t="str">
        <f t="shared" si="132"/>
        <v xml:space="preserve"> 2/07</v>
      </c>
      <c r="AH60" s="775" t="str">
        <f t="shared" si="132"/>
        <v>5/07</v>
      </c>
      <c r="AI60" s="775" t="str">
        <f t="shared" ref="AI60:BN60" si="133">AI6</f>
        <v>8/07</v>
      </c>
      <c r="AJ60" s="775" t="str">
        <f t="shared" si="133"/>
        <v>11/07</v>
      </c>
      <c r="AK60" s="776" t="str">
        <f t="shared" si="133"/>
        <v>FY07</v>
      </c>
      <c r="AL60" s="775" t="str">
        <f t="shared" si="133"/>
        <v xml:space="preserve"> 2/08</v>
      </c>
      <c r="AM60" s="775" t="str">
        <f t="shared" si="133"/>
        <v>5/08</v>
      </c>
      <c r="AN60" s="775" t="str">
        <f t="shared" si="133"/>
        <v>8/08</v>
      </c>
      <c r="AO60" s="775" t="str">
        <f t="shared" si="133"/>
        <v>11/08</v>
      </c>
      <c r="AP60" s="776" t="str">
        <f t="shared" si="133"/>
        <v>FY08</v>
      </c>
      <c r="AQ60" s="775" t="str">
        <f t="shared" si="133"/>
        <v xml:space="preserve"> 2/09</v>
      </c>
      <c r="AR60" s="775" t="str">
        <f t="shared" si="133"/>
        <v>5/09</v>
      </c>
      <c r="AS60" s="775" t="str">
        <f t="shared" si="133"/>
        <v>8/09</v>
      </c>
      <c r="AT60" s="775" t="str">
        <f t="shared" si="133"/>
        <v>11/09</v>
      </c>
      <c r="AU60" s="776" t="str">
        <f t="shared" si="133"/>
        <v>FY09</v>
      </c>
      <c r="AV60" s="775" t="str">
        <f t="shared" si="133"/>
        <v xml:space="preserve"> 2/10</v>
      </c>
      <c r="AW60" s="775" t="str">
        <f t="shared" si="133"/>
        <v>5/10</v>
      </c>
      <c r="AX60" s="775" t="str">
        <f t="shared" si="133"/>
        <v>8/10</v>
      </c>
      <c r="AY60" s="775" t="str">
        <f t="shared" si="133"/>
        <v>11/10</v>
      </c>
      <c r="AZ60" s="776" t="str">
        <f t="shared" si="133"/>
        <v>FY10</v>
      </c>
      <c r="BA60" s="775" t="str">
        <f t="shared" si="133"/>
        <v xml:space="preserve"> 2/11</v>
      </c>
      <c r="BB60" s="775" t="str">
        <f t="shared" si="133"/>
        <v>5/11</v>
      </c>
      <c r="BC60" s="775" t="str">
        <f t="shared" si="133"/>
        <v>8/11</v>
      </c>
      <c r="BD60" s="775" t="str">
        <f t="shared" si="133"/>
        <v>11/11</v>
      </c>
      <c r="BE60" s="776" t="str">
        <f t="shared" si="133"/>
        <v>FY11</v>
      </c>
      <c r="BF60" s="775" t="str">
        <f t="shared" si="133"/>
        <v xml:space="preserve"> 2/12</v>
      </c>
      <c r="BG60" s="775" t="str">
        <f t="shared" si="133"/>
        <v>5/12</v>
      </c>
      <c r="BH60" s="775" t="str">
        <f t="shared" si="133"/>
        <v>8/12</v>
      </c>
      <c r="BI60" s="775" t="str">
        <f t="shared" si="133"/>
        <v>11/12</v>
      </c>
      <c r="BJ60" s="776" t="str">
        <f t="shared" si="133"/>
        <v>FY12</v>
      </c>
      <c r="BK60" s="775" t="str">
        <f t="shared" si="133"/>
        <v xml:space="preserve"> 2/13</v>
      </c>
      <c r="BL60" s="775" t="str">
        <f t="shared" si="133"/>
        <v>5/13</v>
      </c>
      <c r="BM60" s="775" t="str">
        <f t="shared" si="133"/>
        <v>8/13</v>
      </c>
      <c r="BN60" s="775" t="str">
        <f t="shared" si="133"/>
        <v>11/13</v>
      </c>
      <c r="BO60" s="776" t="str">
        <f t="shared" ref="BO60:CN60" si="134">BO6</f>
        <v>FY13</v>
      </c>
      <c r="BP60" s="775" t="str">
        <f t="shared" si="134"/>
        <v xml:space="preserve"> 2/14</v>
      </c>
      <c r="BQ60" s="775" t="str">
        <f t="shared" si="134"/>
        <v>5/14</v>
      </c>
      <c r="BR60" s="775" t="str">
        <f t="shared" si="134"/>
        <v>8/14</v>
      </c>
      <c r="BS60" s="775" t="str">
        <f t="shared" si="134"/>
        <v>11/14</v>
      </c>
      <c r="BT60" s="776" t="str">
        <f t="shared" si="134"/>
        <v>FY14</v>
      </c>
      <c r="BU60" s="775" t="str">
        <f t="shared" si="134"/>
        <v xml:space="preserve"> 2/15</v>
      </c>
      <c r="BV60" s="775" t="str">
        <f t="shared" si="134"/>
        <v>5/15</v>
      </c>
      <c r="BW60" s="775" t="str">
        <f t="shared" si="134"/>
        <v>8/15</v>
      </c>
      <c r="BX60" s="775" t="str">
        <f t="shared" si="134"/>
        <v>11/15</v>
      </c>
      <c r="BY60" s="776" t="str">
        <f t="shared" si="134"/>
        <v>FY15</v>
      </c>
      <c r="BZ60" s="775" t="str">
        <f t="shared" si="134"/>
        <v xml:space="preserve"> 2/16</v>
      </c>
      <c r="CA60" s="775" t="str">
        <f t="shared" si="134"/>
        <v>5/16</v>
      </c>
      <c r="CB60" s="775" t="str">
        <f t="shared" si="134"/>
        <v>8/16</v>
      </c>
      <c r="CC60" s="775" t="str">
        <f t="shared" si="134"/>
        <v>11/16</v>
      </c>
      <c r="CD60" s="1684" t="str">
        <f t="shared" si="134"/>
        <v>FY16</v>
      </c>
      <c r="CE60" s="775" t="str">
        <f t="shared" si="134"/>
        <v xml:space="preserve"> 2/17</v>
      </c>
      <c r="CF60" s="775" t="str">
        <f t="shared" si="134"/>
        <v>5/17</v>
      </c>
      <c r="CG60" s="775" t="str">
        <f t="shared" si="134"/>
        <v>8/17</v>
      </c>
      <c r="CH60" s="775" t="str">
        <f t="shared" si="134"/>
        <v>11/17</v>
      </c>
      <c r="CI60" s="1684" t="str">
        <f t="shared" si="134"/>
        <v>FY17</v>
      </c>
      <c r="CJ60" s="777" t="str">
        <f t="shared" si="134"/>
        <v xml:space="preserve"> 2/18</v>
      </c>
      <c r="CK60" s="777" t="str">
        <f t="shared" si="134"/>
        <v>5/18E</v>
      </c>
      <c r="CL60" s="777" t="str">
        <f t="shared" si="134"/>
        <v>8/18E</v>
      </c>
      <c r="CM60" s="777" t="str">
        <f t="shared" si="134"/>
        <v>11/18E</v>
      </c>
      <c r="CN60" s="1059" t="str">
        <f t="shared" si="134"/>
        <v>FY18E</v>
      </c>
      <c r="CO60" s="777" t="str">
        <f t="shared" ref="CO60:CX60" si="135">CO6</f>
        <v xml:space="preserve"> 2/19E</v>
      </c>
      <c r="CP60" s="777" t="str">
        <f t="shared" si="135"/>
        <v>5/19E</v>
      </c>
      <c r="CQ60" s="777" t="str">
        <f t="shared" si="135"/>
        <v>8/19E</v>
      </c>
      <c r="CR60" s="777" t="str">
        <f t="shared" si="135"/>
        <v>11/19E</v>
      </c>
      <c r="CS60" s="1059" t="str">
        <f t="shared" si="135"/>
        <v>FY19E</v>
      </c>
      <c r="CT60" s="777" t="str">
        <f t="shared" si="135"/>
        <v xml:space="preserve"> 2/20E</v>
      </c>
      <c r="CU60" s="777" t="str">
        <f t="shared" si="135"/>
        <v>5/20E</v>
      </c>
      <c r="CV60" s="777" t="str">
        <f t="shared" si="135"/>
        <v>8/20E</v>
      </c>
      <c r="CW60" s="777" t="str">
        <f t="shared" si="135"/>
        <v>11/20E</v>
      </c>
      <c r="CX60" s="1059" t="str">
        <f t="shared" si="135"/>
        <v>FY20E</v>
      </c>
      <c r="CY60" s="777"/>
      <c r="CZ60" s="778"/>
      <c r="DA60" s="779"/>
      <c r="DB60" s="778"/>
      <c r="DC60" s="778"/>
    </row>
    <row r="61" spans="1:113" ht="10.5" customHeight="1">
      <c r="A61" s="693" t="s">
        <v>457</v>
      </c>
      <c r="B61" s="693"/>
      <c r="C61" s="687"/>
      <c r="D61" s="687"/>
      <c r="E61" s="687"/>
      <c r="F61" s="687"/>
      <c r="G61" s="701"/>
      <c r="H61" s="687"/>
      <c r="I61" s="687"/>
      <c r="J61" s="687"/>
      <c r="K61" s="687"/>
      <c r="L61" s="701"/>
      <c r="M61" s="687"/>
      <c r="N61" s="687"/>
      <c r="O61" s="687"/>
      <c r="P61" s="687"/>
      <c r="Q61" s="701"/>
      <c r="R61" s="687"/>
      <c r="S61" s="687"/>
      <c r="T61" s="687"/>
      <c r="U61" s="687"/>
      <c r="V61" s="701"/>
      <c r="W61" s="687"/>
      <c r="X61" s="687"/>
      <c r="Y61" s="687"/>
      <c r="Z61" s="687"/>
      <c r="AA61" s="701"/>
      <c r="AB61" s="687"/>
      <c r="AC61" s="687"/>
      <c r="AD61" s="687"/>
      <c r="AE61" s="687"/>
      <c r="AF61" s="701"/>
      <c r="AG61" s="687"/>
      <c r="AH61" s="687"/>
      <c r="AI61" s="687"/>
      <c r="AJ61" s="687"/>
      <c r="AK61" s="701"/>
      <c r="AL61" s="687"/>
      <c r="AM61" s="687"/>
      <c r="AN61" s="687"/>
      <c r="AO61" s="687"/>
      <c r="AP61" s="701"/>
      <c r="AQ61" s="687"/>
      <c r="AR61" s="687"/>
      <c r="AS61" s="687"/>
      <c r="AT61" s="687"/>
      <c r="AU61" s="701"/>
      <c r="AV61" s="687"/>
      <c r="AW61" s="687"/>
      <c r="AX61" s="687"/>
      <c r="AY61" s="687"/>
      <c r="AZ61" s="701"/>
      <c r="BA61" s="687"/>
      <c r="BB61" s="687"/>
      <c r="BC61" s="687"/>
      <c r="BD61" s="687"/>
      <c r="BE61" s="701"/>
      <c r="BF61" s="687"/>
      <c r="BG61" s="687"/>
      <c r="BH61" s="687"/>
      <c r="BI61" s="687"/>
      <c r="BJ61" s="701"/>
      <c r="BK61" s="687"/>
      <c r="BL61" s="687"/>
      <c r="BM61" s="687"/>
      <c r="BN61" s="687"/>
      <c r="BO61" s="701"/>
      <c r="BP61" s="687"/>
      <c r="BQ61" s="687"/>
      <c r="BR61" s="687"/>
      <c r="BS61" s="687"/>
      <c r="BT61" s="701"/>
      <c r="BU61" s="687"/>
      <c r="BV61" s="687"/>
      <c r="BW61" s="687"/>
      <c r="BX61" s="687"/>
      <c r="BY61" s="701"/>
      <c r="BZ61" s="687"/>
      <c r="CA61" s="687"/>
      <c r="CB61" s="687"/>
      <c r="CC61" s="687"/>
      <c r="CD61" s="1379"/>
      <c r="CE61" s="687"/>
      <c r="CF61" s="687"/>
      <c r="CG61" s="687"/>
      <c r="CH61" s="687"/>
      <c r="CI61" s="1379"/>
      <c r="CJ61" s="1045"/>
      <c r="CK61" s="745"/>
      <c r="CL61" s="745"/>
      <c r="CM61" s="745"/>
      <c r="CN61" s="965"/>
      <c r="CO61" s="1045"/>
      <c r="CP61" s="745"/>
      <c r="CQ61" s="745"/>
      <c r="CR61" s="745"/>
      <c r="CS61" s="965"/>
      <c r="CT61" s="1045"/>
      <c r="CU61" s="745"/>
      <c r="CV61" s="745"/>
      <c r="CW61" s="745"/>
      <c r="CX61" s="965"/>
      <c r="CZ61" s="697"/>
      <c r="DA61" s="769"/>
      <c r="DB61" s="697"/>
      <c r="DC61" s="697"/>
    </row>
    <row r="62" spans="1:113" ht="10.5" customHeight="1">
      <c r="A62" s="706" t="s">
        <v>672</v>
      </c>
      <c r="B62" s="706"/>
      <c r="C62" s="725">
        <f>C8</f>
        <v>62.950999999999972</v>
      </c>
      <c r="D62" s="725">
        <f>IF(D8="-","-",SUM(D8)-SUM(C8))</f>
        <v>49.883000000000045</v>
      </c>
      <c r="E62" s="725">
        <f>IF(E8="-","-",SUM(E8)-SUM(D8))</f>
        <v>26.099000000000004</v>
      </c>
      <c r="F62" s="725">
        <f>IF(F8="-","-",SUM(F8)-SUM(E8))</f>
        <v>27.190999999999917</v>
      </c>
      <c r="G62" s="764">
        <f>SUM(C62:F62)</f>
        <v>166.12399999999994</v>
      </c>
      <c r="H62" s="725">
        <f>H8</f>
        <v>49.808</v>
      </c>
      <c r="I62" s="725">
        <f>IF(I8="-","-",SUM(I8)-SUM(H8))</f>
        <v>54.301000000000066</v>
      </c>
      <c r="J62" s="725">
        <f>IF(J8="-","-",SUM(J8)-SUM(I8))</f>
        <v>47.201000000000022</v>
      </c>
      <c r="K62" s="725">
        <f>IF(K8="-","-",SUM(K8)-SUM(J8))</f>
        <v>40.08899999999997</v>
      </c>
      <c r="L62" s="764">
        <f>SUM(H62:K62)</f>
        <v>191.39900000000006</v>
      </c>
      <c r="M62" s="725">
        <f>M8</f>
        <v>54.224999999999952</v>
      </c>
      <c r="N62" s="725">
        <f>IF(N8="-","-",SUM(N8)-SUM(M8))</f>
        <v>64.245999999999952</v>
      </c>
      <c r="O62" s="725">
        <f>IF(O8="-","-",SUM(O8)-SUM(N8))</f>
        <v>64.523999999999987</v>
      </c>
      <c r="P62" s="725">
        <f>IF(P8="-","-",SUM(P8)-SUM(O8))</f>
        <v>83.348999999999933</v>
      </c>
      <c r="Q62" s="764">
        <f>SUM(M62:P62)</f>
        <v>266.34399999999982</v>
      </c>
      <c r="R62" s="725">
        <f>R8</f>
        <v>123.03499999999997</v>
      </c>
      <c r="S62" s="725">
        <f>IF(S8="-","-",SUM(S8)-SUM(R8))</f>
        <v>109.40099999999995</v>
      </c>
      <c r="T62" s="725">
        <f>IF(T8="-","-",SUM(T8)-SUM(S8))</f>
        <v>104.46099999999996</v>
      </c>
      <c r="U62" s="725">
        <f>IF(U8="-","-",SUM(U8)-SUM(T8))</f>
        <v>113.50099999999998</v>
      </c>
      <c r="V62" s="764">
        <f>SUM(R62:U62)</f>
        <v>450.39799999999985</v>
      </c>
      <c r="W62" s="725">
        <f>W8</f>
        <v>151.89400000000001</v>
      </c>
      <c r="X62" s="725">
        <f>IF(X8="-","-",SUM(X8)-SUM(W8))</f>
        <v>149.77799999999991</v>
      </c>
      <c r="Y62" s="725">
        <f>IF(Y8="-","-",SUM(Y8)-SUM(X8))</f>
        <v>144.91599999999994</v>
      </c>
      <c r="Z62" s="725">
        <f>IF(Z8="-","-",SUM(Z8)-SUM(Y8))</f>
        <v>156.25100000000009</v>
      </c>
      <c r="AA62" s="764">
        <f>SUM(W62:Z62)</f>
        <v>602.83899999999994</v>
      </c>
      <c r="AB62" s="725">
        <f>AB8</f>
        <v>105.07200000000006</v>
      </c>
      <c r="AC62" s="725">
        <f>IF(AC8="-","-",SUM(AC8)-SUM(AB8))</f>
        <v>123.09700000000001</v>
      </c>
      <c r="AD62" s="725">
        <f>IF(AD8="-","-",SUM(AD8)-SUM(AC8))</f>
        <v>94.395999999999987</v>
      </c>
      <c r="AE62" s="725">
        <f>IF(AE8="-","-",SUM(AE8)-SUM(AD8))</f>
        <v>181.36399999999998</v>
      </c>
      <c r="AF62" s="764">
        <f>SUM(AB62:AE62)</f>
        <v>503.92900000000003</v>
      </c>
      <c r="AG62" s="725">
        <f>AG8</f>
        <v>143.85100000000011</v>
      </c>
      <c r="AH62" s="725">
        <f>IF(AH8="-","-",SUM(AH8)-SUM(AG8))</f>
        <v>152.505</v>
      </c>
      <c r="AI62" s="725">
        <f>IF(AI8="-","-",SUM(AI8)-SUM(AH8))</f>
        <v>205.24299999999994</v>
      </c>
      <c r="AJ62" s="725">
        <f>IF(AJ8="-","-",SUM(AJ8)-SUM(AI8))</f>
        <v>222.20799999999997</v>
      </c>
      <c r="AK62" s="764">
        <f>SUM(AG62:AJ62)</f>
        <v>723.80700000000002</v>
      </c>
      <c r="AL62" s="725">
        <f>AL8</f>
        <v>219.37899999999999</v>
      </c>
      <c r="AM62" s="725">
        <f>IF(AM8="-","-",SUM(AM8)-SUM(AL8))</f>
        <v>214.91</v>
      </c>
      <c r="AN62" s="725">
        <f>IF(AN8="-","-",SUM(AN8)-SUM(AM8))</f>
        <v>191.60799999999995</v>
      </c>
      <c r="AO62" s="725">
        <f>IF(AO8="-","-",SUM(AO8)-SUM(AN8))</f>
        <v>245.91700000000003</v>
      </c>
      <c r="AP62" s="764">
        <f>SUM(AL62:AO62)</f>
        <v>871.81399999999996</v>
      </c>
      <c r="AQ62" s="725">
        <f>AQ8</f>
        <v>156.43499999999992</v>
      </c>
      <c r="AR62" s="725">
        <f>IF(AR8="-","-",SUM(AR8)-SUM(AQ8))</f>
        <v>126.07100000000005</v>
      </c>
      <c r="AS62" s="725">
        <f>IF(AS8="-","-",SUM(AS8)-SUM(AR8))</f>
        <v>136.04500000000007</v>
      </c>
      <c r="AT62" s="725">
        <f>IF(AT8="-","-",SUM(AT8)-SUM(AS8))</f>
        <v>-32.043000000000006</v>
      </c>
      <c r="AU62" s="764">
        <f>SUM(AQ62:AT62)</f>
        <v>386.50800000000004</v>
      </c>
      <c r="AV62" s="725">
        <f>AV8</f>
        <v>127.15399999999997</v>
      </c>
      <c r="AW62" s="725">
        <f>IF(AW8="-","-",SUM(AW8)-SUM(AV8))</f>
        <v>148.6109999999999</v>
      </c>
      <c r="AX62" s="725">
        <f>IF(AX8="-","-",SUM(AX8)-SUM(AW8))</f>
        <v>230.06499999999994</v>
      </c>
      <c r="AY62" s="725">
        <f>IF(AY8="-","-",SUM(AY8)-SUM(AX8))</f>
        <v>268.8499999999998</v>
      </c>
      <c r="AZ62" s="764">
        <f>SUM(AV62:AY62)</f>
        <v>774.67999999999961</v>
      </c>
      <c r="BA62" s="725">
        <f>BA8</f>
        <v>234.59100000000001</v>
      </c>
      <c r="BB62" s="1302">
        <f>IF(BB8="-","-",SUM(BB8)-SUM(BA8))</f>
        <v>229.43599999999998</v>
      </c>
      <c r="BC62" s="725">
        <f>IF(BC8="-","-",SUM(BC8)-SUM(BB8))</f>
        <v>195.10100000000006</v>
      </c>
      <c r="BD62" s="725">
        <f>IF(BD8="-","-",SUM(BD8)-SUM(BC8))</f>
        <v>173.71899999999994</v>
      </c>
      <c r="BE62" s="764">
        <f>SUM(BA62:BD62)</f>
        <v>832.84699999999998</v>
      </c>
      <c r="BF62" s="725">
        <f>BF8</f>
        <v>185.209</v>
      </c>
      <c r="BG62" s="1302">
        <f>IF(BG8="-","-",SUM(BG8)-SUM(BF8))</f>
        <v>223.87599999999998</v>
      </c>
      <c r="BH62" s="1371">
        <f>IF(BH8="-","-",SUM(BH8)-SUM(BG8))</f>
        <v>201.35700000000003</v>
      </c>
      <c r="BI62" s="725">
        <f>IF(BI8="-","-",SUM(BI8)-SUM(BH8))</f>
        <v>222.33299999999997</v>
      </c>
      <c r="BJ62" s="764">
        <f>SUM(BF62:BI62)</f>
        <v>832.77499999999998</v>
      </c>
      <c r="BK62" s="725">
        <f>BK8</f>
        <v>65.117000000000004</v>
      </c>
      <c r="BL62" s="1302">
        <f>IF(BL8="-","-",SUM(BL8)-SUM(BK8))</f>
        <v>76.546000000000006</v>
      </c>
      <c r="BM62" s="1371">
        <f>IF(BM8="-","-",SUM(BM8)-SUM(BL8))</f>
        <v>83.001999999999981</v>
      </c>
      <c r="BN62" s="725">
        <f>IF(BN8="-","-",SUM(BN8)-SUM(BM8))</f>
        <v>65.320000000000022</v>
      </c>
      <c r="BO62" s="764">
        <f>SUM(BK62:BN62)</f>
        <v>289.98500000000001</v>
      </c>
      <c r="BP62" s="725">
        <f>BP8</f>
        <v>47.045999999999999</v>
      </c>
      <c r="BQ62" s="1302">
        <f>IF(BQ8="-","-",SUM(BQ8)-SUM(BP8))</f>
        <v>88.527000000000015</v>
      </c>
      <c r="BR62" s="1371">
        <f>IF(BR8="-","-",SUM(BR8)-SUM(BQ8))</f>
        <v>44.685999999999979</v>
      </c>
      <c r="BS62" s="1371">
        <f>IF(BS8="-","-",SUM(BS8)-SUM(BR8))</f>
        <v>88.135999999999996</v>
      </c>
      <c r="BT62" s="764">
        <f>SUM(BP62:BS62)</f>
        <v>268.39499999999998</v>
      </c>
      <c r="BU62" s="725">
        <f>BU8</f>
        <v>84.888000000000048</v>
      </c>
      <c r="BV62" s="1302">
        <f>IF(BV8="-","-",SUM(BV8)-SUM(BU8))</f>
        <v>147.49299999999994</v>
      </c>
      <c r="BW62" s="1371">
        <f>IF(BW8="-","-",SUM(BW8)-SUM(BV8))</f>
        <v>174.465</v>
      </c>
      <c r="BX62" s="1371">
        <f>IF(BX8="-","-",SUM(BX8)-SUM(BW8))</f>
        <v>222.70500000000004</v>
      </c>
      <c r="BY62" s="764">
        <f>SUM(BU62:BX62)</f>
        <v>629.55100000000004</v>
      </c>
      <c r="BZ62" s="1371">
        <f>BZ8</f>
        <v>254.30699999999999</v>
      </c>
      <c r="CA62" s="1302">
        <f>IF(CA8="-","-",SUM(CA8)-SUM(BZ8))</f>
        <v>244.07399999999998</v>
      </c>
      <c r="CB62" s="725">
        <f>IF(CB8="-","-",SUM(CB8)-SUM(CA8))</f>
        <v>270.78800000000001</v>
      </c>
      <c r="CC62" s="725">
        <f>IF(CC8="-","-",SUM(CC8)-SUM(CB8))</f>
        <v>399.61299999999994</v>
      </c>
      <c r="CD62" s="1680">
        <f>SUM(BZ62:CC62)</f>
        <v>1168.7819999999999</v>
      </c>
      <c r="CE62" s="1371">
        <f>CE8</f>
        <v>398.44600000000003</v>
      </c>
      <c r="CF62" s="1302">
        <f>IF(CF8="-","-",SUM(CF8)-SUM(CE8))</f>
        <v>374.39</v>
      </c>
      <c r="CG62" s="725">
        <f>IF(CG8="-","-",SUM(CG8)-SUM(CF8))</f>
        <v>419.56899999999996</v>
      </c>
      <c r="CH62" s="725">
        <f>IF(CH8="-","-",SUM(CH8)-SUM(CG8))</f>
        <v>501.54899999999998</v>
      </c>
      <c r="CI62" s="1680">
        <f>SUM(CE62:CH62)</f>
        <v>1693.954</v>
      </c>
      <c r="CJ62" s="1254">
        <f>CJ8</f>
        <v>583.07600000000002</v>
      </c>
      <c r="CK62" s="759">
        <f>IF(CK8="-","-",SUM(CK8)-SUM(CJ8))</f>
        <v>609.66153594291472</v>
      </c>
      <c r="CL62" s="759">
        <f>IF(CL8="-","-",SUM(CL8)-SUM(CK8))</f>
        <v>646.63876081613944</v>
      </c>
      <c r="CM62" s="759">
        <f>IF(CM8="-","-",SUM(CM8)-SUM(CL8))</f>
        <v>688.43998424642496</v>
      </c>
      <c r="CN62" s="975">
        <f>SUM(CJ62:CM62)</f>
        <v>2527.8162810054791</v>
      </c>
      <c r="CO62" s="1254">
        <f>CO8</f>
        <v>701.24395298212164</v>
      </c>
      <c r="CP62" s="759">
        <f>IF(CP8="-","-",SUM(CP8)-SUM(CO8))</f>
        <v>707.49633437897967</v>
      </c>
      <c r="CQ62" s="759">
        <f>IF(CQ8="-","-",SUM(CQ8)-SUM(CP8))</f>
        <v>740.31920276183746</v>
      </c>
      <c r="CR62" s="759">
        <f>IF(CR8="-","-",SUM(CR8)-SUM(CQ8))</f>
        <v>787.7217508462727</v>
      </c>
      <c r="CS62" s="975">
        <f>SUM(CO62:CR62)</f>
        <v>2936.7812409692115</v>
      </c>
      <c r="CT62" s="1254">
        <f>CT8</f>
        <v>848.75901943722727</v>
      </c>
      <c r="CU62" s="759">
        <f>IF(CU8="-","-",SUM(CU8)-SUM(CT8))</f>
        <v>860.92698173574001</v>
      </c>
      <c r="CV62" s="759">
        <f>IF(CV8="-","-",SUM(CV8)-SUM(CU8))</f>
        <v>892.48009306175709</v>
      </c>
      <c r="CW62" s="759">
        <f>IF(CW8="-","-",SUM(CW8)-SUM(CV8))</f>
        <v>940.22762505391893</v>
      </c>
      <c r="CX62" s="975">
        <f>SUM(CT62:CW62)</f>
        <v>3542.3937192886433</v>
      </c>
      <c r="CZ62" s="686"/>
      <c r="DA62" s="767"/>
      <c r="DB62" s="686"/>
      <c r="DC62" s="686"/>
    </row>
    <row r="63" spans="1:113" ht="10.5" customHeight="1">
      <c r="A63" s="743" t="s">
        <v>458</v>
      </c>
      <c r="B63" s="743"/>
      <c r="C63" s="687"/>
      <c r="D63" s="687"/>
      <c r="E63" s="687"/>
      <c r="F63" s="687"/>
      <c r="G63" s="764"/>
      <c r="H63" s="687"/>
      <c r="I63" s="687"/>
      <c r="J63" s="687"/>
      <c r="K63" s="687"/>
      <c r="L63" s="764"/>
      <c r="M63" s="687"/>
      <c r="N63" s="687"/>
      <c r="O63" s="687"/>
      <c r="P63" s="687"/>
      <c r="Q63" s="764"/>
      <c r="R63" s="687"/>
      <c r="S63" s="687"/>
      <c r="T63" s="687"/>
      <c r="U63" s="687"/>
      <c r="V63" s="764"/>
      <c r="W63" s="687"/>
      <c r="X63" s="687"/>
      <c r="Y63" s="687"/>
      <c r="Z63" s="687"/>
      <c r="AA63" s="764"/>
      <c r="AB63" s="687"/>
      <c r="AC63" s="687"/>
      <c r="AD63" s="687"/>
      <c r="AE63" s="687"/>
      <c r="AF63" s="764"/>
      <c r="AG63" s="687"/>
      <c r="AH63" s="687"/>
      <c r="AI63" s="687"/>
      <c r="AJ63" s="687"/>
      <c r="AK63" s="764"/>
      <c r="AL63" s="687"/>
      <c r="AM63" s="687"/>
      <c r="AN63" s="687"/>
      <c r="AO63" s="687"/>
      <c r="AP63" s="764"/>
      <c r="AQ63" s="687"/>
      <c r="AR63" s="687"/>
      <c r="AS63" s="687"/>
      <c r="AT63" s="687"/>
      <c r="AU63" s="764"/>
      <c r="AV63" s="687"/>
      <c r="AW63" s="687"/>
      <c r="AX63" s="687"/>
      <c r="AY63" s="687"/>
      <c r="AZ63" s="764"/>
      <c r="BA63" s="687"/>
      <c r="BB63" s="1303"/>
      <c r="BC63" s="687"/>
      <c r="BD63" s="687"/>
      <c r="BE63" s="764"/>
      <c r="BF63" s="687"/>
      <c r="BG63" s="1303"/>
      <c r="BH63" s="1106"/>
      <c r="BI63" s="687"/>
      <c r="BJ63" s="764"/>
      <c r="BK63" s="687"/>
      <c r="BL63" s="1303"/>
      <c r="BM63" s="1106"/>
      <c r="BN63" s="687"/>
      <c r="BO63" s="764"/>
      <c r="BP63" s="687"/>
      <c r="BQ63" s="1303"/>
      <c r="BR63" s="1106"/>
      <c r="BS63" s="1106"/>
      <c r="BT63" s="764"/>
      <c r="BU63" s="687"/>
      <c r="BV63" s="1303"/>
      <c r="BW63" s="1106"/>
      <c r="BX63" s="1106"/>
      <c r="BY63" s="764"/>
      <c r="BZ63" s="1106"/>
      <c r="CA63" s="1303"/>
      <c r="CB63" s="687"/>
      <c r="CC63" s="687"/>
      <c r="CD63" s="1680"/>
      <c r="CE63" s="1106"/>
      <c r="CF63" s="1303"/>
      <c r="CG63" s="687"/>
      <c r="CH63" s="687"/>
      <c r="CI63" s="1680"/>
      <c r="CJ63" s="1258"/>
      <c r="CK63" s="745"/>
      <c r="CL63" s="745"/>
      <c r="CM63" s="745"/>
      <c r="CN63" s="975"/>
      <c r="CO63" s="1258"/>
      <c r="CP63" s="745"/>
      <c r="CQ63" s="745"/>
      <c r="CR63" s="745"/>
      <c r="CS63" s="975"/>
      <c r="CT63" s="1258"/>
      <c r="CU63" s="745"/>
      <c r="CV63" s="745"/>
      <c r="CW63" s="745"/>
      <c r="CX63" s="975"/>
      <c r="CZ63" s="697"/>
      <c r="DA63" s="769"/>
      <c r="DB63" s="697"/>
      <c r="DC63" s="697"/>
    </row>
    <row r="64" spans="1:113" ht="10.5" customHeight="1">
      <c r="A64" s="706" t="s">
        <v>404</v>
      </c>
      <c r="B64" s="706"/>
      <c r="C64" s="725">
        <f t="shared" ref="C64:C74" si="136">C10</f>
        <v>0</v>
      </c>
      <c r="D64" s="725">
        <f t="shared" ref="D64:F74" si="137">IF(D10="-","-",SUM(D10)-SUM(C10))</f>
        <v>0</v>
      </c>
      <c r="E64" s="725">
        <f t="shared" si="137"/>
        <v>0</v>
      </c>
      <c r="F64" s="725">
        <f t="shared" si="137"/>
        <v>56.645000000000003</v>
      </c>
      <c r="G64" s="764">
        <f t="shared" ref="G64:G69" si="138">SUM(C64:F64)</f>
        <v>56.645000000000003</v>
      </c>
      <c r="H64" s="725">
        <f t="shared" ref="H64:H74" si="139">H10</f>
        <v>13.803000000000001</v>
      </c>
      <c r="I64" s="725">
        <f t="shared" ref="I64:K74" si="140">IF(I10="-","-",SUM(I10)-SUM(H10))</f>
        <v>15.721999999999998</v>
      </c>
      <c r="J64" s="725">
        <f t="shared" si="140"/>
        <v>16.841000000000001</v>
      </c>
      <c r="K64" s="725">
        <f t="shared" si="140"/>
        <v>17.116</v>
      </c>
      <c r="L64" s="764">
        <f>SUM(H64:K64)</f>
        <v>63.481999999999999</v>
      </c>
      <c r="M64" s="725">
        <f t="shared" ref="M64:M74" si="141">M10</f>
        <v>11.992000000000001</v>
      </c>
      <c r="N64" s="725">
        <f t="shared" ref="N64:P74" si="142">IF(N10="-","-",SUM(N10)-SUM(M10))</f>
        <v>12.064999999999998</v>
      </c>
      <c r="O64" s="725">
        <f t="shared" si="142"/>
        <v>12.181999999999999</v>
      </c>
      <c r="P64" s="725">
        <f t="shared" si="142"/>
        <v>12.775000000000006</v>
      </c>
      <c r="Q64" s="764">
        <f>SUM(M64:P64)</f>
        <v>49.014000000000003</v>
      </c>
      <c r="R64" s="725">
        <f t="shared" ref="R64:R74" si="143">R10</f>
        <v>13.438000000000001</v>
      </c>
      <c r="S64" s="725">
        <f t="shared" ref="S64:U74" si="144">IF(S10="-","-",SUM(S10)-SUM(R10))</f>
        <v>14.740999999999998</v>
      </c>
      <c r="T64" s="725">
        <f t="shared" si="144"/>
        <v>14.827999999999999</v>
      </c>
      <c r="U64" s="725">
        <f t="shared" si="144"/>
        <v>17.801000000000002</v>
      </c>
      <c r="V64" s="764">
        <f>SUM(R64:U64)</f>
        <v>60.808</v>
      </c>
      <c r="W64" s="725">
        <f t="shared" ref="W64:W74" si="145">W10</f>
        <v>14.954000000000001</v>
      </c>
      <c r="X64" s="725">
        <f t="shared" ref="X64:Z74" si="146">IF(X10="-","-",SUM(X10)-SUM(W10))</f>
        <v>15.128</v>
      </c>
      <c r="Y64" s="725">
        <f t="shared" si="146"/>
        <v>17.798000000000002</v>
      </c>
      <c r="Z64" s="725">
        <f t="shared" si="146"/>
        <v>16.454999999999991</v>
      </c>
      <c r="AA64" s="764">
        <f>SUM(W64:Z64)</f>
        <v>64.334999999999994</v>
      </c>
      <c r="AB64" s="725">
        <f t="shared" ref="AB64:AB74" si="147">AB10</f>
        <v>16.828000000000003</v>
      </c>
      <c r="AC64" s="725">
        <f t="shared" ref="AC64:AE74" si="148">IF(AC10="-","-",SUM(AC10)-SUM(AB10))</f>
        <v>21.036999999999992</v>
      </c>
      <c r="AD64" s="725">
        <f t="shared" si="148"/>
        <v>18.220999999999989</v>
      </c>
      <c r="AE64" s="725">
        <f t="shared" si="148"/>
        <v>72.543000000000006</v>
      </c>
      <c r="AF64" s="764">
        <f>SUM(AB64:AE64)</f>
        <v>128.62899999999999</v>
      </c>
      <c r="AG64" s="725">
        <f t="shared" ref="AG64:AG74" si="149">AG10</f>
        <v>15.927000000000007</v>
      </c>
      <c r="AH64" s="725">
        <f t="shared" ref="AH64:AJ74" si="150">IF(AH10="-","-",SUM(AH10)-SUM(AG10))</f>
        <v>24.995999999999995</v>
      </c>
      <c r="AI64" s="725">
        <f t="shared" si="150"/>
        <v>35.194000000000017</v>
      </c>
      <c r="AJ64" s="725">
        <f t="shared" si="150"/>
        <v>31.620000000000005</v>
      </c>
      <c r="AK64" s="764">
        <f>SUM(AG64:AJ64)</f>
        <v>107.73700000000002</v>
      </c>
      <c r="AL64" s="725">
        <f t="shared" ref="AL64:AL74" si="151">AL10</f>
        <v>30.131</v>
      </c>
      <c r="AM64" s="725">
        <f t="shared" ref="AM64:AO74" si="152">IF(AM10="-","-",SUM(AM10)-SUM(AL10))</f>
        <v>27.486000000000018</v>
      </c>
      <c r="AN64" s="725">
        <f t="shared" si="152"/>
        <v>45.655000000000001</v>
      </c>
      <c r="AO64" s="725">
        <f t="shared" si="152"/>
        <v>52.707999999999998</v>
      </c>
      <c r="AP64" s="764">
        <f t="shared" ref="AP64:AP73" si="153">SUM(AL64:AO64)</f>
        <v>155.98000000000002</v>
      </c>
      <c r="AQ64" s="725">
        <f t="shared" ref="AQ64:AQ74" si="154">AQ10</f>
        <v>51.715999999999994</v>
      </c>
      <c r="AR64" s="725">
        <f t="shared" ref="AR64:AS74" si="155">IF(AR10="-","-",SUM(AR10)-SUM(AQ10))</f>
        <v>64.724999999999994</v>
      </c>
      <c r="AS64" s="725">
        <f t="shared" si="155"/>
        <v>60.49499999999999</v>
      </c>
      <c r="AT64" s="725">
        <v>85.037000000000006</v>
      </c>
      <c r="AU64" s="764">
        <f t="shared" ref="AU64:AU73" si="156">SUM(AQ64:AT64)</f>
        <v>261.97299999999996</v>
      </c>
      <c r="AV64" s="725">
        <f t="shared" ref="AV64:AV74" si="157">AV10</f>
        <v>68.581000000000003</v>
      </c>
      <c r="AW64" s="725">
        <f t="shared" ref="AW64:AY74" si="158">IF(AW10="-","-",SUM(AW10)-SUM(AV10))</f>
        <v>74.90600000000002</v>
      </c>
      <c r="AX64" s="725">
        <f t="shared" si="158"/>
        <v>73.153999999999996</v>
      </c>
      <c r="AY64" s="725">
        <f t="shared" si="158"/>
        <v>76.09699999999998</v>
      </c>
      <c r="AZ64" s="764">
        <f t="shared" ref="AZ64:AZ73" si="159">SUM(AV64:AY64)</f>
        <v>292.738</v>
      </c>
      <c r="BA64" s="725">
        <f t="shared" ref="BA64:BA74" si="160">BA10</f>
        <v>66.286000000000001</v>
      </c>
      <c r="BB64" s="1302">
        <f t="shared" ref="BB64:BD74" si="161">IF(BB10="-","-",SUM(BB10)-SUM(BA10))</f>
        <v>66.62</v>
      </c>
      <c r="BC64" s="725">
        <f t="shared" si="161"/>
        <v>64.008999999999986</v>
      </c>
      <c r="BD64" s="725">
        <f t="shared" si="161"/>
        <v>73.289999999999992</v>
      </c>
      <c r="BE64" s="764">
        <f t="shared" ref="BE64:BE73" si="162">SUM(BA64:BD64)</f>
        <v>270.20499999999998</v>
      </c>
      <c r="BF64" s="725">
        <f t="shared" ref="BF64:BF74" si="163">BF10</f>
        <v>69.861000000000004</v>
      </c>
      <c r="BG64" s="1302">
        <f t="shared" ref="BG64:BI74" si="164">IF(BG10="-","-",SUM(BG10)-SUM(BF10))</f>
        <v>77.173999999999992</v>
      </c>
      <c r="BH64" s="1371">
        <f t="shared" si="164"/>
        <v>74.110000000000014</v>
      </c>
      <c r="BI64" s="725">
        <f t="shared" si="164"/>
        <v>78.621000000000009</v>
      </c>
      <c r="BJ64" s="764">
        <f t="shared" ref="BJ64:BJ70" si="165">SUM(BF64:BI64)</f>
        <v>299.76600000000002</v>
      </c>
      <c r="BK64" s="725">
        <f t="shared" ref="BK64:BK74" si="166">BK10</f>
        <v>76.751999999999995</v>
      </c>
      <c r="BL64" s="1302">
        <f t="shared" ref="BL64:BN74" si="167">IF(BL10="-","-",SUM(BL10)-SUM(BK10))</f>
        <v>80.95</v>
      </c>
      <c r="BM64" s="1371">
        <f t="shared" si="167"/>
        <v>82.175000000000011</v>
      </c>
      <c r="BN64" s="770">
        <f t="shared" si="167"/>
        <v>81.349999999999966</v>
      </c>
      <c r="BO64" s="764">
        <f t="shared" ref="BO64:BO70" si="168">SUM(BK64:BN64)</f>
        <v>321.22699999999998</v>
      </c>
      <c r="BP64" s="725">
        <f t="shared" ref="BP64:BP74" si="169">BP10</f>
        <v>77.635999999999996</v>
      </c>
      <c r="BQ64" s="1302">
        <f t="shared" ref="BQ64:BS74" si="170">IF(BQ10="-","-",SUM(BQ10)-SUM(BP10))</f>
        <v>77.652999999999992</v>
      </c>
      <c r="BR64" s="1371">
        <f t="shared" si="170"/>
        <v>80.154000000000025</v>
      </c>
      <c r="BS64" s="1371">
        <f t="shared" si="170"/>
        <v>78.146999999999963</v>
      </c>
      <c r="BT64" s="764">
        <f t="shared" ref="BT64:BT70" si="171">SUM(BP64:BS64)</f>
        <v>313.58999999999997</v>
      </c>
      <c r="BU64" s="725">
        <f t="shared" ref="BU64:BU74" si="172">BU10</f>
        <v>79.635000000000005</v>
      </c>
      <c r="BV64" s="1302">
        <f t="shared" ref="BV64:BV74" si="173">IF(BV10="-","-",SUM(BV10)-SUM(BU10))</f>
        <v>85.929000000000016</v>
      </c>
      <c r="BW64" s="1371">
        <f t="shared" ref="BW64:BW74" si="174">IF(BW10="-","-",SUM(BW10)-SUM(BV10))</f>
        <v>87.549999999999983</v>
      </c>
      <c r="BX64" s="1371">
        <f t="shared" ref="BX64:BX74" si="175">IF(BX10="-","-",SUM(BX10)-SUM(BW10))</f>
        <v>86.359000000000009</v>
      </c>
      <c r="BY64" s="764">
        <f t="shared" ref="BY64:BY84" si="176">SUM(BU64:BX64)</f>
        <v>339.47300000000001</v>
      </c>
      <c r="BZ64" s="1371">
        <f t="shared" ref="BZ64:BZ74" si="177">BZ10</f>
        <v>81.2</v>
      </c>
      <c r="CA64" s="1302">
        <f t="shared" ref="CA64:CA74" si="178">IF(CA10="-","-",SUM(CA10)-SUM(BZ10))</f>
        <v>84.460999999999999</v>
      </c>
      <c r="CB64" s="725">
        <f t="shared" ref="CB64:CC74" si="179">IF(CB10="-","-",SUM(CB10)-SUM(CA10))</f>
        <v>84.01400000000001</v>
      </c>
      <c r="CC64" s="725">
        <f t="shared" si="179"/>
        <v>81.860000000000014</v>
      </c>
      <c r="CD64" s="1680">
        <f t="shared" ref="CD64:CD70" si="180">SUM(BZ64:CC64)</f>
        <v>331.53500000000003</v>
      </c>
      <c r="CE64" s="1371">
        <f t="shared" ref="CE64:CE74" si="181">CE10</f>
        <v>80.808999999999997</v>
      </c>
      <c r="CF64" s="1302">
        <f t="shared" ref="CF64:CF74" si="182">IF(CF10="-","-",SUM(CF10)-SUM(CE10))</f>
        <v>81.634999999999991</v>
      </c>
      <c r="CG64" s="725">
        <f t="shared" ref="CG64:CH74" si="183">IF(CG10="-","-",SUM(CG10)-SUM(CF10))</f>
        <v>82.319000000000017</v>
      </c>
      <c r="CH64" s="725">
        <f t="shared" si="183"/>
        <v>81.234000000000009</v>
      </c>
      <c r="CI64" s="1680">
        <f t="shared" ref="CI64:CI70" si="184">SUM(CE64:CH64)</f>
        <v>325.99700000000001</v>
      </c>
      <c r="CJ64" s="1254">
        <f t="shared" ref="CJ64:CJ74" si="185">CJ10</f>
        <v>76.522000000000006</v>
      </c>
      <c r="CK64" s="759">
        <f t="shared" ref="CK64:CM74" si="186">IF(CK10="-","-",SUM(CK10)-SUM(CJ10))</f>
        <v>76.90000000000002</v>
      </c>
      <c r="CL64" s="759">
        <f t="shared" si="186"/>
        <v>77.900000000000006</v>
      </c>
      <c r="CM64" s="759">
        <f t="shared" si="186"/>
        <v>78.900000000000006</v>
      </c>
      <c r="CN64" s="975">
        <f t="shared" ref="CN64:CN70" si="187">SUM(CJ64:CM64)</f>
        <v>310.22200000000004</v>
      </c>
      <c r="CO64" s="1254">
        <f t="shared" ref="CO64:CO74" si="188">CO10</f>
        <v>79.900000000000006</v>
      </c>
      <c r="CP64" s="759">
        <f t="shared" ref="CP64:CP74" si="189">IF(CP10="-","-",SUM(CP10)-SUM(CO10))</f>
        <v>80.900000000000006</v>
      </c>
      <c r="CQ64" s="759">
        <f t="shared" ref="CQ64:CQ74" si="190">IF(CQ10="-","-",SUM(CQ10)-SUM(CP10))</f>
        <v>81.900000000000006</v>
      </c>
      <c r="CR64" s="759">
        <f t="shared" ref="CR64:CR74" si="191">IF(CR10="-","-",SUM(CR10)-SUM(CQ10))</f>
        <v>82.9</v>
      </c>
      <c r="CS64" s="975">
        <f t="shared" ref="CS64:CS70" si="192">SUM(CO64:CR64)</f>
        <v>325.60000000000002</v>
      </c>
      <c r="CT64" s="1254">
        <f t="shared" ref="CT64:CT74" si="193">CT10</f>
        <v>83.9</v>
      </c>
      <c r="CU64" s="759">
        <f t="shared" ref="CU64:CU74" si="194">IF(CU10="-","-",SUM(CU10)-SUM(CT10))</f>
        <v>84.9</v>
      </c>
      <c r="CV64" s="759">
        <f t="shared" ref="CV64:CV74" si="195">IF(CV10="-","-",SUM(CV10)-SUM(CU10))</f>
        <v>85.9</v>
      </c>
      <c r="CW64" s="759">
        <f t="shared" ref="CW64:CW74" si="196">IF(CW10="-","-",SUM(CW10)-SUM(CV10))</f>
        <v>86.9</v>
      </c>
      <c r="CX64" s="975">
        <f t="shared" ref="CX64:CX70" si="197">SUM(CT64:CW64)</f>
        <v>341.6</v>
      </c>
      <c r="CZ64" s="686"/>
      <c r="DA64" s="767"/>
      <c r="DB64" s="686"/>
      <c r="DC64" s="686"/>
    </row>
    <row r="65" spans="1:107" ht="10.5" customHeight="1">
      <c r="A65" s="699" t="s">
        <v>502</v>
      </c>
      <c r="B65" s="699"/>
      <c r="C65" s="715">
        <f t="shared" si="136"/>
        <v>0</v>
      </c>
      <c r="D65" s="715">
        <f t="shared" si="137"/>
        <v>0</v>
      </c>
      <c r="E65" s="715">
        <f t="shared" si="137"/>
        <v>0</v>
      </c>
      <c r="F65" s="715">
        <f t="shared" si="137"/>
        <v>0</v>
      </c>
      <c r="G65" s="705">
        <f t="shared" si="138"/>
        <v>0</v>
      </c>
      <c r="H65" s="715">
        <f t="shared" si="139"/>
        <v>0</v>
      </c>
      <c r="I65" s="715">
        <f t="shared" si="140"/>
        <v>0</v>
      </c>
      <c r="J65" s="715">
        <f t="shared" si="140"/>
        <v>5.5449999999999999</v>
      </c>
      <c r="K65" s="715">
        <f t="shared" si="140"/>
        <v>7.6300000000000008</v>
      </c>
      <c r="L65" s="768">
        <f t="shared" ref="L65:L73" si="198">SUM(H65:K65)</f>
        <v>13.175000000000001</v>
      </c>
      <c r="M65" s="715">
        <f t="shared" si="141"/>
        <v>0</v>
      </c>
      <c r="N65" s="715">
        <f t="shared" si="142"/>
        <v>0</v>
      </c>
      <c r="O65" s="715">
        <f t="shared" si="142"/>
        <v>0</v>
      </c>
      <c r="P65" s="715">
        <f t="shared" si="142"/>
        <v>0</v>
      </c>
      <c r="Q65" s="705">
        <f t="shared" ref="Q65:Q73" si="199">SUM(M65:P65)</f>
        <v>0</v>
      </c>
      <c r="R65" s="715">
        <f t="shared" si="143"/>
        <v>0</v>
      </c>
      <c r="S65" s="715">
        <f t="shared" si="144"/>
        <v>0</v>
      </c>
      <c r="T65" s="715">
        <f t="shared" si="144"/>
        <v>0</v>
      </c>
      <c r="U65" s="715">
        <f t="shared" si="144"/>
        <v>0</v>
      </c>
      <c r="V65" s="705">
        <f t="shared" ref="V65:V73" si="200">SUM(R65:U65)</f>
        <v>0</v>
      </c>
      <c r="W65" s="715">
        <f t="shared" si="145"/>
        <v>0</v>
      </c>
      <c r="X65" s="715">
        <f t="shared" si="146"/>
        <v>0</v>
      </c>
      <c r="Y65" s="715">
        <f t="shared" si="146"/>
        <v>1.115</v>
      </c>
      <c r="Z65" s="715">
        <f t="shared" si="146"/>
        <v>-1.115</v>
      </c>
      <c r="AA65" s="705">
        <f t="shared" ref="AA65:AA73" si="201">SUM(W65:Z65)</f>
        <v>0</v>
      </c>
      <c r="AB65" s="715">
        <f t="shared" si="147"/>
        <v>56.954999999999998</v>
      </c>
      <c r="AC65" s="715">
        <f t="shared" si="148"/>
        <v>51.540999999999997</v>
      </c>
      <c r="AD65" s="715">
        <f t="shared" si="148"/>
        <v>52.227000000000018</v>
      </c>
      <c r="AE65" s="715">
        <f t="shared" si="148"/>
        <v>0</v>
      </c>
      <c r="AF65" s="705">
        <f t="shared" ref="AF65:AF73" si="202">SUM(AB65:AE65)</f>
        <v>160.72300000000001</v>
      </c>
      <c r="AG65" s="715">
        <f t="shared" si="149"/>
        <v>52.560999999999993</v>
      </c>
      <c r="AH65" s="715">
        <f t="shared" si="150"/>
        <v>62.025999999999996</v>
      </c>
      <c r="AI65" s="715">
        <f t="shared" si="150"/>
        <v>46.569999999999993</v>
      </c>
      <c r="AJ65" s="715">
        <f t="shared" si="150"/>
        <v>46.569999999999993</v>
      </c>
      <c r="AK65" s="705">
        <f t="shared" ref="AK65:AK73" si="203">SUM(AG65:AJ65)</f>
        <v>207.72699999999998</v>
      </c>
      <c r="AL65" s="715">
        <f t="shared" si="151"/>
        <v>39.169999999999995</v>
      </c>
      <c r="AM65" s="715">
        <f t="shared" si="152"/>
        <v>41.070999999999991</v>
      </c>
      <c r="AN65" s="715">
        <f t="shared" si="152"/>
        <v>17.024000000000001</v>
      </c>
      <c r="AO65" s="715">
        <f t="shared" si="152"/>
        <v>17.024000000000001</v>
      </c>
      <c r="AP65" s="705">
        <f t="shared" si="153"/>
        <v>114.28899999999999</v>
      </c>
      <c r="AQ65" s="715">
        <f t="shared" si="154"/>
        <v>17.024000000000001</v>
      </c>
      <c r="AR65" s="715">
        <f t="shared" si="155"/>
        <v>3.4260000000000019</v>
      </c>
      <c r="AS65" s="715">
        <f t="shared" si="155"/>
        <v>0</v>
      </c>
      <c r="AT65" s="715">
        <v>0</v>
      </c>
      <c r="AU65" s="705">
        <f t="shared" si="156"/>
        <v>20.450000000000003</v>
      </c>
      <c r="AV65" s="715">
        <f t="shared" si="157"/>
        <v>0</v>
      </c>
      <c r="AW65" s="715">
        <f t="shared" si="158"/>
        <v>0</v>
      </c>
      <c r="AX65" s="715">
        <f t="shared" si="158"/>
        <v>0</v>
      </c>
      <c r="AY65" s="715">
        <f t="shared" si="158"/>
        <v>0</v>
      </c>
      <c r="AZ65" s="705">
        <f t="shared" si="159"/>
        <v>0</v>
      </c>
      <c r="BA65" s="715">
        <f t="shared" si="160"/>
        <v>0</v>
      </c>
      <c r="BB65" s="1304">
        <f t="shared" si="161"/>
        <v>0</v>
      </c>
      <c r="BC65" s="715">
        <f t="shared" si="161"/>
        <v>0</v>
      </c>
      <c r="BD65" s="715">
        <f t="shared" si="161"/>
        <v>0</v>
      </c>
      <c r="BE65" s="705">
        <f t="shared" si="162"/>
        <v>0</v>
      </c>
      <c r="BF65" s="715">
        <f t="shared" si="163"/>
        <v>0</v>
      </c>
      <c r="BG65" s="1304">
        <f t="shared" si="164"/>
        <v>0</v>
      </c>
      <c r="BH65" s="1372">
        <f t="shared" si="164"/>
        <v>0</v>
      </c>
      <c r="BI65" s="715">
        <f t="shared" si="164"/>
        <v>0</v>
      </c>
      <c r="BJ65" s="705">
        <f t="shared" si="165"/>
        <v>0</v>
      </c>
      <c r="BK65" s="715">
        <f t="shared" si="166"/>
        <v>0</v>
      </c>
      <c r="BL65" s="1304">
        <f t="shared" si="167"/>
        <v>0</v>
      </c>
      <c r="BM65" s="1372">
        <f t="shared" si="167"/>
        <v>0</v>
      </c>
      <c r="BN65" s="753">
        <f t="shared" si="167"/>
        <v>0</v>
      </c>
      <c r="BO65" s="705">
        <f t="shared" si="168"/>
        <v>0</v>
      </c>
      <c r="BP65" s="715">
        <f t="shared" si="169"/>
        <v>0</v>
      </c>
      <c r="BQ65" s="1304">
        <f t="shared" si="170"/>
        <v>0</v>
      </c>
      <c r="BR65" s="1372">
        <f t="shared" si="170"/>
        <v>0</v>
      </c>
      <c r="BS65" s="1372">
        <f t="shared" si="170"/>
        <v>0</v>
      </c>
      <c r="BT65" s="705">
        <f t="shared" si="171"/>
        <v>0</v>
      </c>
      <c r="BU65" s="715">
        <f t="shared" si="172"/>
        <v>0</v>
      </c>
      <c r="BV65" s="1304">
        <f t="shared" si="173"/>
        <v>0</v>
      </c>
      <c r="BW65" s="1372">
        <f t="shared" si="174"/>
        <v>0</v>
      </c>
      <c r="BX65" s="1372">
        <f t="shared" si="175"/>
        <v>0</v>
      </c>
      <c r="BY65" s="705">
        <f t="shared" si="176"/>
        <v>0</v>
      </c>
      <c r="BZ65" s="1372">
        <f t="shared" si="177"/>
        <v>0</v>
      </c>
      <c r="CA65" s="1304">
        <f t="shared" si="178"/>
        <v>0</v>
      </c>
      <c r="CB65" s="715">
        <f t="shared" si="179"/>
        <v>0</v>
      </c>
      <c r="CC65" s="715">
        <f t="shared" si="179"/>
        <v>0</v>
      </c>
      <c r="CD65" s="1380">
        <f t="shared" si="180"/>
        <v>0</v>
      </c>
      <c r="CE65" s="1372">
        <f t="shared" si="181"/>
        <v>0</v>
      </c>
      <c r="CF65" s="1304">
        <f t="shared" si="182"/>
        <v>0</v>
      </c>
      <c r="CG65" s="715">
        <f t="shared" si="183"/>
        <v>0</v>
      </c>
      <c r="CH65" s="715">
        <f t="shared" si="183"/>
        <v>0</v>
      </c>
      <c r="CI65" s="1380">
        <f t="shared" si="184"/>
        <v>0</v>
      </c>
      <c r="CJ65" s="1255">
        <f t="shared" si="185"/>
        <v>0</v>
      </c>
      <c r="CK65" s="721">
        <f t="shared" si="186"/>
        <v>0</v>
      </c>
      <c r="CL65" s="721">
        <f t="shared" si="186"/>
        <v>0</v>
      </c>
      <c r="CM65" s="721">
        <f t="shared" si="186"/>
        <v>0</v>
      </c>
      <c r="CN65" s="966">
        <f t="shared" si="187"/>
        <v>0</v>
      </c>
      <c r="CO65" s="1255">
        <f t="shared" si="188"/>
        <v>0</v>
      </c>
      <c r="CP65" s="721">
        <f t="shared" si="189"/>
        <v>0</v>
      </c>
      <c r="CQ65" s="721">
        <f t="shared" si="190"/>
        <v>0</v>
      </c>
      <c r="CR65" s="721">
        <f t="shared" si="191"/>
        <v>0</v>
      </c>
      <c r="CS65" s="966">
        <f t="shared" si="192"/>
        <v>0</v>
      </c>
      <c r="CT65" s="1255">
        <f t="shared" si="193"/>
        <v>0</v>
      </c>
      <c r="CU65" s="721">
        <f t="shared" si="194"/>
        <v>0</v>
      </c>
      <c r="CV65" s="721">
        <f t="shared" si="195"/>
        <v>0</v>
      </c>
      <c r="CW65" s="721">
        <f t="shared" si="196"/>
        <v>0</v>
      </c>
      <c r="CX65" s="966">
        <f t="shared" si="197"/>
        <v>0</v>
      </c>
      <c r="CZ65" s="697"/>
      <c r="DA65" s="769"/>
      <c r="DB65" s="697"/>
      <c r="DC65" s="686"/>
    </row>
    <row r="66" spans="1:107" ht="10.5" customHeight="1">
      <c r="A66" s="699" t="s">
        <v>625</v>
      </c>
      <c r="B66" s="699"/>
      <c r="C66" s="715">
        <f t="shared" si="136"/>
        <v>0</v>
      </c>
      <c r="D66" s="715">
        <f t="shared" si="137"/>
        <v>0</v>
      </c>
      <c r="E66" s="715">
        <f t="shared" si="137"/>
        <v>0</v>
      </c>
      <c r="F66" s="715">
        <f t="shared" si="137"/>
        <v>0</v>
      </c>
      <c r="G66" s="705">
        <f t="shared" si="138"/>
        <v>0</v>
      </c>
      <c r="H66" s="715">
        <f t="shared" si="139"/>
        <v>0</v>
      </c>
      <c r="I66" s="715">
        <f t="shared" si="140"/>
        <v>0.41</v>
      </c>
      <c r="J66" s="715">
        <f t="shared" si="140"/>
        <v>0</v>
      </c>
      <c r="K66" s="715">
        <f t="shared" si="140"/>
        <v>0</v>
      </c>
      <c r="L66" s="705">
        <f>SUM(H66:K66)</f>
        <v>0.41</v>
      </c>
      <c r="M66" s="715">
        <f t="shared" si="141"/>
        <v>0</v>
      </c>
      <c r="N66" s="715">
        <f t="shared" si="142"/>
        <v>0</v>
      </c>
      <c r="O66" s="715">
        <f t="shared" si="142"/>
        <v>0</v>
      </c>
      <c r="P66" s="715">
        <f t="shared" si="142"/>
        <v>0</v>
      </c>
      <c r="Q66" s="705">
        <f>SUM(M66:P66)</f>
        <v>0</v>
      </c>
      <c r="R66" s="715">
        <f t="shared" si="143"/>
        <v>0</v>
      </c>
      <c r="S66" s="715">
        <f t="shared" si="144"/>
        <v>0</v>
      </c>
      <c r="T66" s="715">
        <f t="shared" si="144"/>
        <v>0</v>
      </c>
      <c r="U66" s="715">
        <f t="shared" si="144"/>
        <v>0</v>
      </c>
      <c r="V66" s="705">
        <f>SUM(R66:U66)</f>
        <v>0</v>
      </c>
      <c r="W66" s="715">
        <f t="shared" si="145"/>
        <v>0</v>
      </c>
      <c r="X66" s="715">
        <f t="shared" si="146"/>
        <v>0</v>
      </c>
      <c r="Y66" s="715">
        <f t="shared" si="146"/>
        <v>0</v>
      </c>
      <c r="Z66" s="715">
        <f t="shared" si="146"/>
        <v>0</v>
      </c>
      <c r="AA66" s="705">
        <f>SUM(W66:Z66)</f>
        <v>0</v>
      </c>
      <c r="AB66" s="715">
        <f t="shared" si="147"/>
        <v>2.2549999999999999</v>
      </c>
      <c r="AC66" s="715">
        <f t="shared" si="148"/>
        <v>0</v>
      </c>
      <c r="AD66" s="715">
        <f t="shared" si="148"/>
        <v>0</v>
      </c>
      <c r="AE66" s="715">
        <f t="shared" si="148"/>
        <v>0</v>
      </c>
      <c r="AF66" s="705">
        <f>SUM(AB66:AE66)</f>
        <v>2.2549999999999999</v>
      </c>
      <c r="AG66" s="715">
        <f t="shared" si="149"/>
        <v>0</v>
      </c>
      <c r="AH66" s="715">
        <f t="shared" si="150"/>
        <v>0</v>
      </c>
      <c r="AI66" s="715">
        <f t="shared" si="150"/>
        <v>0</v>
      </c>
      <c r="AJ66" s="715">
        <f t="shared" si="150"/>
        <v>0</v>
      </c>
      <c r="AK66" s="705">
        <f>SUM(AG66:AJ66)</f>
        <v>0</v>
      </c>
      <c r="AL66" s="715">
        <f t="shared" si="151"/>
        <v>0</v>
      </c>
      <c r="AM66" s="715">
        <f t="shared" si="152"/>
        <v>0</v>
      </c>
      <c r="AN66" s="715">
        <f t="shared" si="152"/>
        <v>0</v>
      </c>
      <c r="AO66" s="715">
        <f t="shared" si="152"/>
        <v>0</v>
      </c>
      <c r="AP66" s="705">
        <f t="shared" si="153"/>
        <v>0</v>
      </c>
      <c r="AQ66" s="715">
        <f t="shared" si="154"/>
        <v>0</v>
      </c>
      <c r="AR66" s="715">
        <f t="shared" si="155"/>
        <v>0</v>
      </c>
      <c r="AS66" s="715">
        <f t="shared" si="155"/>
        <v>0</v>
      </c>
      <c r="AT66" s="715">
        <v>0</v>
      </c>
      <c r="AU66" s="705">
        <f t="shared" si="156"/>
        <v>0</v>
      </c>
      <c r="AV66" s="715">
        <f t="shared" si="157"/>
        <v>0</v>
      </c>
      <c r="AW66" s="715">
        <f t="shared" si="158"/>
        <v>0</v>
      </c>
      <c r="AX66" s="715">
        <f t="shared" si="158"/>
        <v>0</v>
      </c>
      <c r="AY66" s="715">
        <f t="shared" si="158"/>
        <v>0</v>
      </c>
      <c r="AZ66" s="705">
        <f t="shared" si="159"/>
        <v>0</v>
      </c>
      <c r="BA66" s="715">
        <f t="shared" si="160"/>
        <v>0</v>
      </c>
      <c r="BB66" s="1304">
        <f t="shared" si="161"/>
        <v>0</v>
      </c>
      <c r="BC66" s="715">
        <f t="shared" si="161"/>
        <v>0</v>
      </c>
      <c r="BD66" s="715">
        <f t="shared" si="161"/>
        <v>0</v>
      </c>
      <c r="BE66" s="705">
        <f t="shared" si="162"/>
        <v>0</v>
      </c>
      <c r="BF66" s="715">
        <f t="shared" si="163"/>
        <v>0</v>
      </c>
      <c r="BG66" s="1304">
        <f t="shared" si="164"/>
        <v>0</v>
      </c>
      <c r="BH66" s="1372">
        <f t="shared" si="164"/>
        <v>0</v>
      </c>
      <c r="BI66" s="715">
        <f t="shared" si="164"/>
        <v>0</v>
      </c>
      <c r="BJ66" s="705">
        <f t="shared" si="165"/>
        <v>0</v>
      </c>
      <c r="BK66" s="715">
        <f t="shared" si="166"/>
        <v>0</v>
      </c>
      <c r="BL66" s="1304">
        <f t="shared" si="167"/>
        <v>0</v>
      </c>
      <c r="BM66" s="1372">
        <f t="shared" si="167"/>
        <v>0</v>
      </c>
      <c r="BN66" s="753">
        <f t="shared" si="167"/>
        <v>0</v>
      </c>
      <c r="BO66" s="705">
        <f t="shared" si="168"/>
        <v>0</v>
      </c>
      <c r="BP66" s="715">
        <f t="shared" si="169"/>
        <v>0</v>
      </c>
      <c r="BQ66" s="1304">
        <f t="shared" si="170"/>
        <v>0</v>
      </c>
      <c r="BR66" s="1372">
        <f t="shared" si="170"/>
        <v>0</v>
      </c>
      <c r="BS66" s="1372">
        <f t="shared" si="170"/>
        <v>0</v>
      </c>
      <c r="BT66" s="705">
        <f t="shared" si="171"/>
        <v>0</v>
      </c>
      <c r="BU66" s="715">
        <f t="shared" si="172"/>
        <v>0</v>
      </c>
      <c r="BV66" s="1304">
        <f t="shared" si="173"/>
        <v>0</v>
      </c>
      <c r="BW66" s="1372">
        <f t="shared" si="174"/>
        <v>0</v>
      </c>
      <c r="BX66" s="1372">
        <f t="shared" si="175"/>
        <v>0</v>
      </c>
      <c r="BY66" s="705">
        <f t="shared" si="176"/>
        <v>0</v>
      </c>
      <c r="BZ66" s="1372">
        <f t="shared" si="177"/>
        <v>0</v>
      </c>
      <c r="CA66" s="1304">
        <f t="shared" si="178"/>
        <v>0</v>
      </c>
      <c r="CB66" s="715">
        <f t="shared" si="179"/>
        <v>0</v>
      </c>
      <c r="CC66" s="715">
        <f t="shared" si="179"/>
        <v>0</v>
      </c>
      <c r="CD66" s="1380">
        <f t="shared" si="180"/>
        <v>0</v>
      </c>
      <c r="CE66" s="1372">
        <f t="shared" si="181"/>
        <v>0</v>
      </c>
      <c r="CF66" s="1304">
        <f t="shared" si="182"/>
        <v>0</v>
      </c>
      <c r="CG66" s="715">
        <f t="shared" si="183"/>
        <v>0</v>
      </c>
      <c r="CH66" s="715">
        <f t="shared" si="183"/>
        <v>0</v>
      </c>
      <c r="CI66" s="1380">
        <f t="shared" si="184"/>
        <v>0</v>
      </c>
      <c r="CJ66" s="1255">
        <f t="shared" si="185"/>
        <v>0</v>
      </c>
      <c r="CK66" s="721">
        <f t="shared" si="186"/>
        <v>0</v>
      </c>
      <c r="CL66" s="721">
        <f t="shared" si="186"/>
        <v>0</v>
      </c>
      <c r="CM66" s="721">
        <f t="shared" si="186"/>
        <v>0</v>
      </c>
      <c r="CN66" s="966">
        <f t="shared" si="187"/>
        <v>0</v>
      </c>
      <c r="CO66" s="1255">
        <f t="shared" si="188"/>
        <v>0</v>
      </c>
      <c r="CP66" s="721">
        <f t="shared" si="189"/>
        <v>0</v>
      </c>
      <c r="CQ66" s="721">
        <f t="shared" si="190"/>
        <v>0</v>
      </c>
      <c r="CR66" s="721">
        <f t="shared" si="191"/>
        <v>0</v>
      </c>
      <c r="CS66" s="966">
        <f t="shared" si="192"/>
        <v>0</v>
      </c>
      <c r="CT66" s="1255">
        <f t="shared" si="193"/>
        <v>0</v>
      </c>
      <c r="CU66" s="721">
        <f t="shared" si="194"/>
        <v>0</v>
      </c>
      <c r="CV66" s="721">
        <f t="shared" si="195"/>
        <v>0</v>
      </c>
      <c r="CW66" s="721">
        <f t="shared" si="196"/>
        <v>0</v>
      </c>
      <c r="CX66" s="966">
        <f t="shared" si="197"/>
        <v>0</v>
      </c>
      <c r="CZ66" s="697"/>
      <c r="DA66" s="769"/>
      <c r="DB66" s="697"/>
      <c r="DC66" s="686"/>
    </row>
    <row r="67" spans="1:107" ht="10.5" customHeight="1">
      <c r="A67" s="699" t="s">
        <v>623</v>
      </c>
      <c r="B67" s="699"/>
      <c r="C67" s="715">
        <f t="shared" si="136"/>
        <v>0</v>
      </c>
      <c r="D67" s="715">
        <f t="shared" si="137"/>
        <v>0</v>
      </c>
      <c r="E67" s="715">
        <f t="shared" si="137"/>
        <v>0</v>
      </c>
      <c r="F67" s="715">
        <f t="shared" si="137"/>
        <v>17.997</v>
      </c>
      <c r="G67" s="705">
        <f t="shared" si="138"/>
        <v>17.997</v>
      </c>
      <c r="H67" s="715">
        <f t="shared" si="139"/>
        <v>2.7869999999999999</v>
      </c>
      <c r="I67" s="715">
        <f t="shared" si="140"/>
        <v>1.7869999999999999</v>
      </c>
      <c r="J67" s="715">
        <f t="shared" si="140"/>
        <v>1.2160000000000002</v>
      </c>
      <c r="K67" s="715">
        <f t="shared" si="140"/>
        <v>0.99599999999999955</v>
      </c>
      <c r="L67" s="705">
        <f>SUM(H67:K67)</f>
        <v>6.7859999999999996</v>
      </c>
      <c r="M67" s="715">
        <f t="shared" si="141"/>
        <v>0.95199999999999996</v>
      </c>
      <c r="N67" s="715">
        <f t="shared" si="142"/>
        <v>0.84699999999999998</v>
      </c>
      <c r="O67" s="715">
        <f t="shared" si="142"/>
        <v>0.66000000000000014</v>
      </c>
      <c r="P67" s="715">
        <f t="shared" si="142"/>
        <v>0.36799999999999988</v>
      </c>
      <c r="Q67" s="705">
        <f>SUM(M67:P67)</f>
        <v>2.827</v>
      </c>
      <c r="R67" s="715">
        <f t="shared" si="143"/>
        <v>0.184</v>
      </c>
      <c r="S67" s="715">
        <f t="shared" si="144"/>
        <v>6.3E-2</v>
      </c>
      <c r="T67" s="715">
        <f t="shared" si="144"/>
        <v>4.6999999999999986E-2</v>
      </c>
      <c r="U67" s="715">
        <f t="shared" si="144"/>
        <v>4.6000000000000041E-2</v>
      </c>
      <c r="V67" s="705">
        <f>SUM(R67:U67)</f>
        <v>0.34</v>
      </c>
      <c r="W67" s="715">
        <f t="shared" si="145"/>
        <v>7.5999999999999998E-2</v>
      </c>
      <c r="X67" s="715">
        <f t="shared" si="146"/>
        <v>0.105</v>
      </c>
      <c r="Y67" s="715">
        <f t="shared" si="146"/>
        <v>0.11099999999999999</v>
      </c>
      <c r="Z67" s="715">
        <f t="shared" si="146"/>
        <v>9.9000000000000032E-2</v>
      </c>
      <c r="AA67" s="705">
        <f>SUM(W67:Z67)</f>
        <v>0.39100000000000001</v>
      </c>
      <c r="AB67" s="715">
        <f t="shared" si="147"/>
        <v>46.481999999999999</v>
      </c>
      <c r="AC67" s="715">
        <f t="shared" si="148"/>
        <v>41.88300000000001</v>
      </c>
      <c r="AD67" s="715">
        <f t="shared" si="148"/>
        <v>42.657999999999987</v>
      </c>
      <c r="AE67" s="715">
        <f t="shared" si="148"/>
        <v>39.512</v>
      </c>
      <c r="AF67" s="705">
        <f>SUM(AB67:AE67)</f>
        <v>170.535</v>
      </c>
      <c r="AG67" s="715">
        <f t="shared" si="149"/>
        <v>31.905999999999999</v>
      </c>
      <c r="AH67" s="715">
        <f t="shared" si="150"/>
        <v>39.615000000000002</v>
      </c>
      <c r="AI67" s="715">
        <f t="shared" si="150"/>
        <v>38.569000000000003</v>
      </c>
      <c r="AJ67" s="715">
        <f t="shared" si="150"/>
        <v>78.19</v>
      </c>
      <c r="AK67" s="705">
        <f>SUM(AG67:AJ67)</f>
        <v>188.28</v>
      </c>
      <c r="AL67" s="715">
        <f t="shared" si="151"/>
        <v>43.033999999999999</v>
      </c>
      <c r="AM67" s="715">
        <f t="shared" si="152"/>
        <v>48.387000000000008</v>
      </c>
      <c r="AN67" s="715">
        <f t="shared" si="152"/>
        <v>46.191999999999993</v>
      </c>
      <c r="AO67" s="715">
        <f t="shared" si="152"/>
        <v>34.86099999999999</v>
      </c>
      <c r="AP67" s="705">
        <f t="shared" si="153"/>
        <v>172.47399999999999</v>
      </c>
      <c r="AQ67" s="715">
        <f t="shared" si="154"/>
        <v>45.618000000000002</v>
      </c>
      <c r="AR67" s="715">
        <f t="shared" si="155"/>
        <v>40.958999999999996</v>
      </c>
      <c r="AS67" s="715">
        <f t="shared" si="155"/>
        <v>39.653999999999996</v>
      </c>
      <c r="AT67" s="715">
        <v>71.123999999999995</v>
      </c>
      <c r="AU67" s="705">
        <f t="shared" si="156"/>
        <v>197.35499999999999</v>
      </c>
      <c r="AV67" s="715">
        <f t="shared" si="157"/>
        <v>64.48</v>
      </c>
      <c r="AW67" s="715">
        <f t="shared" si="158"/>
        <v>60.096999999999994</v>
      </c>
      <c r="AX67" s="715">
        <f t="shared" si="158"/>
        <v>47.224999999999994</v>
      </c>
      <c r="AY67" s="715">
        <f t="shared" si="158"/>
        <v>23.703000000000003</v>
      </c>
      <c r="AZ67" s="705">
        <f t="shared" si="159"/>
        <v>195.505</v>
      </c>
      <c r="BA67" s="715">
        <f t="shared" si="160"/>
        <v>70.992000000000004</v>
      </c>
      <c r="BB67" s="1304">
        <f t="shared" si="161"/>
        <v>74.858999999999995</v>
      </c>
      <c r="BC67" s="715">
        <f t="shared" si="161"/>
        <v>65.117999999999995</v>
      </c>
      <c r="BD67" s="715">
        <f t="shared" si="161"/>
        <v>75.134000000000015</v>
      </c>
      <c r="BE67" s="705">
        <f t="shared" si="162"/>
        <v>286.10300000000001</v>
      </c>
      <c r="BF67" s="715">
        <f t="shared" si="163"/>
        <v>71.581999999999994</v>
      </c>
      <c r="BG67" s="1304">
        <f t="shared" si="164"/>
        <v>71.397999999999996</v>
      </c>
      <c r="BH67" s="1372">
        <f t="shared" si="164"/>
        <v>79.669000000000011</v>
      </c>
      <c r="BI67" s="715">
        <f t="shared" si="164"/>
        <v>75.853000000000009</v>
      </c>
      <c r="BJ67" s="705">
        <f t="shared" si="165"/>
        <v>298.50200000000001</v>
      </c>
      <c r="BK67" s="715">
        <f t="shared" si="166"/>
        <v>84.195999999999998</v>
      </c>
      <c r="BL67" s="1304">
        <f t="shared" si="167"/>
        <v>78.87</v>
      </c>
      <c r="BM67" s="1372">
        <f t="shared" si="167"/>
        <v>81.024000000000001</v>
      </c>
      <c r="BN67" s="753">
        <f t="shared" si="167"/>
        <v>84.89700000000002</v>
      </c>
      <c r="BO67" s="705">
        <f t="shared" si="168"/>
        <v>328.98700000000002</v>
      </c>
      <c r="BP67" s="715">
        <f t="shared" si="169"/>
        <v>82.787999999999997</v>
      </c>
      <c r="BQ67" s="1304">
        <f t="shared" si="170"/>
        <v>83.01</v>
      </c>
      <c r="BR67" s="1372">
        <f t="shared" si="170"/>
        <v>83.013000000000005</v>
      </c>
      <c r="BS67" s="1372">
        <f t="shared" si="170"/>
        <v>84.890000000000015</v>
      </c>
      <c r="BT67" s="705">
        <f t="shared" si="171"/>
        <v>333.70100000000002</v>
      </c>
      <c r="BU67" s="715">
        <f t="shared" si="172"/>
        <v>84.207999999999998</v>
      </c>
      <c r="BV67" s="1304">
        <f t="shared" si="173"/>
        <v>84.652000000000015</v>
      </c>
      <c r="BW67" s="1372">
        <f t="shared" si="174"/>
        <v>85.975999999999999</v>
      </c>
      <c r="BX67" s="1372">
        <f t="shared" si="175"/>
        <v>81.022999999999968</v>
      </c>
      <c r="BY67" s="705">
        <f t="shared" si="176"/>
        <v>335.85899999999998</v>
      </c>
      <c r="BZ67" s="1372">
        <f t="shared" si="177"/>
        <v>92.31</v>
      </c>
      <c r="CA67" s="1304">
        <f t="shared" si="178"/>
        <v>85.568999999999988</v>
      </c>
      <c r="CB67" s="715">
        <f t="shared" si="179"/>
        <v>84.503000000000014</v>
      </c>
      <c r="CC67" s="715">
        <f t="shared" si="179"/>
        <v>87.529999999999973</v>
      </c>
      <c r="CD67" s="1380">
        <f t="shared" si="180"/>
        <v>349.91199999999998</v>
      </c>
      <c r="CE67" s="1372">
        <f t="shared" si="181"/>
        <v>98.31</v>
      </c>
      <c r="CF67" s="1304">
        <f t="shared" si="182"/>
        <v>116.04900000000001</v>
      </c>
      <c r="CG67" s="715">
        <f t="shared" si="183"/>
        <v>117.042</v>
      </c>
      <c r="CH67" s="715">
        <f t="shared" si="183"/>
        <v>120.05000000000001</v>
      </c>
      <c r="CI67" s="1380">
        <f t="shared" si="184"/>
        <v>451.45100000000002</v>
      </c>
      <c r="CJ67" s="1255">
        <f t="shared" si="185"/>
        <v>130.488</v>
      </c>
      <c r="CK67" s="721">
        <f t="shared" si="186"/>
        <v>160.09784999999999</v>
      </c>
      <c r="CL67" s="721">
        <f t="shared" si="186"/>
        <v>159.25680000000006</v>
      </c>
      <c r="CM67" s="721">
        <f t="shared" si="186"/>
        <v>164.94299999999998</v>
      </c>
      <c r="CN67" s="966">
        <f t="shared" si="187"/>
        <v>614.78565000000003</v>
      </c>
      <c r="CO67" s="1255">
        <f t="shared" si="188"/>
        <v>162.82461600000002</v>
      </c>
      <c r="CP67" s="721">
        <f t="shared" si="189"/>
        <v>192.11742000000001</v>
      </c>
      <c r="CQ67" s="721">
        <f t="shared" si="190"/>
        <v>191.10816</v>
      </c>
      <c r="CR67" s="721">
        <f t="shared" si="191"/>
        <v>197.9316</v>
      </c>
      <c r="CS67" s="966">
        <f t="shared" si="192"/>
        <v>743.98179600000003</v>
      </c>
      <c r="CT67" s="1255">
        <f t="shared" si="193"/>
        <v>195.38953920000003</v>
      </c>
      <c r="CU67" s="721">
        <f t="shared" si="194"/>
        <v>230.54090399999998</v>
      </c>
      <c r="CV67" s="721">
        <f t="shared" si="195"/>
        <v>229.329792</v>
      </c>
      <c r="CW67" s="721">
        <f t="shared" si="196"/>
        <v>237.51792</v>
      </c>
      <c r="CX67" s="966">
        <f t="shared" si="197"/>
        <v>892.77815520000001</v>
      </c>
      <c r="CZ67" s="697"/>
      <c r="DA67" s="769"/>
      <c r="DB67" s="697"/>
      <c r="DC67" s="686"/>
    </row>
    <row r="68" spans="1:107" ht="10.5" customHeight="1">
      <c r="A68" s="699" t="s">
        <v>765</v>
      </c>
      <c r="B68" s="699"/>
      <c r="C68" s="715">
        <f t="shared" si="136"/>
        <v>0</v>
      </c>
      <c r="D68" s="715">
        <f t="shared" si="137"/>
        <v>0</v>
      </c>
      <c r="E68" s="715">
        <f t="shared" si="137"/>
        <v>0</v>
      </c>
      <c r="F68" s="715">
        <f t="shared" si="137"/>
        <v>-17.600000000000001</v>
      </c>
      <c r="G68" s="705">
        <f t="shared" si="138"/>
        <v>-17.600000000000001</v>
      </c>
      <c r="H68" s="715">
        <f t="shared" si="139"/>
        <v>2.7509999999999999</v>
      </c>
      <c r="I68" s="715">
        <f t="shared" si="140"/>
        <v>-9.6839999999999993</v>
      </c>
      <c r="J68" s="715">
        <f t="shared" si="140"/>
        <v>-10.795999999999999</v>
      </c>
      <c r="K68" s="715">
        <f t="shared" si="140"/>
        <v>12.242999999999999</v>
      </c>
      <c r="L68" s="705">
        <f>SUM(H68:K68)</f>
        <v>-5.4860000000000007</v>
      </c>
      <c r="M68" s="715">
        <f t="shared" si="141"/>
        <v>5.7439999999999998</v>
      </c>
      <c r="N68" s="715">
        <f t="shared" si="142"/>
        <v>2.0330000000000004</v>
      </c>
      <c r="O68" s="715">
        <f t="shared" si="142"/>
        <v>9.5470000000000006</v>
      </c>
      <c r="P68" s="715">
        <f t="shared" si="142"/>
        <v>19.135999999999999</v>
      </c>
      <c r="Q68" s="705">
        <f>SUM(M68:P68)</f>
        <v>36.46</v>
      </c>
      <c r="R68" s="715">
        <f t="shared" si="143"/>
        <v>23.11</v>
      </c>
      <c r="S68" s="715">
        <f t="shared" si="144"/>
        <v>15.088999999999999</v>
      </c>
      <c r="T68" s="715">
        <f t="shared" si="144"/>
        <v>10.243000000000002</v>
      </c>
      <c r="U68" s="715">
        <f t="shared" si="144"/>
        <v>-2.171999999999997</v>
      </c>
      <c r="V68" s="705">
        <f>SUM(R68:U68)</f>
        <v>46.27</v>
      </c>
      <c r="W68" s="715">
        <f t="shared" si="145"/>
        <v>-56.482999999999997</v>
      </c>
      <c r="X68" s="715">
        <f t="shared" si="146"/>
        <v>1.0339999999999989</v>
      </c>
      <c r="Y68" s="715">
        <f t="shared" si="146"/>
        <v>15.155999999999999</v>
      </c>
      <c r="Z68" s="715">
        <f t="shared" si="146"/>
        <v>33.225000000000001</v>
      </c>
      <c r="AA68" s="705">
        <f>SUM(W68:Z68)</f>
        <v>-7.0679999999999978</v>
      </c>
      <c r="AB68" s="715">
        <f t="shared" si="147"/>
        <v>39.966999999999999</v>
      </c>
      <c r="AC68" s="715">
        <f t="shared" si="148"/>
        <v>-5.9039999999999964</v>
      </c>
      <c r="AD68" s="715">
        <f t="shared" si="148"/>
        <v>-26.192</v>
      </c>
      <c r="AE68" s="715">
        <f t="shared" si="148"/>
        <v>-41.124000000000002</v>
      </c>
      <c r="AF68" s="705">
        <f>SUM(AB68:AE68)</f>
        <v>-33.253</v>
      </c>
      <c r="AG68" s="715">
        <f t="shared" si="149"/>
        <v>0.90400000000000003</v>
      </c>
      <c r="AH68" s="715">
        <f t="shared" si="150"/>
        <v>15.125</v>
      </c>
      <c r="AI68" s="715">
        <f t="shared" si="150"/>
        <v>-36.433999999999997</v>
      </c>
      <c r="AJ68" s="715">
        <f t="shared" si="150"/>
        <v>-11.75</v>
      </c>
      <c r="AK68" s="705">
        <f>SUM(AG68:AJ68)</f>
        <v>-32.155000000000001</v>
      </c>
      <c r="AL68" s="715">
        <f t="shared" si="151"/>
        <v>35.844000000000001</v>
      </c>
      <c r="AM68" s="715">
        <f t="shared" si="152"/>
        <v>33.811</v>
      </c>
      <c r="AN68" s="715">
        <f t="shared" si="152"/>
        <v>-35.319000000000003</v>
      </c>
      <c r="AO68" s="715">
        <f t="shared" si="152"/>
        <v>12.248000000000005</v>
      </c>
      <c r="AP68" s="705">
        <f t="shared" si="153"/>
        <v>46.584000000000003</v>
      </c>
      <c r="AQ68" s="715">
        <f t="shared" si="154"/>
        <v>26.518000000000001</v>
      </c>
      <c r="AR68" s="715">
        <f t="shared" si="155"/>
        <v>-6.5339999999999989</v>
      </c>
      <c r="AS68" s="715">
        <f t="shared" si="155"/>
        <v>2.6869999999999976</v>
      </c>
      <c r="AT68" s="715">
        <v>0</v>
      </c>
      <c r="AU68" s="705">
        <f t="shared" si="156"/>
        <v>22.670999999999999</v>
      </c>
      <c r="AV68" s="715">
        <f t="shared" si="157"/>
        <v>-157.93199999999999</v>
      </c>
      <c r="AW68" s="715">
        <f t="shared" si="158"/>
        <v>-20.106000000000023</v>
      </c>
      <c r="AX68" s="715">
        <f t="shared" si="158"/>
        <v>0</v>
      </c>
      <c r="AY68" s="715">
        <f t="shared" si="158"/>
        <v>0</v>
      </c>
      <c r="AZ68" s="705">
        <f t="shared" si="159"/>
        <v>-178.03800000000001</v>
      </c>
      <c r="BA68" s="715">
        <f t="shared" si="160"/>
        <v>28.645</v>
      </c>
      <c r="BB68" s="1304">
        <f t="shared" si="161"/>
        <v>0.1509999999999998</v>
      </c>
      <c r="BC68" s="715">
        <f t="shared" si="161"/>
        <v>21.92</v>
      </c>
      <c r="BD68" s="715">
        <f t="shared" si="161"/>
        <v>0.69899999999999807</v>
      </c>
      <c r="BE68" s="705">
        <f t="shared" si="162"/>
        <v>51.414999999999999</v>
      </c>
      <c r="BF68" s="715">
        <f t="shared" si="163"/>
        <v>63.377000000000002</v>
      </c>
      <c r="BG68" s="1304">
        <f t="shared" si="164"/>
        <v>-5.2830000000000013</v>
      </c>
      <c r="BH68" s="1372">
        <f t="shared" si="164"/>
        <v>24.118999999999993</v>
      </c>
      <c r="BI68" s="715">
        <f t="shared" si="164"/>
        <v>6.9990000000000094</v>
      </c>
      <c r="BJ68" s="705">
        <f t="shared" si="165"/>
        <v>89.212000000000003</v>
      </c>
      <c r="BK68" s="715">
        <f t="shared" si="166"/>
        <v>15.176</v>
      </c>
      <c r="BL68" s="1304">
        <f t="shared" si="167"/>
        <v>3.4850000000000012</v>
      </c>
      <c r="BM68" s="1372">
        <f t="shared" si="167"/>
        <v>22.341000000000001</v>
      </c>
      <c r="BN68" s="753">
        <f t="shared" si="167"/>
        <v>-11.298000000000002</v>
      </c>
      <c r="BO68" s="705">
        <f t="shared" si="168"/>
        <v>29.704000000000001</v>
      </c>
      <c r="BP68" s="715">
        <f t="shared" si="169"/>
        <v>-3.3410000000000002</v>
      </c>
      <c r="BQ68" s="1304">
        <f t="shared" si="170"/>
        <v>7.9729999999999999</v>
      </c>
      <c r="BR68" s="1372">
        <f t="shared" si="170"/>
        <v>-12.544</v>
      </c>
      <c r="BS68" s="1372">
        <f t="shared" si="170"/>
        <v>-18.177</v>
      </c>
      <c r="BT68" s="705">
        <f t="shared" si="171"/>
        <v>-26.088999999999999</v>
      </c>
      <c r="BU68" s="715">
        <f t="shared" si="172"/>
        <v>4.8789999999999996</v>
      </c>
      <c r="BV68" s="1304">
        <f t="shared" si="173"/>
        <v>-30.310000000000002</v>
      </c>
      <c r="BW68" s="1372">
        <f t="shared" si="174"/>
        <v>-22.337999999999997</v>
      </c>
      <c r="BX68" s="1372">
        <f t="shared" si="175"/>
        <v>-21.887999999999998</v>
      </c>
      <c r="BY68" s="705">
        <f t="shared" si="176"/>
        <v>-69.657000000000011</v>
      </c>
      <c r="BZ68" s="1372">
        <f t="shared" si="177"/>
        <v>56.905999999999999</v>
      </c>
      <c r="CA68" s="1304">
        <f t="shared" si="178"/>
        <v>-6.0529999999999973</v>
      </c>
      <c r="CB68" s="715">
        <f t="shared" si="179"/>
        <v>-6.6890000000000001</v>
      </c>
      <c r="CC68" s="715">
        <f t="shared" si="179"/>
        <v>-19.942</v>
      </c>
      <c r="CD68" s="1380">
        <f t="shared" si="180"/>
        <v>24.222000000000001</v>
      </c>
      <c r="CE68" s="1372">
        <f t="shared" si="181"/>
        <v>60.314999999999998</v>
      </c>
      <c r="CF68" s="1304">
        <f t="shared" si="182"/>
        <v>-8.0399999999999991</v>
      </c>
      <c r="CG68" s="715">
        <f t="shared" si="183"/>
        <v>-4.4159999999999968</v>
      </c>
      <c r="CH68" s="715">
        <f t="shared" si="183"/>
        <v>3.7459999999999951</v>
      </c>
      <c r="CI68" s="1380">
        <f t="shared" si="184"/>
        <v>51.604999999999997</v>
      </c>
      <c r="CJ68" s="1255">
        <f t="shared" si="185"/>
        <v>0</v>
      </c>
      <c r="CK68" s="721">
        <f t="shared" si="186"/>
        <v>0</v>
      </c>
      <c r="CL68" s="721">
        <f t="shared" si="186"/>
        <v>0</v>
      </c>
      <c r="CM68" s="721">
        <f t="shared" si="186"/>
        <v>0</v>
      </c>
      <c r="CN68" s="966">
        <f t="shared" si="187"/>
        <v>0</v>
      </c>
      <c r="CO68" s="1255">
        <f t="shared" si="188"/>
        <v>0</v>
      </c>
      <c r="CP68" s="721">
        <f t="shared" si="189"/>
        <v>0</v>
      </c>
      <c r="CQ68" s="721">
        <f t="shared" si="190"/>
        <v>0</v>
      </c>
      <c r="CR68" s="721">
        <f t="shared" si="191"/>
        <v>0</v>
      </c>
      <c r="CS68" s="966">
        <f t="shared" si="192"/>
        <v>0</v>
      </c>
      <c r="CT68" s="1255">
        <f t="shared" si="193"/>
        <v>0</v>
      </c>
      <c r="CU68" s="721">
        <f t="shared" si="194"/>
        <v>0</v>
      </c>
      <c r="CV68" s="721">
        <f t="shared" si="195"/>
        <v>0</v>
      </c>
      <c r="CW68" s="721">
        <f t="shared" si="196"/>
        <v>0</v>
      </c>
      <c r="CX68" s="966">
        <f t="shared" si="197"/>
        <v>0</v>
      </c>
      <c r="CZ68" s="697"/>
      <c r="DA68" s="769"/>
      <c r="DB68" s="697"/>
      <c r="DC68" s="686"/>
    </row>
    <row r="69" spans="1:107" ht="10.5" customHeight="1">
      <c r="A69" s="699" t="s">
        <v>624</v>
      </c>
      <c r="B69" s="699"/>
      <c r="C69" s="715">
        <f t="shared" si="136"/>
        <v>0</v>
      </c>
      <c r="D69" s="715">
        <f t="shared" si="137"/>
        <v>0</v>
      </c>
      <c r="E69" s="715">
        <f t="shared" si="137"/>
        <v>0</v>
      </c>
      <c r="F69" s="715">
        <f t="shared" si="137"/>
        <v>1.4350000000000001</v>
      </c>
      <c r="G69" s="705">
        <f t="shared" si="138"/>
        <v>1.4350000000000001</v>
      </c>
      <c r="H69" s="715">
        <f t="shared" si="139"/>
        <v>7.6999999999999999E-2</v>
      </c>
      <c r="I69" s="715">
        <f t="shared" si="140"/>
        <v>0.92200000000000004</v>
      </c>
      <c r="J69" s="715">
        <f t="shared" si="140"/>
        <v>-0.57299999999999995</v>
      </c>
      <c r="K69" s="715">
        <f t="shared" si="140"/>
        <v>1.101</v>
      </c>
      <c r="L69" s="705">
        <f>SUM(H69:K69)</f>
        <v>1.5270000000000001</v>
      </c>
      <c r="M69" s="715">
        <f t="shared" si="141"/>
        <v>0.495</v>
      </c>
      <c r="N69" s="715">
        <f t="shared" si="142"/>
        <v>0.82100000000000006</v>
      </c>
      <c r="O69" s="715">
        <f t="shared" si="142"/>
        <v>-1.6000000000000014E-2</v>
      </c>
      <c r="P69" s="715">
        <f t="shared" si="142"/>
        <v>0.73799999999999977</v>
      </c>
      <c r="Q69" s="705">
        <f>SUM(M69:P69)</f>
        <v>2.0379999999999998</v>
      </c>
      <c r="R69" s="715">
        <f t="shared" si="143"/>
        <v>-2.1139999999999999</v>
      </c>
      <c r="S69" s="715">
        <f t="shared" si="144"/>
        <v>-0.2280000000000002</v>
      </c>
      <c r="T69" s="715">
        <f t="shared" si="144"/>
        <v>0.18999999999999995</v>
      </c>
      <c r="U69" s="715">
        <f t="shared" si="144"/>
        <v>1.7090000000000001</v>
      </c>
      <c r="V69" s="705">
        <f>SUM(R69:U69)</f>
        <v>-0.44300000000000006</v>
      </c>
      <c r="W69" s="715">
        <f t="shared" si="145"/>
        <v>0.13700000000000001</v>
      </c>
      <c r="X69" s="715">
        <f t="shared" si="146"/>
        <v>-0.36599999999999999</v>
      </c>
      <c r="Y69" s="715">
        <f t="shared" si="146"/>
        <v>-0.44900000000000007</v>
      </c>
      <c r="Z69" s="715">
        <f t="shared" si="146"/>
        <v>1.0720000000000001</v>
      </c>
      <c r="AA69" s="705">
        <f>SUM(W69:Z69)</f>
        <v>0.39400000000000002</v>
      </c>
      <c r="AB69" s="715">
        <f t="shared" si="147"/>
        <v>-0.247</v>
      </c>
      <c r="AC69" s="715">
        <f t="shared" si="148"/>
        <v>1.5349999999999997</v>
      </c>
      <c r="AD69" s="715">
        <f t="shared" si="148"/>
        <v>-0.56399999999999983</v>
      </c>
      <c r="AE69" s="715">
        <f t="shared" si="148"/>
        <v>0.38300000000000001</v>
      </c>
      <c r="AF69" s="705">
        <f>SUM(AB69:AE69)</f>
        <v>1.107</v>
      </c>
      <c r="AG69" s="715">
        <f t="shared" si="149"/>
        <v>-0.16300000000000001</v>
      </c>
      <c r="AH69" s="715">
        <f t="shared" si="150"/>
        <v>0.255</v>
      </c>
      <c r="AI69" s="715">
        <f t="shared" si="150"/>
        <v>-1.724</v>
      </c>
      <c r="AJ69" s="715">
        <f t="shared" si="150"/>
        <v>0</v>
      </c>
      <c r="AK69" s="705">
        <f>SUM(AG69:AJ69)</f>
        <v>-1.6319999999999999</v>
      </c>
      <c r="AL69" s="715">
        <f t="shared" si="151"/>
        <v>19.363</v>
      </c>
      <c r="AM69" s="715">
        <f t="shared" si="152"/>
        <v>16.221000000000004</v>
      </c>
      <c r="AN69" s="715">
        <f t="shared" si="152"/>
        <v>58.099000000000004</v>
      </c>
      <c r="AO69" s="715">
        <f t="shared" si="152"/>
        <v>-93.683000000000007</v>
      </c>
      <c r="AP69" s="705">
        <f t="shared" si="153"/>
        <v>0</v>
      </c>
      <c r="AQ69" s="715">
        <f t="shared" si="154"/>
        <v>0</v>
      </c>
      <c r="AR69" s="715">
        <f t="shared" si="155"/>
        <v>3.2810000000000001</v>
      </c>
      <c r="AS69" s="715">
        <f t="shared" si="155"/>
        <v>-0.23200000000000021</v>
      </c>
      <c r="AT69" s="715">
        <v>0</v>
      </c>
      <c r="AU69" s="705">
        <f t="shared" si="156"/>
        <v>3.0489999999999999</v>
      </c>
      <c r="AV69" s="715">
        <f t="shared" si="157"/>
        <v>0.81599999999999995</v>
      </c>
      <c r="AW69" s="715">
        <f t="shared" si="158"/>
        <v>-0.81599999999999995</v>
      </c>
      <c r="AX69" s="715">
        <f t="shared" si="158"/>
        <v>0</v>
      </c>
      <c r="AY69" s="715">
        <f t="shared" si="158"/>
        <v>0</v>
      </c>
      <c r="AZ69" s="705">
        <f t="shared" si="159"/>
        <v>0</v>
      </c>
      <c r="BA69" s="715">
        <f t="shared" si="160"/>
        <v>0</v>
      </c>
      <c r="BB69" s="1304">
        <f t="shared" si="161"/>
        <v>0</v>
      </c>
      <c r="BC69" s="715">
        <f t="shared" si="161"/>
        <v>0</v>
      </c>
      <c r="BD69" s="715">
        <f t="shared" si="161"/>
        <v>0</v>
      </c>
      <c r="BE69" s="705">
        <f t="shared" si="162"/>
        <v>0</v>
      </c>
      <c r="BF69" s="715">
        <f t="shared" si="163"/>
        <v>0</v>
      </c>
      <c r="BG69" s="1304">
        <f t="shared" si="164"/>
        <v>0</v>
      </c>
      <c r="BH69" s="1372">
        <f t="shared" si="164"/>
        <v>0</v>
      </c>
      <c r="BI69" s="715">
        <f t="shared" si="164"/>
        <v>0</v>
      </c>
      <c r="BJ69" s="705">
        <f t="shared" si="165"/>
        <v>0</v>
      </c>
      <c r="BK69" s="715">
        <f t="shared" si="166"/>
        <v>0</v>
      </c>
      <c r="BL69" s="1304">
        <f t="shared" si="167"/>
        <v>0</v>
      </c>
      <c r="BM69" s="1372">
        <f t="shared" si="167"/>
        <v>0</v>
      </c>
      <c r="BN69" s="753">
        <f t="shared" si="167"/>
        <v>0</v>
      </c>
      <c r="BO69" s="705">
        <f t="shared" si="168"/>
        <v>0</v>
      </c>
      <c r="BP69" s="715">
        <f t="shared" si="169"/>
        <v>0</v>
      </c>
      <c r="BQ69" s="1304">
        <f t="shared" si="170"/>
        <v>0</v>
      </c>
      <c r="BR69" s="1372">
        <f t="shared" si="170"/>
        <v>0</v>
      </c>
      <c r="BS69" s="1372">
        <f t="shared" si="170"/>
        <v>0</v>
      </c>
      <c r="BT69" s="705">
        <f t="shared" si="171"/>
        <v>0</v>
      </c>
      <c r="BU69" s="715">
        <f t="shared" si="172"/>
        <v>0</v>
      </c>
      <c r="BV69" s="1304">
        <f t="shared" si="173"/>
        <v>0</v>
      </c>
      <c r="BW69" s="1372">
        <f t="shared" si="174"/>
        <v>0</v>
      </c>
      <c r="BX69" s="1372">
        <f t="shared" si="175"/>
        <v>0</v>
      </c>
      <c r="BY69" s="705">
        <f t="shared" si="176"/>
        <v>0</v>
      </c>
      <c r="BZ69" s="1372">
        <f t="shared" si="177"/>
        <v>0</v>
      </c>
      <c r="CA69" s="1304">
        <f t="shared" si="178"/>
        <v>0</v>
      </c>
      <c r="CB69" s="715">
        <f t="shared" si="179"/>
        <v>0</v>
      </c>
      <c r="CC69" s="715">
        <f t="shared" si="179"/>
        <v>0</v>
      </c>
      <c r="CD69" s="1380">
        <f t="shared" si="180"/>
        <v>0</v>
      </c>
      <c r="CE69" s="1372">
        <f t="shared" si="181"/>
        <v>0</v>
      </c>
      <c r="CF69" s="1304">
        <f t="shared" si="182"/>
        <v>0</v>
      </c>
      <c r="CG69" s="715">
        <f t="shared" si="183"/>
        <v>0</v>
      </c>
      <c r="CH69" s="715">
        <f t="shared" si="183"/>
        <v>0</v>
      </c>
      <c r="CI69" s="1380">
        <f t="shared" si="184"/>
        <v>0</v>
      </c>
      <c r="CJ69" s="1255">
        <f t="shared" si="185"/>
        <v>0</v>
      </c>
      <c r="CK69" s="721">
        <f t="shared" si="186"/>
        <v>0</v>
      </c>
      <c r="CL69" s="721">
        <f t="shared" si="186"/>
        <v>0</v>
      </c>
      <c r="CM69" s="721">
        <f t="shared" si="186"/>
        <v>0</v>
      </c>
      <c r="CN69" s="966">
        <f t="shared" si="187"/>
        <v>0</v>
      </c>
      <c r="CO69" s="1255">
        <f t="shared" si="188"/>
        <v>0</v>
      </c>
      <c r="CP69" s="721">
        <f t="shared" si="189"/>
        <v>0</v>
      </c>
      <c r="CQ69" s="721">
        <f t="shared" si="190"/>
        <v>0</v>
      </c>
      <c r="CR69" s="721">
        <f t="shared" si="191"/>
        <v>0</v>
      </c>
      <c r="CS69" s="966">
        <f t="shared" si="192"/>
        <v>0</v>
      </c>
      <c r="CT69" s="1255">
        <f t="shared" si="193"/>
        <v>0</v>
      </c>
      <c r="CU69" s="721">
        <f t="shared" si="194"/>
        <v>0</v>
      </c>
      <c r="CV69" s="721">
        <f t="shared" si="195"/>
        <v>0</v>
      </c>
      <c r="CW69" s="721">
        <f t="shared" si="196"/>
        <v>0</v>
      </c>
      <c r="CX69" s="966">
        <f t="shared" si="197"/>
        <v>0</v>
      </c>
      <c r="CZ69" s="697"/>
      <c r="DA69" s="769"/>
      <c r="DB69" s="697"/>
      <c r="DC69" s="686"/>
    </row>
    <row r="70" spans="1:107" ht="10.5" customHeight="1">
      <c r="A70" s="699" t="s">
        <v>95</v>
      </c>
      <c r="B70" s="699"/>
      <c r="C70" s="715">
        <f t="shared" si="136"/>
        <v>0</v>
      </c>
      <c r="D70" s="715">
        <f t="shared" si="137"/>
        <v>0</v>
      </c>
      <c r="E70" s="715">
        <f t="shared" si="137"/>
        <v>0</v>
      </c>
      <c r="F70" s="715">
        <f t="shared" si="137"/>
        <v>45.692</v>
      </c>
      <c r="G70" s="705">
        <f>SUM(C70:F70)</f>
        <v>45.692</v>
      </c>
      <c r="H70" s="715">
        <f t="shared" si="139"/>
        <v>6.0359999999999996</v>
      </c>
      <c r="I70" s="715">
        <f t="shared" si="140"/>
        <v>12.552999999999999</v>
      </c>
      <c r="J70" s="715">
        <f t="shared" si="140"/>
        <v>0.99500000000000099</v>
      </c>
      <c r="K70" s="715">
        <f t="shared" si="140"/>
        <v>2.2459999999999987</v>
      </c>
      <c r="L70" s="705">
        <f t="shared" si="198"/>
        <v>21.83</v>
      </c>
      <c r="M70" s="715">
        <f t="shared" si="141"/>
        <v>2.0139999999999998</v>
      </c>
      <c r="N70" s="715">
        <f t="shared" si="142"/>
        <v>8.0910000000000011</v>
      </c>
      <c r="O70" s="715">
        <f t="shared" si="142"/>
        <v>2.2439999999999998</v>
      </c>
      <c r="P70" s="715">
        <f t="shared" si="142"/>
        <v>25.087</v>
      </c>
      <c r="Q70" s="705">
        <f t="shared" si="199"/>
        <v>37.436</v>
      </c>
      <c r="R70" s="715">
        <f t="shared" si="143"/>
        <v>5.1239999999999997</v>
      </c>
      <c r="S70" s="715">
        <f t="shared" si="144"/>
        <v>13.303000000000001</v>
      </c>
      <c r="T70" s="715">
        <f t="shared" si="144"/>
        <v>11.545000000000002</v>
      </c>
      <c r="U70" s="715">
        <f t="shared" si="144"/>
        <v>67.822000000000003</v>
      </c>
      <c r="V70" s="705">
        <f t="shared" si="200"/>
        <v>97.794000000000011</v>
      </c>
      <c r="W70" s="715">
        <f t="shared" si="145"/>
        <v>27.196999999999999</v>
      </c>
      <c r="X70" s="715">
        <f t="shared" si="146"/>
        <v>20.345000000000002</v>
      </c>
      <c r="Y70" s="715">
        <f t="shared" si="146"/>
        <v>16.259999999999998</v>
      </c>
      <c r="Z70" s="715">
        <f t="shared" si="146"/>
        <v>19.050000000000004</v>
      </c>
      <c r="AA70" s="705">
        <f t="shared" si="201"/>
        <v>82.852000000000004</v>
      </c>
      <c r="AB70" s="715">
        <f t="shared" si="147"/>
        <v>-23.42</v>
      </c>
      <c r="AC70" s="715">
        <f t="shared" si="148"/>
        <v>-22.731999999999999</v>
      </c>
      <c r="AD70" s="715">
        <f t="shared" si="148"/>
        <v>-35.435000000000002</v>
      </c>
      <c r="AE70" s="715">
        <f t="shared" si="148"/>
        <v>-61.530999999999992</v>
      </c>
      <c r="AF70" s="705">
        <f t="shared" si="202"/>
        <v>-143.11799999999999</v>
      </c>
      <c r="AG70" s="715">
        <f t="shared" si="149"/>
        <v>15.935</v>
      </c>
      <c r="AH70" s="715">
        <f t="shared" si="150"/>
        <v>36.186</v>
      </c>
      <c r="AI70" s="715">
        <f t="shared" si="150"/>
        <v>23.756999999999998</v>
      </c>
      <c r="AJ70" s="715">
        <f t="shared" si="150"/>
        <v>0</v>
      </c>
      <c r="AK70" s="705">
        <f t="shared" si="203"/>
        <v>75.878</v>
      </c>
      <c r="AL70" s="715">
        <f t="shared" si="151"/>
        <v>0</v>
      </c>
      <c r="AM70" s="715">
        <f t="shared" si="152"/>
        <v>9.3290000000000006</v>
      </c>
      <c r="AN70" s="715">
        <f t="shared" si="152"/>
        <v>74.411000000000001</v>
      </c>
      <c r="AO70" s="715">
        <f t="shared" si="152"/>
        <v>6.6200000000000045</v>
      </c>
      <c r="AP70" s="705">
        <f t="shared" si="153"/>
        <v>90.360000000000014</v>
      </c>
      <c r="AQ70" s="715">
        <f t="shared" si="154"/>
        <v>2.7109999999999999</v>
      </c>
      <c r="AR70" s="715">
        <f t="shared" si="155"/>
        <v>0</v>
      </c>
      <c r="AS70" s="715">
        <f t="shared" si="155"/>
        <v>0</v>
      </c>
      <c r="AT70" s="715">
        <v>0</v>
      </c>
      <c r="AU70" s="705">
        <f t="shared" si="156"/>
        <v>2.7109999999999999</v>
      </c>
      <c r="AV70" s="715">
        <f t="shared" si="157"/>
        <v>35.609000000000002</v>
      </c>
      <c r="AW70" s="715">
        <f t="shared" si="158"/>
        <v>3.1340000000000003</v>
      </c>
      <c r="AX70" s="715">
        <f t="shared" si="158"/>
        <v>0</v>
      </c>
      <c r="AY70" s="715">
        <f t="shared" si="158"/>
        <v>0</v>
      </c>
      <c r="AZ70" s="705">
        <f t="shared" si="159"/>
        <v>38.743000000000002</v>
      </c>
      <c r="BA70" s="715">
        <f t="shared" si="160"/>
        <v>0</v>
      </c>
      <c r="BB70" s="1304">
        <f t="shared" si="161"/>
        <v>0</v>
      </c>
      <c r="BC70" s="715">
        <f t="shared" si="161"/>
        <v>0</v>
      </c>
      <c r="BD70" s="715">
        <f t="shared" si="161"/>
        <v>0</v>
      </c>
      <c r="BE70" s="705">
        <f t="shared" si="162"/>
        <v>0</v>
      </c>
      <c r="BF70" s="715">
        <f t="shared" si="163"/>
        <v>0</v>
      </c>
      <c r="BG70" s="1304">
        <f t="shared" si="164"/>
        <v>0</v>
      </c>
      <c r="BH70" s="1372">
        <f t="shared" si="164"/>
        <v>0</v>
      </c>
      <c r="BI70" s="715">
        <f t="shared" si="164"/>
        <v>0</v>
      </c>
      <c r="BJ70" s="705">
        <f t="shared" si="165"/>
        <v>0</v>
      </c>
      <c r="BK70" s="715">
        <f t="shared" si="166"/>
        <v>0</v>
      </c>
      <c r="BL70" s="1304">
        <f t="shared" si="167"/>
        <v>0</v>
      </c>
      <c r="BM70" s="1372">
        <f t="shared" si="167"/>
        <v>0</v>
      </c>
      <c r="BN70" s="753">
        <f t="shared" si="167"/>
        <v>0</v>
      </c>
      <c r="BO70" s="705">
        <f t="shared" si="168"/>
        <v>0</v>
      </c>
      <c r="BP70" s="715">
        <f t="shared" si="169"/>
        <v>0</v>
      </c>
      <c r="BQ70" s="1304">
        <f t="shared" si="170"/>
        <v>0</v>
      </c>
      <c r="BR70" s="1372">
        <f t="shared" si="170"/>
        <v>31.882999999999999</v>
      </c>
      <c r="BS70" s="1372">
        <f t="shared" si="170"/>
        <v>21.342000000000002</v>
      </c>
      <c r="BT70" s="705">
        <f t="shared" si="171"/>
        <v>53.225000000000001</v>
      </c>
      <c r="BU70" s="715">
        <f t="shared" si="172"/>
        <v>33.584000000000003</v>
      </c>
      <c r="BV70" s="1304">
        <f t="shared" si="173"/>
        <v>11.136999999999993</v>
      </c>
      <c r="BW70" s="1372">
        <f t="shared" si="174"/>
        <v>13.605000000000004</v>
      </c>
      <c r="BX70" s="1372">
        <f t="shared" si="175"/>
        <v>9.8069999999999951</v>
      </c>
      <c r="BY70" s="705">
        <f t="shared" si="176"/>
        <v>68.132999999999996</v>
      </c>
      <c r="BZ70" s="1372">
        <f t="shared" si="177"/>
        <v>14.855</v>
      </c>
      <c r="CA70" s="1304">
        <f t="shared" si="178"/>
        <v>50.430999999999997</v>
      </c>
      <c r="CB70" s="715">
        <f t="shared" si="179"/>
        <v>3.980000000000004</v>
      </c>
      <c r="CC70" s="715">
        <f t="shared" si="179"/>
        <v>5.8359999999999985</v>
      </c>
      <c r="CD70" s="1380">
        <f t="shared" si="180"/>
        <v>75.102000000000004</v>
      </c>
      <c r="CE70" s="1372">
        <f t="shared" si="181"/>
        <v>0</v>
      </c>
      <c r="CF70" s="1304">
        <f t="shared" si="182"/>
        <v>0</v>
      </c>
      <c r="CG70" s="715">
        <f t="shared" si="183"/>
        <v>0</v>
      </c>
      <c r="CH70" s="715">
        <f t="shared" si="183"/>
        <v>0</v>
      </c>
      <c r="CI70" s="1380">
        <f t="shared" si="184"/>
        <v>0</v>
      </c>
      <c r="CJ70" s="1255">
        <f t="shared" si="185"/>
        <v>0</v>
      </c>
      <c r="CK70" s="721">
        <f t="shared" si="186"/>
        <v>0</v>
      </c>
      <c r="CL70" s="721">
        <f t="shared" si="186"/>
        <v>0</v>
      </c>
      <c r="CM70" s="721">
        <f t="shared" si="186"/>
        <v>0</v>
      </c>
      <c r="CN70" s="966">
        <f t="shared" si="187"/>
        <v>0</v>
      </c>
      <c r="CO70" s="1255">
        <f t="shared" si="188"/>
        <v>0</v>
      </c>
      <c r="CP70" s="721">
        <f t="shared" si="189"/>
        <v>0</v>
      </c>
      <c r="CQ70" s="721">
        <f t="shared" si="190"/>
        <v>0</v>
      </c>
      <c r="CR70" s="721">
        <f t="shared" si="191"/>
        <v>0</v>
      </c>
      <c r="CS70" s="966">
        <f t="shared" si="192"/>
        <v>0</v>
      </c>
      <c r="CT70" s="1255">
        <f t="shared" si="193"/>
        <v>0</v>
      </c>
      <c r="CU70" s="721">
        <f t="shared" si="194"/>
        <v>0</v>
      </c>
      <c r="CV70" s="721">
        <f t="shared" si="195"/>
        <v>0</v>
      </c>
      <c r="CW70" s="721">
        <f t="shared" si="196"/>
        <v>0</v>
      </c>
      <c r="CX70" s="966">
        <f t="shared" si="197"/>
        <v>0</v>
      </c>
      <c r="CZ70" s="697"/>
      <c r="DA70" s="769"/>
      <c r="DB70" s="697"/>
      <c r="DC70" s="686"/>
    </row>
    <row r="71" spans="1:107" ht="10.5" customHeight="1">
      <c r="A71" s="699" t="str">
        <f>A17</f>
        <v>Excess Tax Benefit from Stock Based Compensation</v>
      </c>
      <c r="B71" s="699"/>
      <c r="C71" s="715">
        <f t="shared" si="136"/>
        <v>0</v>
      </c>
      <c r="D71" s="715">
        <f t="shared" si="137"/>
        <v>0</v>
      </c>
      <c r="E71" s="715">
        <f t="shared" si="137"/>
        <v>0</v>
      </c>
      <c r="F71" s="715">
        <f t="shared" si="137"/>
        <v>0</v>
      </c>
      <c r="G71" s="705">
        <f>SUM(C71:F71)</f>
        <v>0</v>
      </c>
      <c r="H71" s="715">
        <f t="shared" si="139"/>
        <v>0</v>
      </c>
      <c r="I71" s="715">
        <f t="shared" si="140"/>
        <v>0</v>
      </c>
      <c r="J71" s="715">
        <f t="shared" si="140"/>
        <v>0</v>
      </c>
      <c r="K71" s="715">
        <f t="shared" si="140"/>
        <v>0</v>
      </c>
      <c r="L71" s="705">
        <f>SUM(H71:K71)</f>
        <v>0</v>
      </c>
      <c r="M71" s="715">
        <f t="shared" si="141"/>
        <v>0</v>
      </c>
      <c r="N71" s="715">
        <f t="shared" si="142"/>
        <v>0</v>
      </c>
      <c r="O71" s="715">
        <f t="shared" si="142"/>
        <v>0</v>
      </c>
      <c r="P71" s="715">
        <f t="shared" si="142"/>
        <v>0</v>
      </c>
      <c r="Q71" s="705">
        <f>SUM(M71:P71)</f>
        <v>0</v>
      </c>
      <c r="R71" s="715">
        <f t="shared" si="143"/>
        <v>0</v>
      </c>
      <c r="S71" s="715">
        <f t="shared" si="144"/>
        <v>0</v>
      </c>
      <c r="T71" s="715">
        <f t="shared" si="144"/>
        <v>0</v>
      </c>
      <c r="U71" s="715">
        <f t="shared" si="144"/>
        <v>0</v>
      </c>
      <c r="V71" s="705">
        <f>SUM(R71:U71)</f>
        <v>0</v>
      </c>
      <c r="W71" s="715">
        <f t="shared" si="145"/>
        <v>0</v>
      </c>
      <c r="X71" s="715">
        <f t="shared" si="146"/>
        <v>0</v>
      </c>
      <c r="Y71" s="715">
        <f t="shared" si="146"/>
        <v>0</v>
      </c>
      <c r="Z71" s="715">
        <f t="shared" si="146"/>
        <v>0</v>
      </c>
      <c r="AA71" s="705">
        <f>SUM(W71:Z71)</f>
        <v>0</v>
      </c>
      <c r="AB71" s="715">
        <f t="shared" si="147"/>
        <v>0</v>
      </c>
      <c r="AC71" s="715">
        <f t="shared" si="148"/>
        <v>0</v>
      </c>
      <c r="AD71" s="715">
        <f t="shared" si="148"/>
        <v>0</v>
      </c>
      <c r="AE71" s="715">
        <f t="shared" si="148"/>
        <v>0</v>
      </c>
      <c r="AF71" s="705">
        <f>SUM(AB71:AE71)</f>
        <v>0</v>
      </c>
      <c r="AG71" s="715">
        <f t="shared" si="149"/>
        <v>-1.556</v>
      </c>
      <c r="AH71" s="715">
        <f t="shared" si="150"/>
        <v>-35.866</v>
      </c>
      <c r="AI71" s="715">
        <f t="shared" si="150"/>
        <v>-16.974000000000004</v>
      </c>
      <c r="AJ71" s="715">
        <f t="shared" si="150"/>
        <v>0</v>
      </c>
      <c r="AK71" s="705">
        <f>SUM(AG71:AJ71)</f>
        <v>-54.396000000000001</v>
      </c>
      <c r="AL71" s="715">
        <f t="shared" si="151"/>
        <v>0</v>
      </c>
      <c r="AM71" s="715">
        <f t="shared" si="152"/>
        <v>-9.3290000000000006</v>
      </c>
      <c r="AN71" s="715">
        <f t="shared" si="152"/>
        <v>-14.305999999999997</v>
      </c>
      <c r="AO71" s="715">
        <f t="shared" si="152"/>
        <v>-8.3480000000000025</v>
      </c>
      <c r="AP71" s="705">
        <f>SUM(AL71:AO71)</f>
        <v>-31.983000000000001</v>
      </c>
      <c r="AQ71" s="715">
        <f t="shared" si="154"/>
        <v>-8.4000000000000005E-2</v>
      </c>
      <c r="AR71" s="715">
        <f t="shared" si="155"/>
        <v>0</v>
      </c>
      <c r="AS71" s="715">
        <f t="shared" si="155"/>
        <v>0</v>
      </c>
      <c r="AT71" s="715">
        <v>0</v>
      </c>
      <c r="AU71" s="705">
        <f>SUM(AQ71:AT71)</f>
        <v>-8.4000000000000005E-2</v>
      </c>
      <c r="AV71" s="715">
        <f t="shared" si="157"/>
        <v>-7.0579999999999998</v>
      </c>
      <c r="AW71" s="715">
        <f t="shared" si="158"/>
        <v>-1.4269999999999996</v>
      </c>
      <c r="AX71" s="715">
        <f t="shared" si="158"/>
        <v>0</v>
      </c>
      <c r="AY71" s="715">
        <f t="shared" si="158"/>
        <v>0</v>
      </c>
      <c r="AZ71" s="705">
        <f>SUM(AV71:AY71)</f>
        <v>-8.4849999999999994</v>
      </c>
      <c r="BA71" s="715">
        <f t="shared" si="160"/>
        <v>0</v>
      </c>
      <c r="BB71" s="1304">
        <f t="shared" si="161"/>
        <v>-8.7780000000000005</v>
      </c>
      <c r="BC71" s="715">
        <f t="shared" si="161"/>
        <v>-0.31799999999999962</v>
      </c>
      <c r="BD71" s="715">
        <f t="shared" si="161"/>
        <v>-0.85299999999999976</v>
      </c>
      <c r="BE71" s="705">
        <f>SUM(BA71:BD71)</f>
        <v>-9.9489999999999998</v>
      </c>
      <c r="BF71" s="715">
        <f t="shared" si="163"/>
        <v>-2.67</v>
      </c>
      <c r="BG71" s="1304">
        <f t="shared" si="164"/>
        <v>-2.6840000000000002</v>
      </c>
      <c r="BH71" s="1372">
        <f t="shared" si="164"/>
        <v>-1.1719999999999997</v>
      </c>
      <c r="BI71" s="715">
        <f t="shared" si="164"/>
        <v>-3.4770000000000003</v>
      </c>
      <c r="BJ71" s="705">
        <f>SUM(BF71:BI71)</f>
        <v>-10.003</v>
      </c>
      <c r="BK71" s="715">
        <f t="shared" si="166"/>
        <v>0</v>
      </c>
      <c r="BL71" s="1304">
        <f t="shared" si="167"/>
        <v>0</v>
      </c>
      <c r="BM71" s="1372">
        <f t="shared" si="167"/>
        <v>0</v>
      </c>
      <c r="BN71" s="753">
        <f t="shared" si="167"/>
        <v>-40.619</v>
      </c>
      <c r="BO71" s="705">
        <f>SUM(BK71:BN71)</f>
        <v>-40.619</v>
      </c>
      <c r="BP71" s="715">
        <f t="shared" si="169"/>
        <v>0</v>
      </c>
      <c r="BQ71" s="1304">
        <f t="shared" si="170"/>
        <v>-4.875</v>
      </c>
      <c r="BR71" s="1372">
        <f t="shared" si="170"/>
        <v>-27.077999999999999</v>
      </c>
      <c r="BS71" s="1372">
        <f t="shared" si="170"/>
        <v>-21.282</v>
      </c>
      <c r="BT71" s="705">
        <f>SUM(BP71:BS71)</f>
        <v>-53.234999999999999</v>
      </c>
      <c r="BU71" s="715">
        <f t="shared" si="172"/>
        <v>-33.598999999999997</v>
      </c>
      <c r="BV71" s="1304">
        <f t="shared" si="173"/>
        <v>-11.14</v>
      </c>
      <c r="BW71" s="1372">
        <f t="shared" si="174"/>
        <v>-13.606000000000002</v>
      </c>
      <c r="BX71" s="1372">
        <f t="shared" si="175"/>
        <v>-9.8080000000000069</v>
      </c>
      <c r="BY71" s="705">
        <f t="shared" si="176"/>
        <v>-68.153000000000006</v>
      </c>
      <c r="BZ71" s="1372">
        <f t="shared" si="177"/>
        <v>-14.859</v>
      </c>
      <c r="CA71" s="1304">
        <f t="shared" si="178"/>
        <v>-50.43</v>
      </c>
      <c r="CB71" s="715">
        <f t="shared" si="179"/>
        <v>-3.980000000000004</v>
      </c>
      <c r="CC71" s="715">
        <f t="shared" si="179"/>
        <v>-5.8359999999999985</v>
      </c>
      <c r="CD71" s="1380">
        <f>SUM(BZ71:CC71)</f>
        <v>-75.105000000000004</v>
      </c>
      <c r="CE71" s="1372">
        <f t="shared" si="181"/>
        <v>0</v>
      </c>
      <c r="CF71" s="1304">
        <f t="shared" si="182"/>
        <v>0</v>
      </c>
      <c r="CG71" s="715">
        <f t="shared" si="183"/>
        <v>0</v>
      </c>
      <c r="CH71" s="715">
        <f t="shared" si="183"/>
        <v>0</v>
      </c>
      <c r="CI71" s="1380">
        <f>SUM(CE71:CH71)</f>
        <v>0</v>
      </c>
      <c r="CJ71" s="1255">
        <f t="shared" si="185"/>
        <v>0</v>
      </c>
      <c r="CK71" s="721">
        <f t="shared" si="186"/>
        <v>0</v>
      </c>
      <c r="CL71" s="721">
        <f t="shared" si="186"/>
        <v>0</v>
      </c>
      <c r="CM71" s="721">
        <f t="shared" si="186"/>
        <v>0</v>
      </c>
      <c r="CN71" s="966">
        <f>SUM(CJ71:CM71)</f>
        <v>0</v>
      </c>
      <c r="CO71" s="1255">
        <f t="shared" si="188"/>
        <v>0</v>
      </c>
      <c r="CP71" s="721">
        <f t="shared" si="189"/>
        <v>0</v>
      </c>
      <c r="CQ71" s="721">
        <f t="shared" si="190"/>
        <v>0</v>
      </c>
      <c r="CR71" s="721">
        <f t="shared" si="191"/>
        <v>0</v>
      </c>
      <c r="CS71" s="966">
        <f>SUM(CO71:CR71)</f>
        <v>0</v>
      </c>
      <c r="CT71" s="1255">
        <f t="shared" si="193"/>
        <v>0</v>
      </c>
      <c r="CU71" s="721">
        <f t="shared" si="194"/>
        <v>0</v>
      </c>
      <c r="CV71" s="721">
        <f t="shared" si="195"/>
        <v>0</v>
      </c>
      <c r="CW71" s="721">
        <f t="shared" si="196"/>
        <v>0</v>
      </c>
      <c r="CX71" s="966">
        <f>SUM(CT71:CW71)</f>
        <v>0</v>
      </c>
      <c r="CZ71" s="697"/>
      <c r="DA71" s="769"/>
      <c r="DB71" s="697"/>
      <c r="DC71" s="686"/>
    </row>
    <row r="72" spans="1:107" ht="10.5" customHeight="1">
      <c r="A72" s="699" t="s">
        <v>766</v>
      </c>
      <c r="B72" s="699"/>
      <c r="C72" s="715">
        <f t="shared" si="136"/>
        <v>0</v>
      </c>
      <c r="D72" s="715">
        <f t="shared" si="137"/>
        <v>0</v>
      </c>
      <c r="E72" s="715">
        <f t="shared" si="137"/>
        <v>0</v>
      </c>
      <c r="F72" s="715">
        <f t="shared" si="137"/>
        <v>92.887</v>
      </c>
      <c r="G72" s="705">
        <f>SUM(C72:F72)</f>
        <v>92.887</v>
      </c>
      <c r="H72" s="715">
        <f t="shared" si="139"/>
        <v>-4.5329999999999995</v>
      </c>
      <c r="I72" s="715">
        <f t="shared" si="140"/>
        <v>13.728</v>
      </c>
      <c r="J72" s="715">
        <f t="shared" si="140"/>
        <v>4.1980000000000004</v>
      </c>
      <c r="K72" s="715">
        <f t="shared" si="140"/>
        <v>3.791999999999998</v>
      </c>
      <c r="L72" s="768">
        <f t="shared" si="198"/>
        <v>17.184999999999999</v>
      </c>
      <c r="M72" s="715">
        <f t="shared" si="141"/>
        <v>6.6929999999999996</v>
      </c>
      <c r="N72" s="715">
        <f t="shared" si="142"/>
        <v>3.5649999999999995</v>
      </c>
      <c r="O72" s="715">
        <f t="shared" si="142"/>
        <v>2.9960000000000022</v>
      </c>
      <c r="P72" s="715">
        <f t="shared" si="142"/>
        <v>-0.37900000000000134</v>
      </c>
      <c r="Q72" s="705">
        <f t="shared" si="199"/>
        <v>12.875</v>
      </c>
      <c r="R72" s="715">
        <f t="shared" si="143"/>
        <v>1.0309999999999999</v>
      </c>
      <c r="S72" s="715">
        <f t="shared" si="144"/>
        <v>-1.4289999999999998</v>
      </c>
      <c r="T72" s="715">
        <f t="shared" si="144"/>
        <v>2.0430000000000001</v>
      </c>
      <c r="U72" s="715">
        <f t="shared" si="144"/>
        <v>-4.1509999999999998</v>
      </c>
      <c r="V72" s="705">
        <f t="shared" si="200"/>
        <v>-2.5059999999999993</v>
      </c>
      <c r="W72" s="715">
        <f t="shared" si="145"/>
        <v>1.554</v>
      </c>
      <c r="X72" s="715">
        <f t="shared" si="146"/>
        <v>2.7009999999999996</v>
      </c>
      <c r="Y72" s="715">
        <f t="shared" si="146"/>
        <v>2.0629999999999997</v>
      </c>
      <c r="Z72" s="715">
        <f t="shared" si="146"/>
        <v>-4.9959999999999996</v>
      </c>
      <c r="AA72" s="705">
        <f t="shared" si="201"/>
        <v>1.3220000000000001</v>
      </c>
      <c r="AB72" s="715">
        <f t="shared" si="147"/>
        <v>1.31</v>
      </c>
      <c r="AC72" s="715">
        <f t="shared" si="148"/>
        <v>5.4859999999999989</v>
      </c>
      <c r="AD72" s="715">
        <f t="shared" si="148"/>
        <v>5.2590000000000003</v>
      </c>
      <c r="AE72" s="715">
        <f t="shared" si="148"/>
        <v>-74.269000000000005</v>
      </c>
      <c r="AF72" s="705">
        <f t="shared" si="202"/>
        <v>-62.214000000000006</v>
      </c>
      <c r="AG72" s="715">
        <f t="shared" si="149"/>
        <v>-5.835</v>
      </c>
      <c r="AH72" s="715">
        <f t="shared" si="150"/>
        <v>-3.8120000000000003</v>
      </c>
      <c r="AI72" s="715">
        <f t="shared" si="150"/>
        <v>-0.58300000000000018</v>
      </c>
      <c r="AJ72" s="715">
        <f t="shared" si="150"/>
        <v>4.0579999999999998</v>
      </c>
      <c r="AK72" s="705">
        <f t="shared" si="203"/>
        <v>-6.1720000000000006</v>
      </c>
      <c r="AL72" s="715">
        <f t="shared" si="151"/>
        <v>-9.4930000000000003</v>
      </c>
      <c r="AM72" s="715">
        <f t="shared" si="152"/>
        <v>0.9139999999999997</v>
      </c>
      <c r="AN72" s="715">
        <f t="shared" si="152"/>
        <v>-1.1109999999999989</v>
      </c>
      <c r="AO72" s="715">
        <f t="shared" si="152"/>
        <v>-7.6869999999999994</v>
      </c>
      <c r="AP72" s="705">
        <f t="shared" si="153"/>
        <v>-17.376999999999999</v>
      </c>
      <c r="AQ72" s="715">
        <f t="shared" si="154"/>
        <v>15.784000000000001</v>
      </c>
      <c r="AR72" s="715">
        <f t="shared" si="155"/>
        <v>0.71400000000000041</v>
      </c>
      <c r="AS72" s="715">
        <f t="shared" si="155"/>
        <v>-3.1900000000000013</v>
      </c>
      <c r="AT72" s="715">
        <v>-1.6850000000000001</v>
      </c>
      <c r="AU72" s="705">
        <f t="shared" si="156"/>
        <v>11.622999999999999</v>
      </c>
      <c r="AV72" s="715">
        <f t="shared" si="157"/>
        <v>2.331</v>
      </c>
      <c r="AW72" s="715">
        <f t="shared" si="158"/>
        <v>9.891</v>
      </c>
      <c r="AX72" s="715">
        <f t="shared" si="158"/>
        <v>-3.4559999999999995</v>
      </c>
      <c r="AY72" s="715">
        <f t="shared" si="158"/>
        <v>2.7509999999999994</v>
      </c>
      <c r="AZ72" s="705">
        <f t="shared" si="159"/>
        <v>11.516999999999999</v>
      </c>
      <c r="BA72" s="715">
        <f t="shared" si="160"/>
        <v>-1.33</v>
      </c>
      <c r="BB72" s="1304">
        <f t="shared" si="161"/>
        <v>0.76300000000000012</v>
      </c>
      <c r="BC72" s="715">
        <f t="shared" si="161"/>
        <v>2.0289999999999999</v>
      </c>
      <c r="BD72" s="715">
        <f t="shared" si="161"/>
        <v>-5.8109999999999999</v>
      </c>
      <c r="BE72" s="705">
        <f t="shared" si="162"/>
        <v>-4.3490000000000002</v>
      </c>
      <c r="BF72" s="715">
        <f t="shared" si="163"/>
        <v>-3.1680000000000001</v>
      </c>
      <c r="BG72" s="1304">
        <f t="shared" si="164"/>
        <v>-4.2349999999999994</v>
      </c>
      <c r="BH72" s="1372">
        <f t="shared" si="164"/>
        <v>-0.85099999999999998</v>
      </c>
      <c r="BI72" s="715">
        <f t="shared" si="164"/>
        <v>-0.28100000000000058</v>
      </c>
      <c r="BJ72" s="705">
        <f>SUM(BF72:BI72)</f>
        <v>-8.5350000000000001</v>
      </c>
      <c r="BK72" s="715">
        <f t="shared" si="166"/>
        <v>-0.41799999999999998</v>
      </c>
      <c r="BL72" s="1304">
        <f t="shared" si="167"/>
        <v>28.15</v>
      </c>
      <c r="BM72" s="1372">
        <f t="shared" si="167"/>
        <v>2.8250000000000028</v>
      </c>
      <c r="BN72" s="753">
        <f t="shared" si="167"/>
        <v>-1.7410000000000032</v>
      </c>
      <c r="BO72" s="705">
        <f>SUM(BK72:BN72)</f>
        <v>28.815999999999999</v>
      </c>
      <c r="BP72" s="715">
        <f t="shared" si="169"/>
        <v>0.97499999999999998</v>
      </c>
      <c r="BQ72" s="1304">
        <f t="shared" si="170"/>
        <v>-0.35199999999999998</v>
      </c>
      <c r="BR72" s="1372">
        <f t="shared" si="170"/>
        <v>-0.57599999999999996</v>
      </c>
      <c r="BS72" s="1372">
        <f t="shared" si="170"/>
        <v>-0.121</v>
      </c>
      <c r="BT72" s="705">
        <f>SUM(BP72:BS72)</f>
        <v>-7.3999999999999955E-2</v>
      </c>
      <c r="BU72" s="715">
        <f t="shared" si="172"/>
        <v>-9.6869999999999994</v>
      </c>
      <c r="BV72" s="1304">
        <f t="shared" si="173"/>
        <v>-0.2759999999999998</v>
      </c>
      <c r="BW72" s="1372">
        <f t="shared" si="174"/>
        <v>1.4149999999999991</v>
      </c>
      <c r="BX72" s="1372">
        <f t="shared" si="175"/>
        <v>-22.076999999999998</v>
      </c>
      <c r="BY72" s="705">
        <f t="shared" si="176"/>
        <v>-30.625</v>
      </c>
      <c r="BZ72" s="1372">
        <f t="shared" si="177"/>
        <v>2.0470000000000002</v>
      </c>
      <c r="CA72" s="1304">
        <f t="shared" si="178"/>
        <v>3.3399999999999994</v>
      </c>
      <c r="CB72" s="715">
        <f t="shared" si="179"/>
        <v>-1.4709999999999996</v>
      </c>
      <c r="CC72" s="715">
        <f t="shared" si="179"/>
        <v>-0.77099999999999991</v>
      </c>
      <c r="CD72" s="1380">
        <f>SUM(BZ72:CC72)</f>
        <v>3.145</v>
      </c>
      <c r="CE72" s="1372">
        <f t="shared" si="181"/>
        <v>-1.0209999999999999</v>
      </c>
      <c r="CF72" s="1304">
        <f t="shared" si="182"/>
        <v>-1.5790000000000002</v>
      </c>
      <c r="CG72" s="715">
        <f t="shared" si="183"/>
        <v>-0.64299999999999979</v>
      </c>
      <c r="CH72" s="715">
        <f t="shared" si="183"/>
        <v>-2.2509999999999999</v>
      </c>
      <c r="CI72" s="1380">
        <f>SUM(CE72:CH72)</f>
        <v>-5.4939999999999998</v>
      </c>
      <c r="CJ72" s="1255">
        <f t="shared" si="185"/>
        <v>-0.92900000000000005</v>
      </c>
      <c r="CK72" s="721">
        <f t="shared" si="186"/>
        <v>0</v>
      </c>
      <c r="CL72" s="721">
        <f t="shared" si="186"/>
        <v>0</v>
      </c>
      <c r="CM72" s="721">
        <f t="shared" si="186"/>
        <v>0</v>
      </c>
      <c r="CN72" s="966">
        <f>SUM(CJ72:CM72)</f>
        <v>-0.92900000000000005</v>
      </c>
      <c r="CO72" s="1255">
        <f t="shared" si="188"/>
        <v>0</v>
      </c>
      <c r="CP72" s="721">
        <f t="shared" si="189"/>
        <v>0</v>
      </c>
      <c r="CQ72" s="721">
        <f t="shared" si="190"/>
        <v>0</v>
      </c>
      <c r="CR72" s="721">
        <f t="shared" si="191"/>
        <v>0</v>
      </c>
      <c r="CS72" s="966">
        <f>SUM(CO72:CR72)</f>
        <v>0</v>
      </c>
      <c r="CT72" s="1255">
        <f t="shared" si="193"/>
        <v>0</v>
      </c>
      <c r="CU72" s="721">
        <f t="shared" si="194"/>
        <v>0</v>
      </c>
      <c r="CV72" s="721">
        <f t="shared" si="195"/>
        <v>0</v>
      </c>
      <c r="CW72" s="721">
        <f t="shared" si="196"/>
        <v>0</v>
      </c>
      <c r="CX72" s="966">
        <f>SUM(CT72:CW72)</f>
        <v>0</v>
      </c>
      <c r="CZ72" s="697"/>
      <c r="DA72" s="769"/>
      <c r="DB72" s="697"/>
      <c r="DC72" s="686"/>
    </row>
    <row r="73" spans="1:107" ht="10.5" customHeight="1">
      <c r="A73" s="699" t="s">
        <v>626</v>
      </c>
      <c r="B73" s="699"/>
      <c r="C73" s="715">
        <f t="shared" si="136"/>
        <v>0</v>
      </c>
      <c r="D73" s="715">
        <f t="shared" si="137"/>
        <v>0</v>
      </c>
      <c r="E73" s="715">
        <f t="shared" si="137"/>
        <v>0</v>
      </c>
      <c r="F73" s="715">
        <f t="shared" si="137"/>
        <v>0</v>
      </c>
      <c r="G73" s="705">
        <f>SUM(C73:F73)</f>
        <v>0</v>
      </c>
      <c r="H73" s="715">
        <f t="shared" si="139"/>
        <v>0</v>
      </c>
      <c r="I73" s="715">
        <f t="shared" si="140"/>
        <v>0</v>
      </c>
      <c r="J73" s="715">
        <f t="shared" si="140"/>
        <v>0</v>
      </c>
      <c r="K73" s="715">
        <f t="shared" si="140"/>
        <v>0</v>
      </c>
      <c r="L73" s="705">
        <f t="shared" si="198"/>
        <v>0</v>
      </c>
      <c r="M73" s="715">
        <f t="shared" si="141"/>
        <v>0</v>
      </c>
      <c r="N73" s="715">
        <f t="shared" si="142"/>
        <v>0</v>
      </c>
      <c r="O73" s="715">
        <f t="shared" si="142"/>
        <v>-0.439</v>
      </c>
      <c r="P73" s="715">
        <f t="shared" si="142"/>
        <v>-0.10500000000000004</v>
      </c>
      <c r="Q73" s="705">
        <f t="shared" si="199"/>
        <v>-0.54400000000000004</v>
      </c>
      <c r="R73" s="715">
        <f t="shared" si="143"/>
        <v>0</v>
      </c>
      <c r="S73" s="715">
        <f t="shared" si="144"/>
        <v>0</v>
      </c>
      <c r="T73" s="715">
        <f t="shared" si="144"/>
        <v>0</v>
      </c>
      <c r="U73" s="715">
        <f t="shared" si="144"/>
        <v>0.80400000000000005</v>
      </c>
      <c r="V73" s="705">
        <f t="shared" si="200"/>
        <v>0.80400000000000005</v>
      </c>
      <c r="W73" s="715">
        <f t="shared" si="145"/>
        <v>0</v>
      </c>
      <c r="X73" s="715">
        <f t="shared" si="146"/>
        <v>0</v>
      </c>
      <c r="Y73" s="715">
        <f t="shared" si="146"/>
        <v>0</v>
      </c>
      <c r="Z73" s="715">
        <f t="shared" si="146"/>
        <v>1.093</v>
      </c>
      <c r="AA73" s="705">
        <f t="shared" si="201"/>
        <v>1.093</v>
      </c>
      <c r="AB73" s="715">
        <f t="shared" si="147"/>
        <v>18.984000000000002</v>
      </c>
      <c r="AC73" s="715">
        <f t="shared" si="148"/>
        <v>0</v>
      </c>
      <c r="AD73" s="715">
        <f t="shared" si="148"/>
        <v>-18.984000000000002</v>
      </c>
      <c r="AE73" s="715">
        <f t="shared" si="148"/>
        <v>0</v>
      </c>
      <c r="AF73" s="705">
        <f t="shared" si="202"/>
        <v>0</v>
      </c>
      <c r="AG73" s="715">
        <f t="shared" si="149"/>
        <v>0.16300000000000001</v>
      </c>
      <c r="AH73" s="715">
        <f t="shared" si="150"/>
        <v>-0.16300000000000001</v>
      </c>
      <c r="AI73" s="715">
        <f t="shared" si="150"/>
        <v>0</v>
      </c>
      <c r="AJ73" s="715">
        <f t="shared" si="150"/>
        <v>0</v>
      </c>
      <c r="AK73" s="705">
        <f t="shared" si="203"/>
        <v>0</v>
      </c>
      <c r="AL73" s="715">
        <f t="shared" si="151"/>
        <v>3.1469999999999998</v>
      </c>
      <c r="AM73" s="715">
        <f t="shared" si="152"/>
        <v>-10.914</v>
      </c>
      <c r="AN73" s="715">
        <f t="shared" si="152"/>
        <v>14.531000000000001</v>
      </c>
      <c r="AO73" s="715">
        <f t="shared" si="152"/>
        <v>-1.9800000000000004</v>
      </c>
      <c r="AP73" s="705">
        <f t="shared" si="153"/>
        <v>4.7840000000000007</v>
      </c>
      <c r="AQ73" s="715">
        <f t="shared" si="154"/>
        <v>7.4250000000000007</v>
      </c>
      <c r="AR73" s="715">
        <f t="shared" si="155"/>
        <v>-6.3590000000000009</v>
      </c>
      <c r="AS73" s="715">
        <f t="shared" si="155"/>
        <v>4.8330000000000002</v>
      </c>
      <c r="AT73" s="715">
        <v>0</v>
      </c>
      <c r="AU73" s="705">
        <f t="shared" si="156"/>
        <v>5.899</v>
      </c>
      <c r="AV73" s="715">
        <f t="shared" si="157"/>
        <v>5.1550000000000002</v>
      </c>
      <c r="AW73" s="715">
        <f t="shared" si="158"/>
        <v>16.003</v>
      </c>
      <c r="AX73" s="715">
        <f t="shared" si="158"/>
        <v>0</v>
      </c>
      <c r="AY73" s="715">
        <f t="shared" si="158"/>
        <v>0</v>
      </c>
      <c r="AZ73" s="705">
        <f t="shared" si="159"/>
        <v>21.158000000000001</v>
      </c>
      <c r="BA73" s="715">
        <f t="shared" si="160"/>
        <v>2.7029999999999998</v>
      </c>
      <c r="BB73" s="1304">
        <f t="shared" si="161"/>
        <v>8.011000000000001</v>
      </c>
      <c r="BC73" s="715">
        <f t="shared" si="161"/>
        <v>6.3950000000000014</v>
      </c>
      <c r="BD73" s="715">
        <f t="shared" si="161"/>
        <v>22.222999999999999</v>
      </c>
      <c r="BE73" s="705">
        <f t="shared" si="162"/>
        <v>39.332000000000001</v>
      </c>
      <c r="BF73" s="715">
        <f t="shared" si="163"/>
        <v>-6.65</v>
      </c>
      <c r="BG73" s="1304">
        <f t="shared" si="164"/>
        <v>-6.927999999999999</v>
      </c>
      <c r="BH73" s="1372">
        <f t="shared" si="164"/>
        <v>-9.4060000000000024</v>
      </c>
      <c r="BI73" s="715">
        <f t="shared" si="164"/>
        <v>10.439000000000002</v>
      </c>
      <c r="BJ73" s="705">
        <f>SUM(BF73:BI73)</f>
        <v>-12.545</v>
      </c>
      <c r="BK73" s="715">
        <f t="shared" si="166"/>
        <v>-4.6470000000000002</v>
      </c>
      <c r="BL73" s="1304">
        <f t="shared" si="167"/>
        <v>-4.5440000000000005</v>
      </c>
      <c r="BM73" s="1372">
        <f t="shared" si="167"/>
        <v>-5.0229999999999997</v>
      </c>
      <c r="BN73" s="753">
        <f t="shared" si="167"/>
        <v>45.158000000000001</v>
      </c>
      <c r="BO73" s="705">
        <f>SUM(BK73:BN73)</f>
        <v>30.944000000000003</v>
      </c>
      <c r="BP73" s="715">
        <f t="shared" si="169"/>
        <v>-0.71899999999999997</v>
      </c>
      <c r="BQ73" s="1304">
        <f t="shared" si="170"/>
        <v>5.0940000000000003</v>
      </c>
      <c r="BR73" s="1372">
        <f t="shared" si="170"/>
        <v>-3.5460000000000003</v>
      </c>
      <c r="BS73" s="1372">
        <f t="shared" si="170"/>
        <v>1.06</v>
      </c>
      <c r="BT73" s="705">
        <f>SUM(BP73:BS73)</f>
        <v>1.8889999999999998</v>
      </c>
      <c r="BU73" s="715">
        <f t="shared" si="172"/>
        <v>-1.2410000000000001</v>
      </c>
      <c r="BV73" s="1304">
        <f t="shared" si="173"/>
        <v>0.53900000000000015</v>
      </c>
      <c r="BW73" s="1372">
        <f t="shared" si="174"/>
        <v>0.96199999999999997</v>
      </c>
      <c r="BX73" s="1372">
        <f t="shared" si="175"/>
        <v>0.95599999999999996</v>
      </c>
      <c r="BY73" s="705">
        <f t="shared" si="176"/>
        <v>1.216</v>
      </c>
      <c r="BZ73" s="1372">
        <f t="shared" si="177"/>
        <v>-1.42</v>
      </c>
      <c r="CA73" s="1304">
        <f t="shared" si="178"/>
        <v>0.54499999999999993</v>
      </c>
      <c r="CB73" s="715">
        <f t="shared" si="179"/>
        <v>0.751</v>
      </c>
      <c r="CC73" s="715">
        <f t="shared" si="179"/>
        <v>2.1459999999999999</v>
      </c>
      <c r="CD73" s="1380">
        <f>SUM(BZ73:CC73)</f>
        <v>2.0219999999999998</v>
      </c>
      <c r="CE73" s="1372">
        <f t="shared" si="181"/>
        <v>0.115</v>
      </c>
      <c r="CF73" s="1304">
        <f t="shared" si="182"/>
        <v>1.3660000000000001</v>
      </c>
      <c r="CG73" s="715">
        <f t="shared" si="183"/>
        <v>1.1249999999999998</v>
      </c>
      <c r="CH73" s="715">
        <f t="shared" si="183"/>
        <v>2.0190000000000001</v>
      </c>
      <c r="CI73" s="1380">
        <f>SUM(CE73:CH73)</f>
        <v>4.625</v>
      </c>
      <c r="CJ73" s="1255">
        <f t="shared" si="185"/>
        <v>0</v>
      </c>
      <c r="CK73" s="721">
        <f t="shared" si="186"/>
        <v>0</v>
      </c>
      <c r="CL73" s="721">
        <f t="shared" si="186"/>
        <v>0</v>
      </c>
      <c r="CM73" s="721">
        <f t="shared" si="186"/>
        <v>0</v>
      </c>
      <c r="CN73" s="966">
        <f>SUM(CJ73:CM73)</f>
        <v>0</v>
      </c>
      <c r="CO73" s="1255">
        <f t="shared" si="188"/>
        <v>0</v>
      </c>
      <c r="CP73" s="721">
        <f t="shared" si="189"/>
        <v>0</v>
      </c>
      <c r="CQ73" s="721">
        <f t="shared" si="190"/>
        <v>0</v>
      </c>
      <c r="CR73" s="721">
        <f t="shared" si="191"/>
        <v>0</v>
      </c>
      <c r="CS73" s="966">
        <f>SUM(CO73:CR73)</f>
        <v>0</v>
      </c>
      <c r="CT73" s="1255">
        <f t="shared" si="193"/>
        <v>0</v>
      </c>
      <c r="CU73" s="721">
        <f t="shared" si="194"/>
        <v>0</v>
      </c>
      <c r="CV73" s="721">
        <f t="shared" si="195"/>
        <v>0</v>
      </c>
      <c r="CW73" s="721">
        <f t="shared" si="196"/>
        <v>0</v>
      </c>
      <c r="CX73" s="966">
        <f>SUM(CT73:CW73)</f>
        <v>0</v>
      </c>
      <c r="CZ73" s="697"/>
      <c r="DA73" s="769"/>
      <c r="DB73" s="697"/>
      <c r="DC73" s="686"/>
    </row>
    <row r="74" spans="1:107" ht="10.5" hidden="1" customHeight="1" outlineLevel="1">
      <c r="A74" s="699" t="s">
        <v>768</v>
      </c>
      <c r="B74" s="699"/>
      <c r="C74" s="715">
        <f t="shared" si="136"/>
        <v>0</v>
      </c>
      <c r="D74" s="715">
        <f t="shared" si="137"/>
        <v>0</v>
      </c>
      <c r="E74" s="715">
        <f t="shared" si="137"/>
        <v>0</v>
      </c>
      <c r="F74" s="715">
        <f t="shared" si="137"/>
        <v>16.273</v>
      </c>
      <c r="G74" s="705">
        <f t="shared" ref="G74:G84" si="204">SUM(C74:F74)</f>
        <v>16.273</v>
      </c>
      <c r="H74" s="715">
        <f t="shared" si="139"/>
        <v>-21.495000000000001</v>
      </c>
      <c r="I74" s="715">
        <f t="shared" si="140"/>
        <v>12.071000000000002</v>
      </c>
      <c r="J74" s="715">
        <f t="shared" si="140"/>
        <v>-9.277000000000001</v>
      </c>
      <c r="K74" s="715">
        <f t="shared" si="140"/>
        <v>24.611000000000001</v>
      </c>
      <c r="L74" s="705">
        <f>SUM(H74:K74)</f>
        <v>5.91</v>
      </c>
      <c r="M74" s="715">
        <f t="shared" si="141"/>
        <v>-12.56</v>
      </c>
      <c r="N74" s="715">
        <f t="shared" si="142"/>
        <v>-0.41499999999999915</v>
      </c>
      <c r="O74" s="715">
        <f t="shared" si="142"/>
        <v>17.552</v>
      </c>
      <c r="P74" s="715">
        <f t="shared" si="142"/>
        <v>-33.725000000000001</v>
      </c>
      <c r="Q74" s="705">
        <f>SUM(M74:P74)</f>
        <v>-29.148000000000003</v>
      </c>
      <c r="R74" s="715">
        <f t="shared" si="143"/>
        <v>21.166</v>
      </c>
      <c r="S74" s="715">
        <f t="shared" si="144"/>
        <v>12.098000000000003</v>
      </c>
      <c r="T74" s="715">
        <f t="shared" si="144"/>
        <v>6.2539999999999978</v>
      </c>
      <c r="U74" s="715">
        <f t="shared" si="144"/>
        <v>-30.297000000000001</v>
      </c>
      <c r="V74" s="705">
        <f>SUM(R74:U74)</f>
        <v>9.2210000000000001</v>
      </c>
      <c r="W74" s="715">
        <f t="shared" si="145"/>
        <v>1.6739999999999999</v>
      </c>
      <c r="X74" s="715">
        <f t="shared" si="146"/>
        <v>-41.732999999999997</v>
      </c>
      <c r="Y74" s="715">
        <f t="shared" si="146"/>
        <v>11.962999999999997</v>
      </c>
      <c r="Z74" s="715">
        <f t="shared" si="146"/>
        <v>-7.995000000000001</v>
      </c>
      <c r="AA74" s="705">
        <f>SUM(W74:Z74)</f>
        <v>-36.091000000000001</v>
      </c>
      <c r="AB74" s="715">
        <f t="shared" si="147"/>
        <v>-40.326999999999998</v>
      </c>
      <c r="AC74" s="715">
        <f t="shared" si="148"/>
        <v>2.4949999999999974</v>
      </c>
      <c r="AD74" s="715">
        <f t="shared" si="148"/>
        <v>2.429000000000002</v>
      </c>
      <c r="AE74" s="715">
        <f t="shared" si="148"/>
        <v>-78.358000000000004</v>
      </c>
      <c r="AF74" s="705">
        <f>SUM(AB74:AE74)</f>
        <v>-113.761</v>
      </c>
      <c r="AG74" s="715">
        <f t="shared" si="149"/>
        <v>53.484000000000002</v>
      </c>
      <c r="AH74" s="715">
        <f t="shared" si="150"/>
        <v>-12.844999999999999</v>
      </c>
      <c r="AI74" s="715">
        <f t="shared" si="150"/>
        <v>54.264000000000003</v>
      </c>
      <c r="AJ74" s="715">
        <f t="shared" si="150"/>
        <v>-57.191999999999993</v>
      </c>
      <c r="AK74" s="705">
        <f>SUM(AG74:AJ74)</f>
        <v>37.711000000000013</v>
      </c>
      <c r="AL74" s="715">
        <f t="shared" si="151"/>
        <v>11.343</v>
      </c>
      <c r="AM74" s="715">
        <f t="shared" si="152"/>
        <v>-42.926000000000002</v>
      </c>
      <c r="AN74" s="715">
        <f t="shared" si="152"/>
        <v>-64.816000000000003</v>
      </c>
      <c r="AO74" s="715">
        <f t="shared" si="152"/>
        <v>-56.986999999999995</v>
      </c>
      <c r="AP74" s="705">
        <f>SUM(AL74:AO74)</f>
        <v>-153.386</v>
      </c>
      <c r="AQ74" s="715">
        <f t="shared" si="154"/>
        <v>164.48400000000001</v>
      </c>
      <c r="AR74" s="715">
        <f t="shared" si="155"/>
        <v>36.870000000000005</v>
      </c>
      <c r="AS74" s="715">
        <f t="shared" si="155"/>
        <v>-18.977000000000004</v>
      </c>
      <c r="AT74" s="715">
        <f>IF(AT20="-","-",SUM(AT20)-SUM(AS20))</f>
        <v>-129.072</v>
      </c>
      <c r="AU74" s="705">
        <f>SUM(AQ74:AT74)</f>
        <v>53.305000000000007</v>
      </c>
      <c r="AV74" s="715">
        <f t="shared" si="157"/>
        <v>59.600999999999999</v>
      </c>
      <c r="AW74" s="715">
        <f t="shared" si="158"/>
        <v>-87.6</v>
      </c>
      <c r="AX74" s="715">
        <f t="shared" si="158"/>
        <v>-88.574000000000041</v>
      </c>
      <c r="AY74" s="715">
        <f t="shared" si="158"/>
        <v>-69.777999999999963</v>
      </c>
      <c r="AZ74" s="705">
        <f>SUM(AV74:AY74)</f>
        <v>-186.351</v>
      </c>
      <c r="BA74" s="715">
        <f t="shared" si="160"/>
        <v>20.605</v>
      </c>
      <c r="BB74" s="1304">
        <f t="shared" si="161"/>
        <v>-36.637</v>
      </c>
      <c r="BC74" s="715">
        <f t="shared" si="161"/>
        <v>7.7100000000000009</v>
      </c>
      <c r="BD74" s="715">
        <f t="shared" si="161"/>
        <v>-72.742999999999995</v>
      </c>
      <c r="BE74" s="705">
        <f>SUM(BA74:BD74)</f>
        <v>-81.064999999999998</v>
      </c>
      <c r="BF74" s="715">
        <f t="shared" si="163"/>
        <v>152.721</v>
      </c>
      <c r="BG74" s="1304">
        <f t="shared" si="164"/>
        <v>-18.063000000000017</v>
      </c>
      <c r="BH74" s="1372">
        <f t="shared" si="164"/>
        <v>-38.922999999999988</v>
      </c>
      <c r="BI74" s="715">
        <f t="shared" si="164"/>
        <v>-50.569000000000003</v>
      </c>
      <c r="BJ74" s="705">
        <f>SUM(BF74:BI74)</f>
        <v>45.165999999999997</v>
      </c>
      <c r="BK74" s="715">
        <f t="shared" si="166"/>
        <v>131.511</v>
      </c>
      <c r="BL74" s="1304">
        <f t="shared" si="167"/>
        <v>16.328000000000003</v>
      </c>
      <c r="BM74" s="1372">
        <f t="shared" si="167"/>
        <v>-35.823999999999998</v>
      </c>
      <c r="BN74" s="753">
        <f t="shared" si="167"/>
        <v>-78.366</v>
      </c>
      <c r="BO74" s="705">
        <f>SUM(BK74:BN74)</f>
        <v>33.649000000000001</v>
      </c>
      <c r="BP74" s="715">
        <f t="shared" si="169"/>
        <v>90.492000000000004</v>
      </c>
      <c r="BQ74" s="1304">
        <f t="shared" si="170"/>
        <v>-21.155000000000001</v>
      </c>
      <c r="BR74" s="1372">
        <f t="shared" si="170"/>
        <v>2.6359999999999957</v>
      </c>
      <c r="BS74" s="1372">
        <f t="shared" si="170"/>
        <v>-64.045000000000002</v>
      </c>
      <c r="BT74" s="705">
        <f>SUM(BP74:BS74)</f>
        <v>7.9279999999999973</v>
      </c>
      <c r="BU74" s="715">
        <f t="shared" si="172"/>
        <v>62.058</v>
      </c>
      <c r="BV74" s="1304">
        <f t="shared" si="173"/>
        <v>29.208999999999996</v>
      </c>
      <c r="BW74" s="1372">
        <f t="shared" si="174"/>
        <v>-91.370999999999995</v>
      </c>
      <c r="BX74" s="1372">
        <f t="shared" si="175"/>
        <v>-79.397999999999996</v>
      </c>
      <c r="BY74" s="705">
        <f t="shared" si="176"/>
        <v>-79.501999999999995</v>
      </c>
      <c r="BZ74" s="1372">
        <f t="shared" si="177"/>
        <v>74.274000000000001</v>
      </c>
      <c r="CA74" s="1304">
        <f t="shared" si="178"/>
        <v>-65.652000000000001</v>
      </c>
      <c r="CB74" s="715">
        <f t="shared" si="179"/>
        <v>-65.655000000000001</v>
      </c>
      <c r="CC74" s="715">
        <f t="shared" si="179"/>
        <v>-103.383</v>
      </c>
      <c r="CD74" s="1380">
        <f>SUM(BZ74:CC74)</f>
        <v>-160.416</v>
      </c>
      <c r="CE74" s="1372">
        <f t="shared" si="181"/>
        <v>184.25</v>
      </c>
      <c r="CF74" s="1304">
        <f t="shared" si="182"/>
        <v>-51.974999999999994</v>
      </c>
      <c r="CG74" s="715">
        <f>IF(CG20="-","-",SUM(CG20)-SUM(CF20))</f>
        <v>-105.81400000000001</v>
      </c>
      <c r="CH74" s="715">
        <f t="shared" si="183"/>
        <v>-213.63400000000001</v>
      </c>
      <c r="CI74" s="1380">
        <f>SUM(CE74:CH74)</f>
        <v>-187.173</v>
      </c>
      <c r="CJ74" s="1255">
        <f t="shared" si="185"/>
        <v>196.40750000000003</v>
      </c>
      <c r="CK74" s="721">
        <f t="shared" si="186"/>
        <v>4.0128293557372672</v>
      </c>
      <c r="CL74" s="721">
        <f t="shared" si="186"/>
        <v>-127.70195880337951</v>
      </c>
      <c r="CM74" s="721">
        <f t="shared" si="186"/>
        <v>-127.72023808087624</v>
      </c>
      <c r="CN74" s="966">
        <f>SUM(CJ74:CM74)</f>
        <v>-55.00186752851846</v>
      </c>
      <c r="CO74" s="1255">
        <f t="shared" si="188"/>
        <v>52.306510198202886</v>
      </c>
      <c r="CP74" s="721">
        <f t="shared" si="189"/>
        <v>10.384944223832463</v>
      </c>
      <c r="CQ74" s="721">
        <f t="shared" si="190"/>
        <v>-153.55050708337421</v>
      </c>
      <c r="CR74" s="721">
        <f t="shared" si="191"/>
        <v>-150.39036200840997</v>
      </c>
      <c r="CS74" s="966">
        <f>SUM(CO74:CR74)</f>
        <v>-241.24941466974883</v>
      </c>
      <c r="CT74" s="1255">
        <f t="shared" si="193"/>
        <v>70.685468924028328</v>
      </c>
      <c r="CU74" s="721">
        <f t="shared" si="194"/>
        <v>22.523553025938554</v>
      </c>
      <c r="CV74" s="721">
        <f t="shared" si="195"/>
        <v>-166.79185413695518</v>
      </c>
      <c r="CW74" s="721">
        <f t="shared" si="196"/>
        <v>-161.08423767381714</v>
      </c>
      <c r="CX74" s="966">
        <f>SUM(CT74:CW74)</f>
        <v>-234.66706986080544</v>
      </c>
      <c r="CZ74" s="697"/>
      <c r="DA74" s="769"/>
      <c r="DB74" s="697"/>
      <c r="DC74" s="686"/>
    </row>
    <row r="75" spans="1:107" ht="10.5" hidden="1" customHeight="1" outlineLevel="1">
      <c r="A75" s="699" t="s">
        <v>627</v>
      </c>
      <c r="B75" s="699"/>
      <c r="C75" s="715">
        <f>C22</f>
        <v>0</v>
      </c>
      <c r="D75" s="715">
        <f t="shared" ref="D75:F76" si="205">IF(D22="-","-",SUM(D22)-SUM(C22))</f>
        <v>0</v>
      </c>
      <c r="E75" s="715">
        <f t="shared" si="205"/>
        <v>0</v>
      </c>
      <c r="F75" s="715">
        <f t="shared" si="205"/>
        <v>-9.3889999999999993</v>
      </c>
      <c r="G75" s="705">
        <f t="shared" si="204"/>
        <v>-9.3889999999999993</v>
      </c>
      <c r="H75" s="715">
        <f>H22</f>
        <v>3.552</v>
      </c>
      <c r="I75" s="715">
        <f t="shared" ref="I75:K76" si="206">IF(I22="-","-",SUM(I22)-SUM(H22))</f>
        <v>-9.8819999999999997</v>
      </c>
      <c r="J75" s="715">
        <f t="shared" si="206"/>
        <v>-0.84400000000000031</v>
      </c>
      <c r="K75" s="715">
        <f t="shared" si="206"/>
        <v>4.8970000000000002</v>
      </c>
      <c r="L75" s="705">
        <f>SUM(H75:K75)</f>
        <v>-2.2770000000000001</v>
      </c>
      <c r="M75" s="715">
        <f>M22</f>
        <v>-3.5739999999999998</v>
      </c>
      <c r="N75" s="715">
        <f t="shared" ref="N75:P76" si="207">IF(N22="-","-",SUM(N22)-SUM(M22))</f>
        <v>7.1150000000000002</v>
      </c>
      <c r="O75" s="715">
        <f t="shared" si="207"/>
        <v>-9.2360000000000007</v>
      </c>
      <c r="P75" s="715">
        <f t="shared" si="207"/>
        <v>5.367</v>
      </c>
      <c r="Q75" s="705">
        <f>SUM(M75:P75)</f>
        <v>-0.32800000000000029</v>
      </c>
      <c r="R75" s="715">
        <f>R22</f>
        <v>-1.839</v>
      </c>
      <c r="S75" s="715">
        <f t="shared" ref="S75:U76" si="208">IF(S22="-","-",SUM(S22)-SUM(R22))</f>
        <v>-2.4650000000000003</v>
      </c>
      <c r="T75" s="715">
        <f t="shared" si="208"/>
        <v>3.5280000000000005</v>
      </c>
      <c r="U75" s="715">
        <f t="shared" si="208"/>
        <v>6.5309999999999997</v>
      </c>
      <c r="V75" s="705">
        <f>SUM(R75:U75)</f>
        <v>5.7549999999999999</v>
      </c>
      <c r="W75" s="715">
        <f>W22</f>
        <v>-4.923</v>
      </c>
      <c r="X75" s="715">
        <f t="shared" ref="X75:Z76" si="209">IF(X22="-","-",SUM(X22)-SUM(W22))</f>
        <v>0.14200000000000035</v>
      </c>
      <c r="Y75" s="715">
        <f t="shared" si="209"/>
        <v>-1.2890000000000006</v>
      </c>
      <c r="Z75" s="715">
        <f t="shared" si="209"/>
        <v>3.6140000000000003</v>
      </c>
      <c r="AA75" s="705">
        <f>SUM(W75:Z75)</f>
        <v>-2.456</v>
      </c>
      <c r="AB75" s="715">
        <f>AB22</f>
        <v>8.1959999999999997</v>
      </c>
      <c r="AC75" s="715">
        <f t="shared" ref="AC75:AE76" si="210">IF(AC22="-","-",SUM(AC22)-SUM(AB22))</f>
        <v>-1.8550000000000004</v>
      </c>
      <c r="AD75" s="715">
        <f t="shared" si="210"/>
        <v>-10.856999999999999</v>
      </c>
      <c r="AE75" s="715">
        <f t="shared" si="210"/>
        <v>16.407</v>
      </c>
      <c r="AF75" s="705">
        <f>SUM(AB75:AE75)</f>
        <v>11.891</v>
      </c>
      <c r="AG75" s="715">
        <f>AG22</f>
        <v>-8.4550000000000001</v>
      </c>
      <c r="AH75" s="715">
        <f t="shared" ref="AH75:AJ76" si="211">IF(AH22="-","-",SUM(AH22)-SUM(AG22))</f>
        <v>8.1650000000000009</v>
      </c>
      <c r="AI75" s="715">
        <f t="shared" si="211"/>
        <v>9.3419999999999987</v>
      </c>
      <c r="AJ75" s="715">
        <f t="shared" si="211"/>
        <v>2.4930000000000163</v>
      </c>
      <c r="AK75" s="705">
        <f>SUM(AG75:AJ75)</f>
        <v>11.545000000000016</v>
      </c>
      <c r="AL75" s="715">
        <f>AL22</f>
        <v>-4.8479999999999999</v>
      </c>
      <c r="AM75" s="715">
        <f t="shared" ref="AM75:AO76" si="212">IF(AM22="-","-",SUM(AM22)-SUM(AL22))</f>
        <v>-1.0579999999999998</v>
      </c>
      <c r="AN75" s="715">
        <f t="shared" si="212"/>
        <v>-4.7069999999999999</v>
      </c>
      <c r="AO75" s="715">
        <f t="shared" si="212"/>
        <v>24.690999999999999</v>
      </c>
      <c r="AP75" s="705">
        <f>SUM(AL75:AO75)</f>
        <v>14.077999999999999</v>
      </c>
      <c r="AQ75" s="715">
        <f>AQ22</f>
        <v>-14.423999999999999</v>
      </c>
      <c r="AR75" s="715">
        <f t="shared" ref="AR75:AT76" si="213">IF(AR22="-","-",SUM(AR22)-SUM(AQ22))</f>
        <v>0.84199999999999875</v>
      </c>
      <c r="AS75" s="715">
        <f t="shared" si="213"/>
        <v>6.1580000000000004</v>
      </c>
      <c r="AT75" s="715">
        <f t="shared" si="213"/>
        <v>10.488000000000007</v>
      </c>
      <c r="AU75" s="705">
        <f>SUM(AQ75:AT75)</f>
        <v>3.0640000000000063</v>
      </c>
      <c r="AV75" s="715">
        <f>AV22</f>
        <v>-14.715999999999999</v>
      </c>
      <c r="AW75" s="715">
        <f t="shared" ref="AW75:AY76" si="214">IF(AW22="-","-",SUM(AW22)-SUM(AV22))</f>
        <v>6.0849999999999991</v>
      </c>
      <c r="AX75" s="715">
        <f t="shared" si="214"/>
        <v>6.0850000000000009</v>
      </c>
      <c r="AY75" s="715">
        <f t="shared" si="214"/>
        <v>-4.0330000000000013</v>
      </c>
      <c r="AZ75" s="705">
        <f>SUM(AV75:AY75)</f>
        <v>-6.5790000000000006</v>
      </c>
      <c r="BA75" s="715">
        <f>BA22</f>
        <v>2.31</v>
      </c>
      <c r="BB75" s="1304">
        <f t="shared" ref="BB75:BD76" si="215">IF(BB22="-","-",SUM(BB22)-SUM(BA22))</f>
        <v>5.7910000000000004</v>
      </c>
      <c r="BC75" s="715">
        <f t="shared" si="215"/>
        <v>4.2459999999999987</v>
      </c>
      <c r="BD75" s="715">
        <f t="shared" si="215"/>
        <v>19.856000000000002</v>
      </c>
      <c r="BE75" s="705">
        <f>SUM(BA75:BD75)</f>
        <v>32.203000000000003</v>
      </c>
      <c r="BF75" s="715">
        <f>BF22</f>
        <v>-42.542000000000002</v>
      </c>
      <c r="BG75" s="1304">
        <f t="shared" ref="BG75:BI76" si="216">IF(BG22="-","-",SUM(BG22)-SUM(BF22))</f>
        <v>-0.66100000000000136</v>
      </c>
      <c r="BH75" s="1372">
        <f t="shared" si="216"/>
        <v>-10.983999999999995</v>
      </c>
      <c r="BI75" s="715">
        <f t="shared" si="216"/>
        <v>-8.6870000000000047</v>
      </c>
      <c r="BJ75" s="705">
        <f>SUM(BF75:BI75)</f>
        <v>-62.874000000000002</v>
      </c>
      <c r="BK75" s="715">
        <f>BK22</f>
        <v>22.477</v>
      </c>
      <c r="BL75" s="1304">
        <f t="shared" ref="BL75:BN76" si="217">IF(BL22="-","-",SUM(BL22)-SUM(BK22))</f>
        <v>-19.04</v>
      </c>
      <c r="BM75" s="1372">
        <f t="shared" si="217"/>
        <v>12.669000000000002</v>
      </c>
      <c r="BN75" s="753">
        <f t="shared" si="217"/>
        <v>-8.974000000000002</v>
      </c>
      <c r="BO75" s="705">
        <f>SUM(BK75:BN75)</f>
        <v>7.1319999999999997</v>
      </c>
      <c r="BP75" s="715">
        <f>BP22</f>
        <v>2.4119999999999999</v>
      </c>
      <c r="BQ75" s="1304">
        <f t="shared" ref="BQ75:BS76" si="218">IF(BQ22="-","-",SUM(BQ22)-SUM(BP22))</f>
        <v>-9.65</v>
      </c>
      <c r="BR75" s="1372">
        <f t="shared" si="218"/>
        <v>-1.0669999999999993</v>
      </c>
      <c r="BS75" s="1372">
        <f t="shared" si="218"/>
        <v>14.516</v>
      </c>
      <c r="BT75" s="705">
        <f>SUM(BP75:BS75)</f>
        <v>6.2110000000000003</v>
      </c>
      <c r="BU75" s="715">
        <f>BU22</f>
        <v>1.3680000000000001</v>
      </c>
      <c r="BV75" s="1304">
        <f t="shared" ref="BV75:BX76" si="219">IF(BV22="-","-",SUM(BV22)-SUM(BU22))</f>
        <v>-15.131</v>
      </c>
      <c r="BW75" s="1372">
        <f t="shared" si="219"/>
        <v>13.148999999999999</v>
      </c>
      <c r="BX75" s="1372">
        <f t="shared" si="219"/>
        <v>23.484000000000002</v>
      </c>
      <c r="BY75" s="705">
        <f t="shared" si="176"/>
        <v>22.87</v>
      </c>
      <c r="BZ75" s="1372">
        <f>BZ22</f>
        <v>-21.600999999999999</v>
      </c>
      <c r="CA75" s="1304">
        <f t="shared" ref="CA75:CC76" si="220">IF(CA22="-","-",SUM(CA22)-SUM(BZ22))</f>
        <v>2.8780000000000001</v>
      </c>
      <c r="CB75" s="715">
        <f t="shared" si="220"/>
        <v>7.8619999999999983</v>
      </c>
      <c r="CC75" s="715">
        <f t="shared" si="220"/>
        <v>4.580000000000001</v>
      </c>
      <c r="CD75" s="1380">
        <f>SUM(BZ75:CC75)</f>
        <v>-6.2809999999999997</v>
      </c>
      <c r="CE75" s="1372">
        <f>CE22</f>
        <v>32.816000000000003</v>
      </c>
      <c r="CF75" s="1304">
        <f t="shared" ref="CF75:CF76" si="221">IF(CF22="-","-",SUM(CF22)-SUM(CE22))</f>
        <v>-113.63500000000001</v>
      </c>
      <c r="CG75" s="715">
        <f t="shared" ref="CG75:CH76" si="222">IF(CG22="-","-",SUM(CG22)-SUM(CF22))</f>
        <v>12.421999999999997</v>
      </c>
      <c r="CH75" s="715">
        <f t="shared" si="222"/>
        <v>23.211000000000006</v>
      </c>
      <c r="CI75" s="1380">
        <f>SUM(CE75:CH75)</f>
        <v>-45.186</v>
      </c>
      <c r="CJ75" s="1255">
        <f>CJ22</f>
        <v>17.552000000000007</v>
      </c>
      <c r="CK75" s="721">
        <f t="shared" ref="CK75:CM76" si="223">IF(CK22="-","-",SUM(CK22)-SUM(CJ22))</f>
        <v>-27.800829138542923</v>
      </c>
      <c r="CL75" s="721">
        <f t="shared" si="223"/>
        <v>16.98165572789658</v>
      </c>
      <c r="CM75" s="721">
        <f t="shared" si="223"/>
        <v>58.137538873474838</v>
      </c>
      <c r="CN75" s="966">
        <f>SUM(CJ75:CM75)</f>
        <v>64.870365462828502</v>
      </c>
      <c r="CO75" s="1255">
        <f>CO22</f>
        <v>-25.81442319230112</v>
      </c>
      <c r="CP75" s="721">
        <f t="shared" ref="CP75:CR76" si="224">IF(CP22="-","-",SUM(CP22)-SUM(CO22))</f>
        <v>-33.306646966409758</v>
      </c>
      <c r="CQ75" s="721">
        <f t="shared" si="224"/>
        <v>19.728127951956125</v>
      </c>
      <c r="CR75" s="721">
        <f t="shared" si="224"/>
        <v>67.075856931906543</v>
      </c>
      <c r="CS75" s="966">
        <f>SUM(CO75:CR75)</f>
        <v>27.68291472515179</v>
      </c>
      <c r="CT75" s="1255">
        <f>CT22</f>
        <v>-28.96520649554239</v>
      </c>
      <c r="CU75" s="721">
        <f t="shared" ref="CU75:CU76" si="225">IF(CU22="-","-",SUM(CU22)-SUM(CT22))</f>
        <v>-40.815997003122561</v>
      </c>
      <c r="CV75" s="721">
        <f t="shared" ref="CV75:CV76" si="226">IF(CV22="-","-",SUM(CV22)-SUM(CU22))</f>
        <v>21.28626635498577</v>
      </c>
      <c r="CW75" s="721">
        <f t="shared" ref="CW75:CW76" si="227">IF(CW22="-","-",SUM(CW22)-SUM(CV22))</f>
        <v>74.307497087745986</v>
      </c>
      <c r="CX75" s="966">
        <f>SUM(CT75:CW75)</f>
        <v>25.812559944066805</v>
      </c>
      <c r="CZ75" s="697"/>
      <c r="DA75" s="769"/>
      <c r="DB75" s="697"/>
      <c r="DC75" s="686"/>
    </row>
    <row r="76" spans="1:107" ht="10.5" hidden="1" customHeight="1" outlineLevel="1">
      <c r="A76" s="699" t="s">
        <v>628</v>
      </c>
      <c r="B76" s="699"/>
      <c r="C76" s="715">
        <f>C23</f>
        <v>0</v>
      </c>
      <c r="D76" s="715">
        <f t="shared" si="205"/>
        <v>0</v>
      </c>
      <c r="E76" s="715">
        <f t="shared" si="205"/>
        <v>0</v>
      </c>
      <c r="F76" s="715">
        <f t="shared" si="205"/>
        <v>-61.082999999999998</v>
      </c>
      <c r="G76" s="705">
        <f t="shared" si="204"/>
        <v>-61.082999999999998</v>
      </c>
      <c r="H76" s="715">
        <f>H23</f>
        <v>-0.755</v>
      </c>
      <c r="I76" s="715">
        <f t="shared" si="206"/>
        <v>-1.653</v>
      </c>
      <c r="J76" s="715">
        <f t="shared" si="206"/>
        <v>-11.9</v>
      </c>
      <c r="K76" s="715">
        <f t="shared" si="206"/>
        <v>5.9960000000000004</v>
      </c>
      <c r="L76" s="705">
        <f>SUM(H76:K76)</f>
        <v>-8.3119999999999994</v>
      </c>
      <c r="M76" s="715">
        <f>M23</f>
        <v>14.41</v>
      </c>
      <c r="N76" s="715">
        <f t="shared" si="207"/>
        <v>14.076999999999998</v>
      </c>
      <c r="O76" s="715">
        <f t="shared" si="207"/>
        <v>-5.7949999999999982</v>
      </c>
      <c r="P76" s="715">
        <f t="shared" si="207"/>
        <v>10.237000000000002</v>
      </c>
      <c r="Q76" s="705">
        <f t="shared" ref="Q76:Q84" si="228">SUM(M76:P76)</f>
        <v>32.929000000000002</v>
      </c>
      <c r="R76" s="715">
        <f>R23</f>
        <v>17.588999999999999</v>
      </c>
      <c r="S76" s="715">
        <f t="shared" si="208"/>
        <v>14.451999999999998</v>
      </c>
      <c r="T76" s="715">
        <f t="shared" si="208"/>
        <v>-18.449999999999996</v>
      </c>
      <c r="U76" s="715">
        <f t="shared" si="208"/>
        <v>31.305</v>
      </c>
      <c r="V76" s="705">
        <f t="shared" ref="V76:V84" si="229">SUM(R76:U76)</f>
        <v>44.896000000000001</v>
      </c>
      <c r="W76" s="715">
        <f>W23</f>
        <v>-6.2220000000000004</v>
      </c>
      <c r="X76" s="715">
        <f t="shared" si="209"/>
        <v>19.155999999999999</v>
      </c>
      <c r="Y76" s="715">
        <f t="shared" si="209"/>
        <v>-8.4339999999999993</v>
      </c>
      <c r="Z76" s="715">
        <f t="shared" si="209"/>
        <v>21.777999999999999</v>
      </c>
      <c r="AA76" s="705">
        <f t="shared" ref="AA76:AA84" si="230">SUM(W76:Z76)</f>
        <v>26.277999999999999</v>
      </c>
      <c r="AB76" s="715">
        <f>AB23</f>
        <v>-46.767000000000003</v>
      </c>
      <c r="AC76" s="715">
        <f t="shared" si="210"/>
        <v>-6.3819999999999979</v>
      </c>
      <c r="AD76" s="715">
        <f t="shared" si="210"/>
        <v>-26.441999999999993</v>
      </c>
      <c r="AE76" s="715">
        <f t="shared" si="210"/>
        <v>44.198999999999998</v>
      </c>
      <c r="AF76" s="705">
        <f t="shared" ref="AF76:AF84" si="231">SUM(AB76:AE76)</f>
        <v>-35.391999999999996</v>
      </c>
      <c r="AG76" s="715">
        <f>AG23</f>
        <v>-29.103999999999999</v>
      </c>
      <c r="AH76" s="715">
        <f t="shared" si="211"/>
        <v>51.825000000000003</v>
      </c>
      <c r="AI76" s="715">
        <f t="shared" si="211"/>
        <v>12.197999999999997</v>
      </c>
      <c r="AJ76" s="715">
        <f t="shared" si="211"/>
        <v>34.172999999999988</v>
      </c>
      <c r="AK76" s="705">
        <f t="shared" ref="AK76:AK84" si="232">SUM(AG76:AJ76)</f>
        <v>69.091999999999985</v>
      </c>
      <c r="AL76" s="715">
        <f>AL23</f>
        <v>-14.791</v>
      </c>
      <c r="AM76" s="715">
        <f t="shared" si="212"/>
        <v>6.652000000000001</v>
      </c>
      <c r="AN76" s="715">
        <f t="shared" si="212"/>
        <v>-28.818000000000001</v>
      </c>
      <c r="AO76" s="715">
        <f t="shared" si="212"/>
        <v>23.053000000000001</v>
      </c>
      <c r="AP76" s="705">
        <f t="shared" ref="AP76:AP84" si="233">SUM(AL76:AO76)</f>
        <v>-13.904</v>
      </c>
      <c r="AQ76" s="715">
        <f>AQ23</f>
        <v>-53.097999999999999</v>
      </c>
      <c r="AR76" s="715">
        <f t="shared" si="213"/>
        <v>20.458999999999996</v>
      </c>
      <c r="AS76" s="715">
        <f t="shared" si="213"/>
        <v>-11.711999999999996</v>
      </c>
      <c r="AT76" s="715">
        <f t="shared" si="213"/>
        <v>70.569000000000017</v>
      </c>
      <c r="AU76" s="705">
        <f t="shared" ref="AU76:AU84" si="234">SUM(AQ76:AT76)</f>
        <v>26.218000000000018</v>
      </c>
      <c r="AV76" s="715">
        <f>AV23</f>
        <v>-59.008000000000003</v>
      </c>
      <c r="AW76" s="715">
        <f t="shared" si="214"/>
        <v>92.105999999999995</v>
      </c>
      <c r="AX76" s="715">
        <f t="shared" si="214"/>
        <v>104.14999999999999</v>
      </c>
      <c r="AY76" s="715">
        <f t="shared" si="214"/>
        <v>95.797999999999945</v>
      </c>
      <c r="AZ76" s="705">
        <f t="shared" ref="AZ76:AZ84" si="235">SUM(AV76:AY76)</f>
        <v>233.04599999999994</v>
      </c>
      <c r="BA76" s="715">
        <f>BA23</f>
        <v>-110.084</v>
      </c>
      <c r="BB76" s="1304">
        <f t="shared" si="215"/>
        <v>37.939000000000007</v>
      </c>
      <c r="BC76" s="715">
        <f t="shared" si="215"/>
        <v>-47.040000000000006</v>
      </c>
      <c r="BD76" s="715">
        <f t="shared" si="215"/>
        <v>94.477000000000004</v>
      </c>
      <c r="BE76" s="705">
        <f t="shared" ref="BE76:BE84" si="236">SUM(BA76:BD76)</f>
        <v>-24.707999999999998</v>
      </c>
      <c r="BF76" s="715">
        <f>BF23</f>
        <v>-116.908</v>
      </c>
      <c r="BG76" s="1304">
        <f t="shared" si="216"/>
        <v>73.140999999999991</v>
      </c>
      <c r="BH76" s="1372">
        <f t="shared" si="216"/>
        <v>-7.6929999999999978</v>
      </c>
      <c r="BI76" s="715">
        <f t="shared" si="216"/>
        <v>43.69</v>
      </c>
      <c r="BJ76" s="705">
        <f t="shared" ref="BJ76:BJ84" si="237">SUM(BF76:BI76)</f>
        <v>-7.7700000000000102</v>
      </c>
      <c r="BK76" s="715">
        <f>BK23</f>
        <v>-78.965999999999994</v>
      </c>
      <c r="BL76" s="1304">
        <f t="shared" si="217"/>
        <v>32.483999999999995</v>
      </c>
      <c r="BM76" s="1372">
        <f t="shared" si="217"/>
        <v>-19.510000000000005</v>
      </c>
      <c r="BN76" s="753">
        <f t="shared" si="217"/>
        <v>107.82000000000001</v>
      </c>
      <c r="BO76" s="705">
        <f t="shared" ref="BO76:BO84" si="238">SUM(BK76:BN76)</f>
        <v>41.828000000000003</v>
      </c>
      <c r="BP76" s="715">
        <f>BP23</f>
        <v>-60.14</v>
      </c>
      <c r="BQ76" s="1304">
        <f t="shared" si="218"/>
        <v>72.210999999999999</v>
      </c>
      <c r="BR76" s="1372">
        <f t="shared" si="218"/>
        <v>-25.82</v>
      </c>
      <c r="BS76" s="1372">
        <f t="shared" si="218"/>
        <v>51.292999999999999</v>
      </c>
      <c r="BT76" s="705">
        <f t="shared" ref="BT76:BT84" si="239">SUM(BP76:BS76)</f>
        <v>37.543999999999997</v>
      </c>
      <c r="BU76" s="715">
        <f>BU23</f>
        <v>-125.28100000000001</v>
      </c>
      <c r="BV76" s="1304">
        <f t="shared" si="219"/>
        <v>89.683000000000007</v>
      </c>
      <c r="BW76" s="1372">
        <f t="shared" si="219"/>
        <v>9.0169999999999995</v>
      </c>
      <c r="BX76" s="1372">
        <f t="shared" si="219"/>
        <v>20.637</v>
      </c>
      <c r="BY76" s="705">
        <f t="shared" si="176"/>
        <v>-5.9439999999999991</v>
      </c>
      <c r="BZ76" s="1372">
        <f>BZ23</f>
        <v>-81.111000000000004</v>
      </c>
      <c r="CA76" s="1304">
        <f t="shared" si="220"/>
        <v>66.621000000000009</v>
      </c>
      <c r="CB76" s="715">
        <f t="shared" si="220"/>
        <v>8.9499999999999993</v>
      </c>
      <c r="CC76" s="715">
        <f t="shared" si="220"/>
        <v>70.518000000000001</v>
      </c>
      <c r="CD76" s="1380">
        <f t="shared" ref="CD76:CD84" si="240">SUM(BZ76:CC76)</f>
        <v>64.978000000000009</v>
      </c>
      <c r="CE76" s="1372">
        <f>CE23</f>
        <v>-92.105000000000004</v>
      </c>
      <c r="CF76" s="1304">
        <f t="shared" si="221"/>
        <v>104.833</v>
      </c>
      <c r="CG76" s="715">
        <f t="shared" si="222"/>
        <v>68.896000000000001</v>
      </c>
      <c r="CH76" s="715">
        <f t="shared" si="222"/>
        <v>72.501000000000005</v>
      </c>
      <c r="CI76" s="1380">
        <f t="shared" ref="CI76:CI84" si="241">SUM(CE76:CH76)</f>
        <v>154.125</v>
      </c>
      <c r="CJ76" s="1255">
        <f>CJ23</f>
        <v>-82.729000000000042</v>
      </c>
      <c r="CK76" s="721">
        <f t="shared" si="223"/>
        <v>79.327824355014741</v>
      </c>
      <c r="CL76" s="721">
        <f t="shared" si="223"/>
        <v>-41.51697063422921</v>
      </c>
      <c r="CM76" s="721">
        <f t="shared" si="223"/>
        <v>71.669435719506168</v>
      </c>
      <c r="CN76" s="966">
        <f t="shared" ref="CN76:CN84" si="242">SUM(CJ76:CM76)</f>
        <v>26.751289440291657</v>
      </c>
      <c r="CO76" s="1255">
        <f>CO23</f>
        <v>59.390561270801641</v>
      </c>
      <c r="CP76" s="721">
        <f t="shared" si="224"/>
        <v>98.496745908599109</v>
      </c>
      <c r="CQ76" s="721">
        <f t="shared" si="224"/>
        <v>-48.75647784892135</v>
      </c>
      <c r="CR76" s="721">
        <f t="shared" si="224"/>
        <v>81.762810372480544</v>
      </c>
      <c r="CS76" s="966">
        <f t="shared" ref="CS76:CS84" si="243">SUM(CO76:CR76)</f>
        <v>190.89363970295994</v>
      </c>
      <c r="CT76" s="1255">
        <f>CT23</f>
        <v>70.197509947847493</v>
      </c>
      <c r="CU76" s="721">
        <f t="shared" si="225"/>
        <v>111.86059492600361</v>
      </c>
      <c r="CV76" s="721">
        <f t="shared" si="226"/>
        <v>-61.883078049964979</v>
      </c>
      <c r="CW76" s="721">
        <f t="shared" si="227"/>
        <v>86.226291089861888</v>
      </c>
      <c r="CX76" s="966">
        <f t="shared" ref="CX76:CX84" si="244">SUM(CT76:CW76)</f>
        <v>206.40131791374802</v>
      </c>
      <c r="CZ76" s="697"/>
      <c r="DA76" s="769"/>
      <c r="DB76" s="697"/>
      <c r="DC76" s="686"/>
    </row>
    <row r="77" spans="1:107" ht="10.5" hidden="1" customHeight="1" outlineLevel="1">
      <c r="A77" s="699" t="s">
        <v>619</v>
      </c>
      <c r="B77" s="699"/>
      <c r="C77" s="715">
        <f>C21</f>
        <v>0</v>
      </c>
      <c r="D77" s="715">
        <f>IF(D21="-","-",SUM(D21)-SUM(C21))</f>
        <v>0</v>
      </c>
      <c r="E77" s="715">
        <f>IF(E21="-","-",SUM(E21)-SUM(D21))</f>
        <v>0</v>
      </c>
      <c r="F77" s="715">
        <f>IF(F21="-","-",SUM(F21)-SUM(E21))</f>
        <v>-3.552</v>
      </c>
      <c r="G77" s="705">
        <f t="shared" si="204"/>
        <v>-3.552</v>
      </c>
      <c r="H77" s="715">
        <f>H21</f>
        <v>2.0659999999999998</v>
      </c>
      <c r="I77" s="715">
        <f>IF(I21="-","-",SUM(I21)-SUM(H21))</f>
        <v>-2.1949999999999998</v>
      </c>
      <c r="J77" s="715">
        <f>IF(J21="-","-",SUM(J21)-SUM(I21))</f>
        <v>-3.59</v>
      </c>
      <c r="K77" s="715">
        <f>IF(K21="-","-",SUM(K21)-SUM(J21))</f>
        <v>5.5750000000000002</v>
      </c>
      <c r="L77" s="705">
        <f>SUM(H77:K77)</f>
        <v>1.8560000000000003</v>
      </c>
      <c r="M77" s="715">
        <f>M21</f>
        <v>-2.492</v>
      </c>
      <c r="N77" s="715">
        <f>IF(N21="-","-",SUM(N21)-SUM(M21))</f>
        <v>-4.492</v>
      </c>
      <c r="O77" s="715">
        <f>IF(O21="-","-",SUM(O21)-SUM(N21))</f>
        <v>-5.2620000000000005</v>
      </c>
      <c r="P77" s="715">
        <f>IF(P21="-","-",SUM(P21)-SUM(O21))</f>
        <v>10.191000000000001</v>
      </c>
      <c r="Q77" s="705">
        <f t="shared" si="228"/>
        <v>-2.0549999999999997</v>
      </c>
      <c r="R77" s="715">
        <f>R21</f>
        <v>-4.2809999999999997</v>
      </c>
      <c r="S77" s="715">
        <f>IF(S21="-","-",SUM(S21)-SUM(R21))</f>
        <v>1.7659999999999996</v>
      </c>
      <c r="T77" s="715">
        <f>IF(T21="-","-",SUM(T21)-SUM(S21))</f>
        <v>1.0060000000000002</v>
      </c>
      <c r="U77" s="715">
        <f>IF(U21="-","-",SUM(U21)-SUM(T21))</f>
        <v>6.4169999999999998</v>
      </c>
      <c r="V77" s="705">
        <f t="shared" si="229"/>
        <v>4.9079999999999995</v>
      </c>
      <c r="W77" s="715">
        <f>W21</f>
        <v>-9.3529999999999998</v>
      </c>
      <c r="X77" s="715">
        <f>IF(X21="-","-",SUM(X21)-SUM(W21))</f>
        <v>-9.7140000000000004</v>
      </c>
      <c r="Y77" s="715">
        <f>IF(Y21="-","-",SUM(Y21)-SUM(X21))</f>
        <v>2.9609999999999985</v>
      </c>
      <c r="Z77" s="715">
        <f>IF(Z21="-","-",SUM(Z21)-SUM(Y21))</f>
        <v>-4.0749999999999993</v>
      </c>
      <c r="AA77" s="705">
        <f t="shared" si="230"/>
        <v>-20.181000000000001</v>
      </c>
      <c r="AB77" s="715">
        <f>AB21</f>
        <v>23.991</v>
      </c>
      <c r="AC77" s="715">
        <f>IF(AC21="-","-",SUM(AC21)-SUM(AB21))</f>
        <v>-4.5240000000000009</v>
      </c>
      <c r="AD77" s="715">
        <f>IF(AD21="-","-",SUM(AD21)-SUM(AC21))</f>
        <v>2.2650000000000006</v>
      </c>
      <c r="AE77" s="715">
        <f>IF(AE21="-","-",SUM(AE21)-SUM(AD21))</f>
        <v>0.19399999999999906</v>
      </c>
      <c r="AF77" s="705">
        <f t="shared" si="231"/>
        <v>21.925999999999998</v>
      </c>
      <c r="AG77" s="715">
        <f>AG21</f>
        <v>-2.6579999999999999</v>
      </c>
      <c r="AH77" s="715">
        <f>IF(AH21="-","-",SUM(AH21)-SUM(AG21))</f>
        <v>-12.547000000000001</v>
      </c>
      <c r="AI77" s="715">
        <f>IF(AI21="-","-",SUM(AI21)-SUM(AH21))</f>
        <v>-0.93000000000000149</v>
      </c>
      <c r="AJ77" s="715">
        <f>IF(AJ21="-","-",SUM(AJ21)-SUM(AI21))</f>
        <v>14.218999999999991</v>
      </c>
      <c r="AK77" s="705">
        <f t="shared" si="232"/>
        <v>-1.916000000000011</v>
      </c>
      <c r="AL77" s="715">
        <f>AL21</f>
        <v>-1.262</v>
      </c>
      <c r="AM77" s="715">
        <f>IF(AM21="-","-",SUM(AM21)-SUM(AL21))</f>
        <v>-2.097</v>
      </c>
      <c r="AN77" s="715">
        <f>IF(AN21="-","-",SUM(AN21)-SUM(AM21))</f>
        <v>-2.843</v>
      </c>
      <c r="AO77" s="715">
        <f>IF(AO21="-","-",SUM(AO21)-SUM(AN21))</f>
        <v>0.61800000000000033</v>
      </c>
      <c r="AP77" s="705">
        <f t="shared" si="233"/>
        <v>-5.5839999999999996</v>
      </c>
      <c r="AQ77" s="715">
        <f>AQ21</f>
        <v>7.859</v>
      </c>
      <c r="AR77" s="715">
        <f>IF(AR21="-","-",SUM(AR21)-SUM(AQ21))</f>
        <v>5.3510000000000009</v>
      </c>
      <c r="AS77" s="715">
        <f>IF(AS21="-","-",SUM(AS21)-SUM(AR21))</f>
        <v>2.4529999999999994</v>
      </c>
      <c r="AT77" s="715">
        <f>IF(AT21="-","-",SUM(AT21)-SUM(AS21))</f>
        <v>-0.35200000000000742</v>
      </c>
      <c r="AU77" s="705">
        <f t="shared" si="234"/>
        <v>15.310999999999993</v>
      </c>
      <c r="AV77" s="715">
        <f>AV21</f>
        <v>4.18</v>
      </c>
      <c r="AW77" s="715">
        <f>IF(AW21="-","-",SUM(AW21)-SUM(AV21))</f>
        <v>-12.988</v>
      </c>
      <c r="AX77" s="715">
        <f>IF(AX21="-","-",SUM(AX21)-SUM(AW21))</f>
        <v>-34.249999999999993</v>
      </c>
      <c r="AY77" s="715">
        <f>IF(AY21="-","-",SUM(AY21)-SUM(AX21))</f>
        <v>-13.634</v>
      </c>
      <c r="AZ77" s="705">
        <f t="shared" si="235"/>
        <v>-56.691999999999993</v>
      </c>
      <c r="BA77" s="715">
        <f>BA21</f>
        <v>-2.7160000000000002</v>
      </c>
      <c r="BB77" s="1304">
        <f>IF(BB21="-","-",SUM(BB21)-SUM(BA21))</f>
        <v>-12.864000000000001</v>
      </c>
      <c r="BC77" s="715">
        <f>IF(BC21="-","-",SUM(BC21)-SUM(BB21))</f>
        <v>11.48</v>
      </c>
      <c r="BD77" s="715">
        <f>IF(BD21="-","-",SUM(BD21)-SUM(BC21))</f>
        <v>-1</v>
      </c>
      <c r="BE77" s="705">
        <f t="shared" si="236"/>
        <v>-5.1000000000000014</v>
      </c>
      <c r="BF77" s="715">
        <f>BF21</f>
        <v>-15.08</v>
      </c>
      <c r="BG77" s="1304">
        <f>IF(BG21="-","-",SUM(BG21)-SUM(BF21))</f>
        <v>-17.876000000000005</v>
      </c>
      <c r="BH77" s="1372">
        <f>IF(BH21="-","-",SUM(BH21)-SUM(BG21))</f>
        <v>15.326000000000004</v>
      </c>
      <c r="BI77" s="715">
        <f>IF(BI21="-","-",SUM(BI21)-SUM(BH21))</f>
        <v>22.181999999999999</v>
      </c>
      <c r="BJ77" s="705">
        <f t="shared" si="237"/>
        <v>4.5519999999999996</v>
      </c>
      <c r="BK77" s="715">
        <f>BK21</f>
        <v>-35.447000000000003</v>
      </c>
      <c r="BL77" s="1304">
        <f>IF(BL21="-","-",SUM(BL21)-SUM(BK21))</f>
        <v>16.796000000000003</v>
      </c>
      <c r="BM77" s="1372">
        <f>IF(BM21="-","-",SUM(BM21)-SUM(BL21))</f>
        <v>4.9819999999999993</v>
      </c>
      <c r="BN77" s="753">
        <f>IF(BN21="-","-",SUM(BN21)-SUM(BM21))</f>
        <v>-41.84</v>
      </c>
      <c r="BO77" s="705">
        <f t="shared" si="238"/>
        <v>-55.509</v>
      </c>
      <c r="BP77" s="715">
        <f>BP21</f>
        <v>-43.558999999999997</v>
      </c>
      <c r="BQ77" s="1304">
        <f>IF(BQ21="-","-",SUM(BQ21)-SUM(BP21))</f>
        <v>19.581999999999997</v>
      </c>
      <c r="BR77" s="1372">
        <f>IF(BR21="-","-",SUM(BR21)-SUM(BQ21))</f>
        <v>37.329000000000001</v>
      </c>
      <c r="BS77" s="1372">
        <f>IF(BS21="-","-",SUM(BS21)-SUM(BR21))</f>
        <v>-15.27</v>
      </c>
      <c r="BT77" s="705">
        <f t="shared" si="239"/>
        <v>-1.9179999999999993</v>
      </c>
      <c r="BU77" s="715">
        <f>BU21</f>
        <v>-23.911999999999999</v>
      </c>
      <c r="BV77" s="1304">
        <f>IF(BV21="-","-",SUM(BV21)-SUM(BU21))</f>
        <v>-3.3949999999999996</v>
      </c>
      <c r="BW77" s="1372">
        <f>IF(BW21="-","-",SUM(BW21)-SUM(BV21))</f>
        <v>2.8539999999999992</v>
      </c>
      <c r="BX77" s="1372">
        <f>IF(BX21="-","-",SUM(BX21)-SUM(BW21))</f>
        <v>16.751999999999999</v>
      </c>
      <c r="BY77" s="705">
        <f t="shared" si="176"/>
        <v>-7.7010000000000005</v>
      </c>
      <c r="BZ77" s="1372">
        <f>BZ21</f>
        <v>-84.831999999999994</v>
      </c>
      <c r="CA77" s="1304">
        <f>IF(CA21="-","-",SUM(CA21)-SUM(BZ21))</f>
        <v>-18.212000000000003</v>
      </c>
      <c r="CB77" s="715">
        <f>IF(CB21="-","-",SUM(CB21)-SUM(CA21))</f>
        <v>16.694000000000003</v>
      </c>
      <c r="CC77" s="715">
        <f>IF(CC21="-","-",SUM(CC21)-SUM(CB21))</f>
        <v>15.328999999999994</v>
      </c>
      <c r="CD77" s="1380">
        <f t="shared" si="240"/>
        <v>-71.021000000000001</v>
      </c>
      <c r="CE77" s="1372">
        <f>CE21</f>
        <v>-10.757999999999999</v>
      </c>
      <c r="CF77" s="1304">
        <f>IF(CF21="-","-",SUM(CF21)-SUM(CE21))</f>
        <v>25.523</v>
      </c>
      <c r="CG77" s="715">
        <f>IF(CG21="-","-",SUM(CG21)-SUM(CF21))</f>
        <v>17.059000000000001</v>
      </c>
      <c r="CH77" s="715">
        <f>IF(CH21="-","-",SUM(CH21)-SUM(CG21))</f>
        <v>-3.7840000000000025</v>
      </c>
      <c r="CI77" s="1380">
        <f t="shared" si="241"/>
        <v>28.04</v>
      </c>
      <c r="CJ77" s="1255">
        <f>CJ21</f>
        <v>-18.953499999999998</v>
      </c>
      <c r="CK77" s="721">
        <f>IF(CK21="-","-",SUM(CK21)-SUM(CJ21))</f>
        <v>1.0914415614878479</v>
      </c>
      <c r="CL77" s="721">
        <f>IF(CL21="-","-",SUM(CL21)-SUM(CK21))</f>
        <v>15.551608802618432</v>
      </c>
      <c r="CM77" s="721">
        <f>IF(CM21="-","-",SUM(CM21)-SUM(CL21))</f>
        <v>4.3685434445018529</v>
      </c>
      <c r="CN77" s="966">
        <f t="shared" si="242"/>
        <v>2.0580938086081346</v>
      </c>
      <c r="CO77" s="1255">
        <f>CO21</f>
        <v>-71.626950421744681</v>
      </c>
      <c r="CP77" s="721">
        <f>IF(CP21="-","-",SUM(CP21)-SUM(CO21))</f>
        <v>2.7243244852357407</v>
      </c>
      <c r="CQ77" s="721">
        <f>IF(CQ21="-","-",SUM(CQ21)-SUM(CP21))</f>
        <v>17.827054197773634</v>
      </c>
      <c r="CR77" s="721">
        <f>IF(CR21="-","-",SUM(CR21)-SUM(CQ21))</f>
        <v>5.3366716613926428</v>
      </c>
      <c r="CS77" s="966">
        <f t="shared" si="243"/>
        <v>-45.738900077342663</v>
      </c>
      <c r="CT77" s="1255">
        <f>CT21</f>
        <v>-82.545537622041422</v>
      </c>
      <c r="CU77" s="721">
        <f>IF(CU21="-","-",SUM(CU21)-SUM(CT21))</f>
        <v>5.824361476169031</v>
      </c>
      <c r="CV77" s="721">
        <f>IF(CV21="-","-",SUM(CV21)-SUM(CU21))</f>
        <v>23.524882088816526</v>
      </c>
      <c r="CW77" s="721">
        <f>IF(CW21="-","-",SUM(CW21)-SUM(CV21))</f>
        <v>8.7053522883500136</v>
      </c>
      <c r="CX77" s="966">
        <f t="shared" si="244"/>
        <v>-44.490941768705852</v>
      </c>
      <c r="CZ77" s="697"/>
      <c r="DA77" s="769"/>
      <c r="DB77" s="697"/>
      <c r="DC77" s="686"/>
    </row>
    <row r="78" spans="1:107" ht="10.5" hidden="1" customHeight="1" outlineLevel="1">
      <c r="A78" s="699" t="s">
        <v>97</v>
      </c>
      <c r="B78" s="699"/>
      <c r="C78" s="715">
        <f t="shared" ref="C78:C84" si="245">C24</f>
        <v>0</v>
      </c>
      <c r="D78" s="715">
        <f t="shared" ref="D78:F84" si="246">IF(D24="-","-",SUM(D24)-SUM(C24))</f>
        <v>0</v>
      </c>
      <c r="E78" s="715">
        <f t="shared" si="246"/>
        <v>0</v>
      </c>
      <c r="F78" s="715">
        <f t="shared" si="246"/>
        <v>4.0049999999999999</v>
      </c>
      <c r="G78" s="705">
        <f t="shared" si="204"/>
        <v>4.0049999999999999</v>
      </c>
      <c r="H78" s="715">
        <f t="shared" ref="H78:H84" si="247">H24</f>
        <v>1.9139999999999999</v>
      </c>
      <c r="I78" s="715">
        <f t="shared" ref="I78:K84" si="248">IF(I24="-","-",SUM(I24)-SUM(H24))</f>
        <v>-0.17899999999999983</v>
      </c>
      <c r="J78" s="715">
        <f t="shared" si="248"/>
        <v>1.5189999999999999</v>
      </c>
      <c r="K78" s="715">
        <f t="shared" si="248"/>
        <v>3.8699999999999997</v>
      </c>
      <c r="L78" s="705">
        <f>SUM(H78:K78)</f>
        <v>7.1239999999999997</v>
      </c>
      <c r="M78" s="715">
        <f t="shared" ref="M78:M84" si="249">M24</f>
        <v>1.2989999999999999</v>
      </c>
      <c r="N78" s="715">
        <f t="shared" ref="N78:P84" si="250">IF(N24="-","-",SUM(N24)-SUM(M24))</f>
        <v>9.5370000000000008</v>
      </c>
      <c r="O78" s="715">
        <f t="shared" si="250"/>
        <v>-0.41200000000000081</v>
      </c>
      <c r="P78" s="715">
        <f t="shared" si="250"/>
        <v>3.9909999999999997</v>
      </c>
      <c r="Q78" s="705">
        <f t="shared" si="228"/>
        <v>14.414999999999999</v>
      </c>
      <c r="R78" s="715">
        <f t="shared" ref="R78:R84" si="251">R24</f>
        <v>-2.274</v>
      </c>
      <c r="S78" s="715">
        <f t="shared" ref="S78:U84" si="252">IF(S24="-","-",SUM(S24)-SUM(R24))</f>
        <v>1.4540000000000002</v>
      </c>
      <c r="T78" s="715">
        <f t="shared" si="252"/>
        <v>2.3679999999999999</v>
      </c>
      <c r="U78" s="715">
        <f t="shared" si="252"/>
        <v>12.393000000000001</v>
      </c>
      <c r="V78" s="705">
        <f t="shared" si="229"/>
        <v>13.941000000000001</v>
      </c>
      <c r="W78" s="715">
        <f t="shared" ref="W78:W84" si="253">W24</f>
        <v>-2.4540000000000002</v>
      </c>
      <c r="X78" s="715">
        <f t="shared" ref="X78:Z84" si="254">IF(X24="-","-",SUM(X24)-SUM(W24))</f>
        <v>3.9460000000000002</v>
      </c>
      <c r="Y78" s="715">
        <f t="shared" si="254"/>
        <v>-1.0230000000000001</v>
      </c>
      <c r="Z78" s="715">
        <f t="shared" si="254"/>
        <v>7.56</v>
      </c>
      <c r="AA78" s="705">
        <f t="shared" si="230"/>
        <v>8.0289999999999999</v>
      </c>
      <c r="AB78" s="715">
        <f t="shared" ref="AB78:AB84" si="255">AB24</f>
        <v>12.263</v>
      </c>
      <c r="AC78" s="715">
        <f t="shared" ref="AC78:AE84" si="256">IF(AC24="-","-",SUM(AC24)-SUM(AB24))</f>
        <v>6.0930000000000017</v>
      </c>
      <c r="AD78" s="715">
        <f t="shared" si="256"/>
        <v>23.170999999999999</v>
      </c>
      <c r="AE78" s="715">
        <f t="shared" si="256"/>
        <v>38.162999999999997</v>
      </c>
      <c r="AF78" s="705">
        <f t="shared" si="231"/>
        <v>79.69</v>
      </c>
      <c r="AG78" s="715">
        <f t="shared" ref="AG78:AG84" si="257">AG24</f>
        <v>7.585</v>
      </c>
      <c r="AH78" s="715">
        <f t="shared" ref="AH78:AJ84" si="258">IF(AH24="-","-",SUM(AH24)-SUM(AG24))</f>
        <v>35.22</v>
      </c>
      <c r="AI78" s="715">
        <f t="shared" si="258"/>
        <v>-16.834</v>
      </c>
      <c r="AJ78" s="715">
        <f t="shared" si="258"/>
        <v>18.876000000000008</v>
      </c>
      <c r="AK78" s="705">
        <f t="shared" si="232"/>
        <v>44.847000000000008</v>
      </c>
      <c r="AL78" s="715">
        <f t="shared" ref="AL78:AL84" si="259">AL24</f>
        <v>5.35</v>
      </c>
      <c r="AM78" s="715">
        <f t="shared" ref="AM78:AO84" si="260">IF(AM24="-","-",SUM(AM24)-SUM(AL24))</f>
        <v>1.7949999999999999</v>
      </c>
      <c r="AN78" s="753">
        <f t="shared" si="260"/>
        <v>16.018000000000001</v>
      </c>
      <c r="AO78" s="715">
        <f t="shared" si="260"/>
        <v>42.716000000000008</v>
      </c>
      <c r="AP78" s="705">
        <f t="shared" si="233"/>
        <v>65.879000000000005</v>
      </c>
      <c r="AQ78" s="715">
        <f t="shared" ref="AQ78:AQ84" si="261">AQ24</f>
        <v>-50.033999999999999</v>
      </c>
      <c r="AR78" s="715">
        <f t="shared" ref="AR78:AS84" si="262">IF(AR24="-","-",SUM(AR24)-SUM(AQ24))</f>
        <v>-11.971000000000004</v>
      </c>
      <c r="AS78" s="715">
        <f t="shared" si="262"/>
        <v>4.8790000000000049</v>
      </c>
      <c r="AT78" s="715">
        <f>AT85</f>
        <v>11.984</v>
      </c>
      <c r="AU78" s="705">
        <f t="shared" si="234"/>
        <v>-45.141999999999996</v>
      </c>
      <c r="AV78" s="715">
        <f t="shared" ref="AV78:AV86" si="263">AV24</f>
        <v>42.585999999999999</v>
      </c>
      <c r="AW78" s="715">
        <f t="shared" ref="AW78:AY84" si="264">IF(AW24="-","-",SUM(AW24)-SUM(AV24))</f>
        <v>44.600000000000009</v>
      </c>
      <c r="AX78" s="715">
        <f t="shared" si="264"/>
        <v>13.361000000000004</v>
      </c>
      <c r="AY78" s="715">
        <f t="shared" si="264"/>
        <v>1.6490000000000009</v>
      </c>
      <c r="AZ78" s="705">
        <f t="shared" si="235"/>
        <v>102.19600000000001</v>
      </c>
      <c r="BA78" s="715">
        <f t="shared" ref="BA78:BA86" si="265">BA24</f>
        <v>11.672000000000001</v>
      </c>
      <c r="BB78" s="1304">
        <f t="shared" ref="BB78:BD84" si="266">IF(BB24="-","-",SUM(BB24)-SUM(BA24))</f>
        <v>38.506</v>
      </c>
      <c r="BC78" s="1307">
        <f t="shared" si="266"/>
        <v>0.93999999999999773</v>
      </c>
      <c r="BD78" s="715">
        <f t="shared" si="266"/>
        <v>36.464999999999996</v>
      </c>
      <c r="BE78" s="705">
        <f t="shared" si="236"/>
        <v>87.582999999999998</v>
      </c>
      <c r="BF78" s="715">
        <f t="shared" ref="BF78:BF84" si="267">BF24</f>
        <v>2.0970000000000049</v>
      </c>
      <c r="BG78" s="1304">
        <f t="shared" ref="BG78:BI84" si="268">IF(BG24="-","-",SUM(BG24)-SUM(BF24))</f>
        <v>42.569999999999993</v>
      </c>
      <c r="BH78" s="1372">
        <f t="shared" si="268"/>
        <v>-29.468999999999998</v>
      </c>
      <c r="BI78" s="715">
        <f t="shared" si="268"/>
        <v>55.816999999999993</v>
      </c>
      <c r="BJ78" s="705">
        <f t="shared" si="237"/>
        <v>71.015000000000001</v>
      </c>
      <c r="BK78" s="715">
        <f t="shared" ref="BK78:BK84" si="269">BK24</f>
        <v>67.093999999999994</v>
      </c>
      <c r="BL78" s="1304">
        <f t="shared" ref="BL78:BN84" si="270">IF(BL24="-","-",SUM(BL24)-SUM(BK24))</f>
        <v>-6.9489999999999981</v>
      </c>
      <c r="BM78" s="1372">
        <f t="shared" si="270"/>
        <v>37.328999999999994</v>
      </c>
      <c r="BN78" s="753">
        <f t="shared" si="270"/>
        <v>92.40100000000001</v>
      </c>
      <c r="BO78" s="705">
        <f t="shared" si="238"/>
        <v>189.875</v>
      </c>
      <c r="BP78" s="715">
        <f t="shared" ref="BP78:BP84" si="271">BP24</f>
        <v>44.041999999999994</v>
      </c>
      <c r="BQ78" s="1304">
        <f t="shared" ref="BQ78:BS84" si="272">IF(BQ24="-","-",SUM(BQ24)-SUM(BP24))</f>
        <v>48.032000000000004</v>
      </c>
      <c r="BR78" s="1372">
        <f t="shared" si="272"/>
        <v>68.453999999999994</v>
      </c>
      <c r="BS78" s="1372">
        <f t="shared" si="272"/>
        <v>150.28599999999997</v>
      </c>
      <c r="BT78" s="705">
        <f t="shared" si="239"/>
        <v>310.81399999999996</v>
      </c>
      <c r="BU78" s="715">
        <f>BU85</f>
        <v>19.044</v>
      </c>
      <c r="BV78" s="1304">
        <f t="shared" ref="BV78:BV84" si="273">IF(BV24="-","-",SUM(BV24)-SUM(BU24))</f>
        <v>44.772000000000006</v>
      </c>
      <c r="BW78" s="1372">
        <f t="shared" ref="BW78:BW84" si="274">IF(BW24="-","-",SUM(BW24)-SUM(BV24))</f>
        <v>77.72</v>
      </c>
      <c r="BX78" s="1372">
        <f t="shared" ref="BX78:BX84" si="275">IF(BX24="-","-",SUM(BX24)-SUM(BW24))</f>
        <v>179.26499999999999</v>
      </c>
      <c r="BY78" s="705">
        <f t="shared" si="176"/>
        <v>320.80099999999999</v>
      </c>
      <c r="BZ78" s="1372">
        <f t="shared" ref="BZ78:BZ84" si="276">BZ24</f>
        <v>123.366</v>
      </c>
      <c r="CA78" s="1304">
        <f t="shared" ref="CA78:CA84" si="277">IF(CA24="-","-",SUM(CA24)-SUM(BZ24))</f>
        <v>68.356000000000009</v>
      </c>
      <c r="CB78" s="715">
        <f t="shared" ref="CB78:CC84" si="278">IF(CB24="-","-",SUM(CB24)-SUM(CA24))</f>
        <v>116.35299999999998</v>
      </c>
      <c r="CC78" s="715">
        <f t="shared" si="278"/>
        <v>216.76500000000004</v>
      </c>
      <c r="CD78" s="1380">
        <f t="shared" si="240"/>
        <v>524.84</v>
      </c>
      <c r="CE78" s="1372">
        <f t="shared" ref="CE78:CE84" si="279">CE24</f>
        <v>40.832000000000001</v>
      </c>
      <c r="CF78" s="1304">
        <f t="shared" ref="CF78:CF84" si="280">IF(CF24="-","-",SUM(CF24)-SUM(CE24))</f>
        <v>14.746000000000002</v>
      </c>
      <c r="CG78" s="715">
        <f t="shared" ref="CG78:CH84" si="281">IF(CG24="-","-",SUM(CG24)-SUM(CF24))</f>
        <v>129.87199999999999</v>
      </c>
      <c r="CH78" s="715">
        <f t="shared" si="281"/>
        <v>289.952</v>
      </c>
      <c r="CI78" s="1380">
        <f t="shared" si="241"/>
        <v>475.40199999999999</v>
      </c>
      <c r="CJ78" s="1255">
        <f t="shared" ref="CJ78:CJ84" si="282">CJ24</f>
        <v>77.794000000000324</v>
      </c>
      <c r="CK78" s="721">
        <f t="shared" ref="CK78:CM84" si="283">IF(CK24="-","-",SUM(CK24)-SUM(CJ24))</f>
        <v>-19.670889036053723</v>
      </c>
      <c r="CL78" s="721">
        <f t="shared" si="283"/>
        <v>162.8823593366983</v>
      </c>
      <c r="CM78" s="721">
        <f t="shared" si="283"/>
        <v>228.86042091104491</v>
      </c>
      <c r="CN78" s="966">
        <f t="shared" si="242"/>
        <v>449.86589121168981</v>
      </c>
      <c r="CO78" s="1255">
        <f t="shared" ref="CO78:CO84" si="284">CO24</f>
        <v>93.275978135935475</v>
      </c>
      <c r="CP78" s="721">
        <f t="shared" ref="CP78:CP84" si="285">IF(CP24="-","-",SUM(CP24)-SUM(CO24))</f>
        <v>-36.437591881080152</v>
      </c>
      <c r="CQ78" s="721">
        <f t="shared" ref="CQ78:CQ84" si="286">IF(CQ24="-","-",SUM(CQ24)-SUM(CP24))</f>
        <v>198.29323994389188</v>
      </c>
      <c r="CR78" s="721">
        <f t="shared" ref="CR78:CR84" si="287">IF(CR24="-","-",SUM(CR24)-SUM(CQ24))</f>
        <v>269.15438229020765</v>
      </c>
      <c r="CS78" s="966">
        <f t="shared" si="243"/>
        <v>524.28600848895485</v>
      </c>
      <c r="CT78" s="1255">
        <f t="shared" ref="CT78:CT84" si="288">CT24</f>
        <v>89.888028091102115</v>
      </c>
      <c r="CU78" s="721">
        <f t="shared" ref="CU78:CU84" si="289">IF(CU24="-","-",SUM(CU24)-SUM(CT24))</f>
        <v>-66.856878737145962</v>
      </c>
      <c r="CV78" s="721">
        <f t="shared" ref="CV78:CV84" si="290">IF(CV24="-","-",SUM(CV24)-SUM(CU24))</f>
        <v>203.75003658034075</v>
      </c>
      <c r="CW78" s="721">
        <f t="shared" ref="CW78:CW84" si="291">IF(CW24="-","-",SUM(CW24)-SUM(CV24))</f>
        <v>283.19999495081402</v>
      </c>
      <c r="CX78" s="966">
        <f t="shared" si="244"/>
        <v>509.98118088511092</v>
      </c>
      <c r="CZ78" s="697"/>
      <c r="DA78" s="769"/>
      <c r="DB78" s="697"/>
      <c r="DC78" s="686"/>
    </row>
    <row r="79" spans="1:107" ht="10.5" hidden="1" customHeight="1" outlineLevel="1">
      <c r="A79" s="699" t="s">
        <v>405</v>
      </c>
      <c r="B79" s="699"/>
      <c r="C79" s="715">
        <f t="shared" si="245"/>
        <v>0</v>
      </c>
      <c r="D79" s="715">
        <f t="shared" si="246"/>
        <v>0</v>
      </c>
      <c r="E79" s="715">
        <f t="shared" si="246"/>
        <v>0</v>
      </c>
      <c r="F79" s="715">
        <f t="shared" si="246"/>
        <v>9.5730000000000004</v>
      </c>
      <c r="G79" s="705">
        <f t="shared" si="204"/>
        <v>9.5730000000000004</v>
      </c>
      <c r="H79" s="715">
        <f t="shared" si="247"/>
        <v>-7.9</v>
      </c>
      <c r="I79" s="715">
        <f t="shared" si="248"/>
        <v>7.9</v>
      </c>
      <c r="J79" s="715">
        <f t="shared" si="248"/>
        <v>-17.077000000000002</v>
      </c>
      <c r="K79" s="715">
        <f t="shared" si="248"/>
        <v>1.6420000000000012</v>
      </c>
      <c r="L79" s="705">
        <f t="shared" ref="L79:L84" si="292">SUM(H79:K79)</f>
        <v>-15.435</v>
      </c>
      <c r="M79" s="715">
        <f t="shared" si="249"/>
        <v>-4.742</v>
      </c>
      <c r="N79" s="715">
        <f t="shared" si="250"/>
        <v>-2.7270000000000003</v>
      </c>
      <c r="O79" s="715">
        <f t="shared" si="250"/>
        <v>-0.95699999999999985</v>
      </c>
      <c r="P79" s="715">
        <f t="shared" si="250"/>
        <v>-0.87400000000000055</v>
      </c>
      <c r="Q79" s="705">
        <f>SUM(M79:P79)</f>
        <v>-9.3000000000000007</v>
      </c>
      <c r="R79" s="715">
        <f t="shared" si="251"/>
        <v>-0.58699999999999997</v>
      </c>
      <c r="S79" s="715">
        <f t="shared" si="252"/>
        <v>-0.13</v>
      </c>
      <c r="T79" s="715">
        <f t="shared" si="252"/>
        <v>-6.0000000000000053E-2</v>
      </c>
      <c r="U79" s="715">
        <f t="shared" si="252"/>
        <v>-9.3999999999999972E-2</v>
      </c>
      <c r="V79" s="705">
        <f>SUM(R79:U79)</f>
        <v>-0.871</v>
      </c>
      <c r="W79" s="715">
        <f t="shared" si="253"/>
        <v>46.045999999999999</v>
      </c>
      <c r="X79" s="715">
        <f t="shared" si="254"/>
        <v>10.46</v>
      </c>
      <c r="Y79" s="715">
        <f t="shared" si="254"/>
        <v>-28.126999999999999</v>
      </c>
      <c r="Z79" s="715">
        <f t="shared" si="254"/>
        <v>-19.763000000000002</v>
      </c>
      <c r="AA79" s="705">
        <f>SUM(W79:Z79)</f>
        <v>8.6159999999999997</v>
      </c>
      <c r="AB79" s="715">
        <f t="shared" si="255"/>
        <v>-35.904000000000003</v>
      </c>
      <c r="AC79" s="715">
        <f t="shared" si="256"/>
        <v>-11.189999999999998</v>
      </c>
      <c r="AD79" s="715">
        <f t="shared" si="256"/>
        <v>10.913000000000004</v>
      </c>
      <c r="AE79" s="715">
        <f t="shared" si="256"/>
        <v>-4.8049999999999997</v>
      </c>
      <c r="AF79" s="705">
        <f>SUM(AB79:AE79)</f>
        <v>-40.985999999999997</v>
      </c>
      <c r="AG79" s="715">
        <f t="shared" si="257"/>
        <v>-5.0970000000000004</v>
      </c>
      <c r="AH79" s="715">
        <f t="shared" si="258"/>
        <v>-3.6070000000000002</v>
      </c>
      <c r="AI79" s="715">
        <f t="shared" si="258"/>
        <v>-1.843</v>
      </c>
      <c r="AJ79" s="715">
        <f t="shared" si="258"/>
        <v>-10.876000000000001</v>
      </c>
      <c r="AK79" s="705">
        <f t="shared" si="232"/>
        <v>-21.423000000000002</v>
      </c>
      <c r="AL79" s="715">
        <f t="shared" si="259"/>
        <v>-1.157</v>
      </c>
      <c r="AM79" s="715">
        <f t="shared" si="260"/>
        <v>-2.3220000000000001</v>
      </c>
      <c r="AN79" s="753">
        <f t="shared" si="260"/>
        <v>-1.9390000000000001</v>
      </c>
      <c r="AO79" s="715">
        <f t="shared" si="260"/>
        <v>29.747999999999998</v>
      </c>
      <c r="AP79" s="705">
        <f t="shared" si="233"/>
        <v>24.33</v>
      </c>
      <c r="AQ79" s="715">
        <f t="shared" si="261"/>
        <v>4.4649999999999999</v>
      </c>
      <c r="AR79" s="715">
        <f t="shared" si="262"/>
        <v>-28.603999999999999</v>
      </c>
      <c r="AS79" s="715">
        <f t="shared" si="262"/>
        <v>-3.3880000000000017</v>
      </c>
      <c r="AT79" s="715">
        <f>IF(AT25="-","-",SUM(AT25)-SUM(AS25))</f>
        <v>55.864999999999995</v>
      </c>
      <c r="AU79" s="705">
        <f t="shared" si="234"/>
        <v>28.337999999999994</v>
      </c>
      <c r="AV79" s="715">
        <f t="shared" si="263"/>
        <v>-18.716000000000001</v>
      </c>
      <c r="AW79" s="715">
        <f t="shared" si="264"/>
        <v>-0.24599999999999866</v>
      </c>
      <c r="AX79" s="715">
        <f t="shared" si="264"/>
        <v>-83.132000000000005</v>
      </c>
      <c r="AY79" s="715">
        <f t="shared" si="264"/>
        <v>4.1989999999999981</v>
      </c>
      <c r="AZ79" s="705">
        <f t="shared" si="235"/>
        <v>-97.89500000000001</v>
      </c>
      <c r="BA79" s="715">
        <f t="shared" si="265"/>
        <v>-2.5259999999999998</v>
      </c>
      <c r="BB79" s="1304">
        <f t="shared" si="266"/>
        <v>-1.6800000000000006</v>
      </c>
      <c r="BC79" s="715">
        <f t="shared" si="266"/>
        <v>2.3470000000000004</v>
      </c>
      <c r="BD79" s="715">
        <f t="shared" si="266"/>
        <v>73.790999999999997</v>
      </c>
      <c r="BE79" s="705">
        <f t="shared" si="236"/>
        <v>71.932000000000002</v>
      </c>
      <c r="BF79" s="715">
        <f t="shared" si="267"/>
        <v>-39.057000000000002</v>
      </c>
      <c r="BG79" s="1304">
        <f t="shared" si="268"/>
        <v>-17.098999999999997</v>
      </c>
      <c r="BH79" s="1372">
        <f t="shared" si="268"/>
        <v>-3.8440000000000012</v>
      </c>
      <c r="BI79" s="715">
        <f t="shared" si="268"/>
        <v>-6.046999999999997</v>
      </c>
      <c r="BJ79" s="705">
        <f t="shared" si="237"/>
        <v>-66.046999999999997</v>
      </c>
      <c r="BK79" s="715">
        <f t="shared" si="269"/>
        <v>-4.0469999999999997</v>
      </c>
      <c r="BL79" s="1304">
        <f t="shared" si="270"/>
        <v>-1.1619999999999999</v>
      </c>
      <c r="BM79" s="1372">
        <f t="shared" si="270"/>
        <v>-3.245000000000001</v>
      </c>
      <c r="BN79" s="753">
        <f t="shared" si="270"/>
        <v>1.5050000000000008</v>
      </c>
      <c r="BO79" s="705">
        <f t="shared" si="238"/>
        <v>-6.9489999999999998</v>
      </c>
      <c r="BP79" s="715">
        <f t="shared" si="271"/>
        <v>-0.52800000000000002</v>
      </c>
      <c r="BQ79" s="1304">
        <f t="shared" si="272"/>
        <v>-3.5539999999999998</v>
      </c>
      <c r="BR79" s="1372">
        <f t="shared" si="272"/>
        <v>-1.5449999999999999</v>
      </c>
      <c r="BS79" s="1372">
        <f t="shared" si="272"/>
        <v>14.498000000000001</v>
      </c>
      <c r="BT79" s="705">
        <f t="shared" si="239"/>
        <v>8.8710000000000022</v>
      </c>
      <c r="BU79" s="715">
        <f>BU25</f>
        <v>-14.539</v>
      </c>
      <c r="BV79" s="1304">
        <f t="shared" si="273"/>
        <v>-1.0620000000000012</v>
      </c>
      <c r="BW79" s="1372">
        <f t="shared" si="274"/>
        <v>-1.2230000000000008</v>
      </c>
      <c r="BX79" s="1372">
        <f t="shared" si="275"/>
        <v>0.20400000000000063</v>
      </c>
      <c r="BY79" s="705">
        <f t="shared" si="176"/>
        <v>-16.62</v>
      </c>
      <c r="BZ79" s="1372">
        <f t="shared" si="276"/>
        <v>0</v>
      </c>
      <c r="CA79" s="1304">
        <f t="shared" si="277"/>
        <v>0</v>
      </c>
      <c r="CB79" s="715">
        <f t="shared" si="278"/>
        <v>0</v>
      </c>
      <c r="CC79" s="715">
        <f t="shared" si="278"/>
        <v>0</v>
      </c>
      <c r="CD79" s="1380">
        <f t="shared" si="240"/>
        <v>0</v>
      </c>
      <c r="CE79" s="1372">
        <f t="shared" si="279"/>
        <v>0</v>
      </c>
      <c r="CF79" s="1304">
        <f t="shared" si="280"/>
        <v>0</v>
      </c>
      <c r="CG79" s="715">
        <f t="shared" si="281"/>
        <v>0</v>
      </c>
      <c r="CH79" s="715">
        <f t="shared" si="281"/>
        <v>0</v>
      </c>
      <c r="CI79" s="1380">
        <f t="shared" si="241"/>
        <v>0</v>
      </c>
      <c r="CJ79" s="1255">
        <f t="shared" si="282"/>
        <v>-3.6050000000000004</v>
      </c>
      <c r="CK79" s="721">
        <f t="shared" si="283"/>
        <v>0</v>
      </c>
      <c r="CL79" s="721">
        <f t="shared" si="283"/>
        <v>0</v>
      </c>
      <c r="CM79" s="721">
        <f t="shared" si="283"/>
        <v>0</v>
      </c>
      <c r="CN79" s="966">
        <f t="shared" si="242"/>
        <v>-3.6050000000000004</v>
      </c>
      <c r="CO79" s="1255">
        <f t="shared" si="284"/>
        <v>0</v>
      </c>
      <c r="CP79" s="721">
        <f t="shared" si="285"/>
        <v>0</v>
      </c>
      <c r="CQ79" s="721">
        <f t="shared" si="286"/>
        <v>0</v>
      </c>
      <c r="CR79" s="721">
        <f t="shared" si="287"/>
        <v>0</v>
      </c>
      <c r="CS79" s="966">
        <f t="shared" si="243"/>
        <v>0</v>
      </c>
      <c r="CT79" s="1255">
        <f t="shared" si="288"/>
        <v>0</v>
      </c>
      <c r="CU79" s="721">
        <f t="shared" si="289"/>
        <v>0</v>
      </c>
      <c r="CV79" s="721">
        <f t="shared" si="290"/>
        <v>0</v>
      </c>
      <c r="CW79" s="721">
        <f t="shared" si="291"/>
        <v>0</v>
      </c>
      <c r="CX79" s="966">
        <f t="shared" si="244"/>
        <v>0</v>
      </c>
      <c r="CZ79" s="697"/>
      <c r="DA79" s="769"/>
      <c r="DB79" s="697"/>
      <c r="DC79" s="686"/>
    </row>
    <row r="80" spans="1:107" ht="10.5" hidden="1" customHeight="1" outlineLevel="1">
      <c r="A80" s="699" t="s">
        <v>408</v>
      </c>
      <c r="B80" s="699"/>
      <c r="C80" s="715">
        <f t="shared" si="245"/>
        <v>0</v>
      </c>
      <c r="D80" s="715">
        <f t="shared" si="246"/>
        <v>0</v>
      </c>
      <c r="E80" s="715">
        <f t="shared" si="246"/>
        <v>0</v>
      </c>
      <c r="F80" s="715">
        <f t="shared" si="246"/>
        <v>60.174999999999997</v>
      </c>
      <c r="G80" s="705">
        <f t="shared" si="204"/>
        <v>60.174999999999997</v>
      </c>
      <c r="H80" s="715">
        <f t="shared" si="247"/>
        <v>-10.048</v>
      </c>
      <c r="I80" s="715">
        <f t="shared" si="248"/>
        <v>12.968999999999999</v>
      </c>
      <c r="J80" s="715">
        <f t="shared" si="248"/>
        <v>23.121000000000002</v>
      </c>
      <c r="K80" s="715">
        <f t="shared" si="248"/>
        <v>4.1149999999999984</v>
      </c>
      <c r="L80" s="705">
        <f>SUM(H80:K80)</f>
        <v>30.157</v>
      </c>
      <c r="M80" s="715">
        <f t="shared" si="249"/>
        <v>4.891</v>
      </c>
      <c r="N80" s="715">
        <f t="shared" si="250"/>
        <v>13.328000000000001</v>
      </c>
      <c r="O80" s="715">
        <f t="shared" si="250"/>
        <v>9.4949999999999974</v>
      </c>
      <c r="P80" s="715">
        <f t="shared" si="250"/>
        <v>-7.5410000000000004</v>
      </c>
      <c r="Q80" s="705">
        <f>SUM(M80:P80)</f>
        <v>20.172999999999998</v>
      </c>
      <c r="R80" s="715">
        <f t="shared" si="251"/>
        <v>-8.1210000000000004</v>
      </c>
      <c r="S80" s="715">
        <f t="shared" si="252"/>
        <v>-31.114999999999995</v>
      </c>
      <c r="T80" s="715">
        <f t="shared" si="252"/>
        <v>22.442999999999998</v>
      </c>
      <c r="U80" s="715">
        <f t="shared" si="252"/>
        <v>-30.777999999999999</v>
      </c>
      <c r="V80" s="705">
        <f>SUM(R80:U80)</f>
        <v>-47.570999999999998</v>
      </c>
      <c r="W80" s="715">
        <f t="shared" si="253"/>
        <v>0</v>
      </c>
      <c r="X80" s="715">
        <f t="shared" si="254"/>
        <v>0</v>
      </c>
      <c r="Y80" s="715">
        <f t="shared" si="254"/>
        <v>0</v>
      </c>
      <c r="Z80" s="715">
        <f t="shared" si="254"/>
        <v>0</v>
      </c>
      <c r="AA80" s="705">
        <f>SUM(W80:Z80)</f>
        <v>0</v>
      </c>
      <c r="AB80" s="715">
        <f t="shared" si="255"/>
        <v>0</v>
      </c>
      <c r="AC80" s="715">
        <f t="shared" si="256"/>
        <v>0</v>
      </c>
      <c r="AD80" s="715">
        <f t="shared" si="256"/>
        <v>0</v>
      </c>
      <c r="AE80" s="715">
        <f t="shared" si="256"/>
        <v>0</v>
      </c>
      <c r="AF80" s="705">
        <f>SUM(AB80:AE80)</f>
        <v>0</v>
      </c>
      <c r="AG80" s="715">
        <f t="shared" si="257"/>
        <v>0</v>
      </c>
      <c r="AH80" s="715">
        <f t="shared" si="258"/>
        <v>0</v>
      </c>
      <c r="AI80" s="715">
        <f t="shared" si="258"/>
        <v>0</v>
      </c>
      <c r="AJ80" s="715">
        <f t="shared" si="258"/>
        <v>-9.0669999999999931</v>
      </c>
      <c r="AK80" s="705">
        <f t="shared" si="232"/>
        <v>-9.0669999999999931</v>
      </c>
      <c r="AL80" s="715">
        <f t="shared" si="259"/>
        <v>0</v>
      </c>
      <c r="AM80" s="715">
        <f t="shared" si="260"/>
        <v>0</v>
      </c>
      <c r="AN80" s="753">
        <f t="shared" si="260"/>
        <v>0</v>
      </c>
      <c r="AO80" s="715">
        <f t="shared" si="260"/>
        <v>0</v>
      </c>
      <c r="AP80" s="705">
        <f t="shared" si="233"/>
        <v>0</v>
      </c>
      <c r="AQ80" s="715">
        <f t="shared" si="261"/>
        <v>0</v>
      </c>
      <c r="AR80" s="715">
        <f t="shared" si="262"/>
        <v>0</v>
      </c>
      <c r="AS80" s="715">
        <f t="shared" si="262"/>
        <v>0</v>
      </c>
      <c r="AT80" s="715">
        <f>IF(AT26="-","-",SUM(AT26)-SUM(AS26))</f>
        <v>-6.5609999999999786</v>
      </c>
      <c r="AU80" s="705">
        <f t="shared" si="234"/>
        <v>-6.5609999999999786</v>
      </c>
      <c r="AV80" s="715">
        <f t="shared" si="263"/>
        <v>0</v>
      </c>
      <c r="AW80" s="715">
        <f t="shared" si="264"/>
        <v>0</v>
      </c>
      <c r="AX80" s="715">
        <f t="shared" si="264"/>
        <v>12.352000000000004</v>
      </c>
      <c r="AY80" s="715">
        <f t="shared" si="264"/>
        <v>7.5549999999999784</v>
      </c>
      <c r="AZ80" s="705">
        <f t="shared" si="235"/>
        <v>19.906999999999982</v>
      </c>
      <c r="BA80" s="715">
        <f t="shared" si="265"/>
        <v>8.9049999999999994</v>
      </c>
      <c r="BB80" s="1304">
        <f t="shared" si="266"/>
        <v>-12.908999999999999</v>
      </c>
      <c r="BC80" s="715">
        <f t="shared" si="266"/>
        <v>-9.229000000000001</v>
      </c>
      <c r="BD80" s="715">
        <f t="shared" si="266"/>
        <v>-3.4280000000000008</v>
      </c>
      <c r="BE80" s="705">
        <f t="shared" si="236"/>
        <v>-16.661000000000001</v>
      </c>
      <c r="BF80" s="715">
        <f t="shared" si="267"/>
        <v>-19.050999999999998</v>
      </c>
      <c r="BG80" s="1304">
        <f t="shared" si="268"/>
        <v>31.643999999999998</v>
      </c>
      <c r="BH80" s="1372">
        <f t="shared" si="268"/>
        <v>-25.923000000000002</v>
      </c>
      <c r="BI80" s="715">
        <f t="shared" si="268"/>
        <v>23.371000000000002</v>
      </c>
      <c r="BJ80" s="705">
        <f t="shared" si="237"/>
        <v>10.041</v>
      </c>
      <c r="BK80" s="715">
        <f t="shared" si="269"/>
        <v>-29.187000000000001</v>
      </c>
      <c r="BL80" s="1304">
        <f t="shared" si="270"/>
        <v>-0.94500000000000028</v>
      </c>
      <c r="BM80" s="1372">
        <f t="shared" si="270"/>
        <v>-45.775999999999996</v>
      </c>
      <c r="BN80" s="753">
        <f t="shared" si="270"/>
        <v>17.033000000000001</v>
      </c>
      <c r="BO80" s="705">
        <f t="shared" si="238"/>
        <v>-58.875</v>
      </c>
      <c r="BP80" s="715">
        <f t="shared" si="271"/>
        <v>6.3360000000000003</v>
      </c>
      <c r="BQ80" s="1304">
        <f t="shared" si="272"/>
        <v>5.5549999999999997</v>
      </c>
      <c r="BR80" s="1372">
        <f t="shared" si="272"/>
        <v>-6.9390000000000001</v>
      </c>
      <c r="BS80" s="1372">
        <f t="shared" si="272"/>
        <v>6.0540000000000003</v>
      </c>
      <c r="BT80" s="705">
        <f t="shared" si="239"/>
        <v>11.006</v>
      </c>
      <c r="BU80" s="715">
        <f>BU26</f>
        <v>21.61</v>
      </c>
      <c r="BV80" s="1304">
        <f t="shared" si="273"/>
        <v>39.384</v>
      </c>
      <c r="BW80" s="1372">
        <f t="shared" si="274"/>
        <v>22.313000000000002</v>
      </c>
      <c r="BX80" s="1372">
        <f t="shared" si="275"/>
        <v>-53.506</v>
      </c>
      <c r="BY80" s="705">
        <f t="shared" si="176"/>
        <v>29.801000000000002</v>
      </c>
      <c r="BZ80" s="1372">
        <f t="shared" si="276"/>
        <v>2.085</v>
      </c>
      <c r="CA80" s="1304">
        <f t="shared" si="277"/>
        <v>22.786999999999999</v>
      </c>
      <c r="CB80" s="715">
        <f t="shared" si="278"/>
        <v>1.7850000000000001</v>
      </c>
      <c r="CC80" s="715">
        <f t="shared" si="278"/>
        <v>-58.643999999999998</v>
      </c>
      <c r="CD80" s="1380">
        <f t="shared" si="240"/>
        <v>-31.986999999999998</v>
      </c>
      <c r="CE80" s="1372">
        <f t="shared" si="279"/>
        <v>-61.639000000000003</v>
      </c>
      <c r="CF80" s="1304">
        <f t="shared" si="280"/>
        <v>101.51400000000001</v>
      </c>
      <c r="CG80" s="715">
        <f t="shared" si="281"/>
        <v>-32.994999999999997</v>
      </c>
      <c r="CH80" s="715">
        <f t="shared" si="281"/>
        <v>-41.373000000000005</v>
      </c>
      <c r="CI80" s="1380">
        <f t="shared" si="241"/>
        <v>-34.492999999999995</v>
      </c>
      <c r="CJ80" s="1255">
        <f t="shared" si="282"/>
        <v>-10.099999999999994</v>
      </c>
      <c r="CK80" s="721">
        <f t="shared" si="283"/>
        <v>-25.608400344895841</v>
      </c>
      <c r="CL80" s="721">
        <f t="shared" si="283"/>
        <v>1.6056396171225344</v>
      </c>
      <c r="CM80" s="721">
        <f t="shared" si="283"/>
        <v>7.4040625925622692</v>
      </c>
      <c r="CN80" s="966">
        <f t="shared" si="242"/>
        <v>-26.698698135211032</v>
      </c>
      <c r="CO80" s="1255">
        <f t="shared" si="284"/>
        <v>-49.215192043121874</v>
      </c>
      <c r="CP80" s="721">
        <f t="shared" si="285"/>
        <v>-30.992261974811214</v>
      </c>
      <c r="CQ80" s="721">
        <f t="shared" si="286"/>
        <v>-9.9078613865628995E-2</v>
      </c>
      <c r="CR80" s="721">
        <f t="shared" si="287"/>
        <v>6.8012037211587426</v>
      </c>
      <c r="CS80" s="966">
        <f t="shared" si="243"/>
        <v>-73.505328910639975</v>
      </c>
      <c r="CT80" s="1255">
        <f t="shared" si="288"/>
        <v>-14.473413934193275</v>
      </c>
      <c r="CU80" s="721">
        <f t="shared" si="289"/>
        <v>-34.404140587280637</v>
      </c>
      <c r="CV80" s="721">
        <f t="shared" si="290"/>
        <v>2.1340958521007565</v>
      </c>
      <c r="CW80" s="721">
        <f t="shared" si="291"/>
        <v>9.9667725561550924</v>
      </c>
      <c r="CX80" s="966">
        <f t="shared" si="244"/>
        <v>-36.776686113218062</v>
      </c>
      <c r="CZ80" s="697"/>
      <c r="DA80" s="769"/>
      <c r="DB80" s="697"/>
      <c r="DC80" s="686"/>
    </row>
    <row r="81" spans="1:107" ht="10.5" hidden="1" customHeight="1" outlineLevel="1">
      <c r="A81" s="699" t="s">
        <v>406</v>
      </c>
      <c r="B81" s="699"/>
      <c r="C81" s="715">
        <f t="shared" si="245"/>
        <v>0</v>
      </c>
      <c r="D81" s="715">
        <f t="shared" si="246"/>
        <v>0</v>
      </c>
      <c r="E81" s="715">
        <f t="shared" si="246"/>
        <v>0</v>
      </c>
      <c r="F81" s="715">
        <f t="shared" si="246"/>
        <v>0</v>
      </c>
      <c r="G81" s="705">
        <f t="shared" si="204"/>
        <v>0</v>
      </c>
      <c r="H81" s="715">
        <f t="shared" si="247"/>
        <v>0</v>
      </c>
      <c r="I81" s="715">
        <f t="shared" si="248"/>
        <v>0</v>
      </c>
      <c r="J81" s="715">
        <f t="shared" si="248"/>
        <v>0</v>
      </c>
      <c r="K81" s="715">
        <f t="shared" si="248"/>
        <v>0</v>
      </c>
      <c r="L81" s="705">
        <f t="shared" si="292"/>
        <v>0</v>
      </c>
      <c r="M81" s="715">
        <f t="shared" si="249"/>
        <v>0</v>
      </c>
      <c r="N81" s="715">
        <f t="shared" si="250"/>
        <v>0</v>
      </c>
      <c r="O81" s="715">
        <f t="shared" si="250"/>
        <v>0</v>
      </c>
      <c r="P81" s="715">
        <f t="shared" si="250"/>
        <v>0</v>
      </c>
      <c r="Q81" s="705">
        <f>SUM(M81:P81)</f>
        <v>0</v>
      </c>
      <c r="R81" s="715">
        <f t="shared" si="251"/>
        <v>0</v>
      </c>
      <c r="S81" s="715">
        <f t="shared" si="252"/>
        <v>0</v>
      </c>
      <c r="T81" s="715">
        <f t="shared" si="252"/>
        <v>0</v>
      </c>
      <c r="U81" s="715">
        <f t="shared" si="252"/>
        <v>0</v>
      </c>
      <c r="V81" s="705">
        <f>SUM(R81:U81)</f>
        <v>0</v>
      </c>
      <c r="W81" s="715">
        <f t="shared" si="253"/>
        <v>0</v>
      </c>
      <c r="X81" s="715">
        <f t="shared" si="254"/>
        <v>0</v>
      </c>
      <c r="Y81" s="715">
        <f t="shared" si="254"/>
        <v>0</v>
      </c>
      <c r="Z81" s="715">
        <f t="shared" si="254"/>
        <v>0</v>
      </c>
      <c r="AA81" s="705">
        <f>SUM(W81:Z81)</f>
        <v>0</v>
      </c>
      <c r="AB81" s="715">
        <f t="shared" si="255"/>
        <v>0</v>
      </c>
      <c r="AC81" s="715">
        <f t="shared" si="256"/>
        <v>0</v>
      </c>
      <c r="AD81" s="715">
        <f t="shared" si="256"/>
        <v>0</v>
      </c>
      <c r="AE81" s="715">
        <f t="shared" si="256"/>
        <v>0</v>
      </c>
      <c r="AF81" s="705">
        <f>SUM(AB81:AE81)</f>
        <v>0</v>
      </c>
      <c r="AG81" s="715">
        <f t="shared" si="257"/>
        <v>0</v>
      </c>
      <c r="AH81" s="715">
        <f t="shared" si="258"/>
        <v>0</v>
      </c>
      <c r="AI81" s="715">
        <f t="shared" si="258"/>
        <v>0</v>
      </c>
      <c r="AJ81" s="715">
        <f t="shared" si="258"/>
        <v>-1.7100000000000009</v>
      </c>
      <c r="AK81" s="705">
        <f t="shared" si="232"/>
        <v>-1.7100000000000009</v>
      </c>
      <c r="AL81" s="715">
        <f t="shared" si="259"/>
        <v>0</v>
      </c>
      <c r="AM81" s="715">
        <f t="shared" si="260"/>
        <v>0</v>
      </c>
      <c r="AN81" s="753">
        <f t="shared" si="260"/>
        <v>0</v>
      </c>
      <c r="AO81" s="715">
        <f t="shared" si="260"/>
        <v>0</v>
      </c>
      <c r="AP81" s="705">
        <f t="shared" si="233"/>
        <v>0</v>
      </c>
      <c r="AQ81" s="715">
        <f t="shared" si="261"/>
        <v>0</v>
      </c>
      <c r="AR81" s="715">
        <f t="shared" si="262"/>
        <v>0</v>
      </c>
      <c r="AS81" s="715">
        <f t="shared" si="262"/>
        <v>0</v>
      </c>
      <c r="AT81" s="715">
        <v>0</v>
      </c>
      <c r="AU81" s="705">
        <f t="shared" si="234"/>
        <v>0</v>
      </c>
      <c r="AV81" s="715">
        <f t="shared" si="263"/>
        <v>0</v>
      </c>
      <c r="AW81" s="715">
        <f t="shared" si="264"/>
        <v>0</v>
      </c>
      <c r="AX81" s="715">
        <f t="shared" si="264"/>
        <v>3.2109999999999985</v>
      </c>
      <c r="AY81" s="715">
        <f t="shared" si="264"/>
        <v>3.9410000000000025</v>
      </c>
      <c r="AZ81" s="705">
        <f t="shared" si="235"/>
        <v>7.152000000000001</v>
      </c>
      <c r="BA81" s="715">
        <f t="shared" si="265"/>
        <v>2.0489999999999995</v>
      </c>
      <c r="BB81" s="1304">
        <f t="shared" si="266"/>
        <v>0.12299999999999756</v>
      </c>
      <c r="BC81" s="1307">
        <f t="shared" si="266"/>
        <v>0.42000000000000171</v>
      </c>
      <c r="BD81" s="715">
        <f t="shared" si="266"/>
        <v>10.933999999999997</v>
      </c>
      <c r="BE81" s="705">
        <f t="shared" si="236"/>
        <v>13.525999999999996</v>
      </c>
      <c r="BF81" s="715">
        <f t="shared" si="267"/>
        <v>14.641999999999996</v>
      </c>
      <c r="BG81" s="1304">
        <f t="shared" si="268"/>
        <v>1.2439999999999998</v>
      </c>
      <c r="BH81" s="1372">
        <f t="shared" si="268"/>
        <v>-2.9759999999999991</v>
      </c>
      <c r="BI81" s="715">
        <f t="shared" si="268"/>
        <v>3.4150000000000063</v>
      </c>
      <c r="BJ81" s="705">
        <f t="shared" si="237"/>
        <v>16.325000000000003</v>
      </c>
      <c r="BK81" s="715">
        <f t="shared" si="269"/>
        <v>12.420000000000009</v>
      </c>
      <c r="BL81" s="1304">
        <f t="shared" si="270"/>
        <v>-1.8210000000000051</v>
      </c>
      <c r="BM81" s="1372">
        <f t="shared" si="270"/>
        <v>-1.4439999999999955</v>
      </c>
      <c r="BN81" s="753">
        <f t="shared" si="270"/>
        <v>2.3359999999999985</v>
      </c>
      <c r="BO81" s="705">
        <f t="shared" si="238"/>
        <v>11.491000000000007</v>
      </c>
      <c r="BP81" s="715">
        <f t="shared" si="271"/>
        <v>8.2330000000000041</v>
      </c>
      <c r="BQ81" s="1304">
        <f t="shared" si="272"/>
        <v>-0.51500000000000057</v>
      </c>
      <c r="BR81" s="1372">
        <f t="shared" si="272"/>
        <v>-0.51999999999999602</v>
      </c>
      <c r="BS81" s="1372">
        <f t="shared" si="272"/>
        <v>8.426000000000009</v>
      </c>
      <c r="BT81" s="705">
        <f t="shared" si="239"/>
        <v>15.624000000000017</v>
      </c>
      <c r="BU81" s="715">
        <f>BU27</f>
        <v>0</v>
      </c>
      <c r="BV81" s="1304">
        <f t="shared" si="273"/>
        <v>0</v>
      </c>
      <c r="BW81" s="1372">
        <f t="shared" si="274"/>
        <v>0</v>
      </c>
      <c r="BX81" s="1372">
        <f t="shared" si="275"/>
        <v>0</v>
      </c>
      <c r="BY81" s="705">
        <f t="shared" si="176"/>
        <v>0</v>
      </c>
      <c r="BZ81" s="1372">
        <f t="shared" si="276"/>
        <v>0</v>
      </c>
      <c r="CA81" s="1304">
        <f t="shared" si="277"/>
        <v>0</v>
      </c>
      <c r="CB81" s="715">
        <f t="shared" si="278"/>
        <v>0</v>
      </c>
      <c r="CC81" s="715">
        <f t="shared" si="278"/>
        <v>0</v>
      </c>
      <c r="CD81" s="1380">
        <f t="shared" si="240"/>
        <v>0</v>
      </c>
      <c r="CE81" s="1372">
        <f t="shared" si="279"/>
        <v>0</v>
      </c>
      <c r="CF81" s="1304">
        <f t="shared" si="280"/>
        <v>0</v>
      </c>
      <c r="CG81" s="715">
        <f t="shared" si="281"/>
        <v>0</v>
      </c>
      <c r="CH81" s="715">
        <f t="shared" si="281"/>
        <v>0</v>
      </c>
      <c r="CI81" s="1380">
        <f t="shared" si="241"/>
        <v>0</v>
      </c>
      <c r="CJ81" s="1255">
        <f t="shared" si="282"/>
        <v>0</v>
      </c>
      <c r="CK81" s="721">
        <f t="shared" si="283"/>
        <v>-1.5537091871825766</v>
      </c>
      <c r="CL81" s="721">
        <f t="shared" si="283"/>
        <v>-1.0030545559037591</v>
      </c>
      <c r="CM81" s="721">
        <f t="shared" si="283"/>
        <v>21.545921198705642</v>
      </c>
      <c r="CN81" s="966">
        <f t="shared" si="242"/>
        <v>18.989157455619306</v>
      </c>
      <c r="CO81" s="1255">
        <f t="shared" si="284"/>
        <v>5.2933120943947642E-2</v>
      </c>
      <c r="CP81" s="721">
        <f t="shared" si="285"/>
        <v>-2.2036696158840101</v>
      </c>
      <c r="CQ81" s="721">
        <f t="shared" si="286"/>
        <v>-0.89018292771342544</v>
      </c>
      <c r="CR81" s="721">
        <f t="shared" si="287"/>
        <v>25.583714185400112</v>
      </c>
      <c r="CS81" s="966">
        <f t="shared" si="243"/>
        <v>22.542794762746624</v>
      </c>
      <c r="CT81" s="1255">
        <f t="shared" si="288"/>
        <v>-0.5973127896310757</v>
      </c>
      <c r="CU81" s="721">
        <f t="shared" si="289"/>
        <v>-3.3605094050472815</v>
      </c>
      <c r="CV81" s="721">
        <f t="shared" si="290"/>
        <v>-1.8764535622822933</v>
      </c>
      <c r="CW81" s="721">
        <f t="shared" si="291"/>
        <v>28.688809566104396</v>
      </c>
      <c r="CX81" s="966">
        <f t="shared" si="244"/>
        <v>22.854533809143746</v>
      </c>
      <c r="CZ81" s="697"/>
      <c r="DA81" s="769"/>
      <c r="DB81" s="697"/>
      <c r="DC81" s="686"/>
    </row>
    <row r="82" spans="1:107" ht="10.5" hidden="1" customHeight="1" outlineLevel="1">
      <c r="A82" s="699" t="s">
        <v>683</v>
      </c>
      <c r="B82" s="699"/>
      <c r="C82" s="715">
        <f t="shared" si="245"/>
        <v>0</v>
      </c>
      <c r="D82" s="715">
        <f t="shared" si="246"/>
        <v>0</v>
      </c>
      <c r="E82" s="715">
        <f t="shared" si="246"/>
        <v>0</v>
      </c>
      <c r="F82" s="715">
        <f t="shared" si="246"/>
        <v>0</v>
      </c>
      <c r="G82" s="705">
        <f t="shared" si="204"/>
        <v>0</v>
      </c>
      <c r="H82" s="715">
        <f t="shared" si="247"/>
        <v>0</v>
      </c>
      <c r="I82" s="715">
        <f t="shared" si="248"/>
        <v>0</v>
      </c>
      <c r="J82" s="715">
        <f t="shared" si="248"/>
        <v>0</v>
      </c>
      <c r="K82" s="715">
        <f t="shared" si="248"/>
        <v>0</v>
      </c>
      <c r="L82" s="705">
        <f t="shared" si="292"/>
        <v>0</v>
      </c>
      <c r="M82" s="715">
        <f t="shared" si="249"/>
        <v>0</v>
      </c>
      <c r="N82" s="715">
        <f t="shared" si="250"/>
        <v>0</v>
      </c>
      <c r="O82" s="715">
        <f t="shared" si="250"/>
        <v>0</v>
      </c>
      <c r="P82" s="715">
        <f t="shared" si="250"/>
        <v>0</v>
      </c>
      <c r="Q82" s="705">
        <f>SUM(M82:P82)</f>
        <v>0</v>
      </c>
      <c r="R82" s="715">
        <f t="shared" si="251"/>
        <v>0</v>
      </c>
      <c r="S82" s="715">
        <f t="shared" si="252"/>
        <v>0</v>
      </c>
      <c r="T82" s="715">
        <f t="shared" si="252"/>
        <v>0</v>
      </c>
      <c r="U82" s="715">
        <f t="shared" si="252"/>
        <v>0</v>
      </c>
      <c r="V82" s="705">
        <f>SUM(R82:U82)</f>
        <v>0</v>
      </c>
      <c r="W82" s="715">
        <f t="shared" si="253"/>
        <v>0</v>
      </c>
      <c r="X82" s="715">
        <f t="shared" si="254"/>
        <v>0</v>
      </c>
      <c r="Y82" s="715">
        <f t="shared" si="254"/>
        <v>0</v>
      </c>
      <c r="Z82" s="715">
        <f t="shared" si="254"/>
        <v>0</v>
      </c>
      <c r="AA82" s="705">
        <f>SUM(W82:Z82)</f>
        <v>0</v>
      </c>
      <c r="AB82" s="715">
        <f t="shared" si="255"/>
        <v>-7.8369999999999997</v>
      </c>
      <c r="AC82" s="715">
        <f t="shared" si="256"/>
        <v>40.686000000000007</v>
      </c>
      <c r="AD82" s="715">
        <f t="shared" si="256"/>
        <v>47.125999999999991</v>
      </c>
      <c r="AE82" s="715">
        <f t="shared" si="256"/>
        <v>104.006</v>
      </c>
      <c r="AF82" s="705">
        <f>SUM(AB82:AE82)</f>
        <v>183.98099999999999</v>
      </c>
      <c r="AG82" s="715">
        <f t="shared" si="257"/>
        <v>1.07</v>
      </c>
      <c r="AH82" s="715">
        <f t="shared" si="258"/>
        <v>-11.679</v>
      </c>
      <c r="AI82" s="715">
        <f t="shared" si="258"/>
        <v>75.35499999999999</v>
      </c>
      <c r="AJ82" s="715">
        <f t="shared" si="258"/>
        <v>17.165999999999997</v>
      </c>
      <c r="AK82" s="705">
        <f t="shared" si="232"/>
        <v>81.911999999999992</v>
      </c>
      <c r="AL82" s="715">
        <f t="shared" si="259"/>
        <v>24.09</v>
      </c>
      <c r="AM82" s="715">
        <f t="shared" si="260"/>
        <v>-0.13899999999999935</v>
      </c>
      <c r="AN82" s="753">
        <f t="shared" si="260"/>
        <v>-97.907999999999987</v>
      </c>
      <c r="AO82" s="715">
        <f t="shared" si="260"/>
        <v>16.300999999999995</v>
      </c>
      <c r="AP82" s="705">
        <f t="shared" si="233"/>
        <v>-57.655999999999999</v>
      </c>
      <c r="AQ82" s="715">
        <f t="shared" si="261"/>
        <v>0</v>
      </c>
      <c r="AR82" s="715">
        <f t="shared" si="262"/>
        <v>-4.3570000000000002</v>
      </c>
      <c r="AS82" s="715">
        <f t="shared" si="262"/>
        <v>16.975999999999999</v>
      </c>
      <c r="AT82" s="715">
        <f>IF(AT28="-","-",SUM(AT28)-SUM(AS28))</f>
        <v>146.88900000000004</v>
      </c>
      <c r="AU82" s="705">
        <f t="shared" si="234"/>
        <v>159.50800000000004</v>
      </c>
      <c r="AV82" s="715">
        <f t="shared" si="263"/>
        <v>106.74</v>
      </c>
      <c r="AW82" s="715">
        <f t="shared" si="264"/>
        <v>-81.16</v>
      </c>
      <c r="AX82" s="715">
        <f t="shared" si="264"/>
        <v>-13.528000000000006</v>
      </c>
      <c r="AY82" s="715">
        <f t="shared" si="264"/>
        <v>29.989999999999995</v>
      </c>
      <c r="AZ82" s="705">
        <f t="shared" si="235"/>
        <v>42.041999999999987</v>
      </c>
      <c r="BA82" s="715">
        <f t="shared" si="265"/>
        <v>0</v>
      </c>
      <c r="BB82" s="1304">
        <f t="shared" si="266"/>
        <v>0</v>
      </c>
      <c r="BC82" s="715">
        <f t="shared" si="266"/>
        <v>0</v>
      </c>
      <c r="BD82" s="715">
        <f t="shared" si="266"/>
        <v>0</v>
      </c>
      <c r="BE82" s="705">
        <f t="shared" si="236"/>
        <v>0</v>
      </c>
      <c r="BF82" s="715">
        <f t="shared" si="267"/>
        <v>0</v>
      </c>
      <c r="BG82" s="1304">
        <f t="shared" si="268"/>
        <v>0</v>
      </c>
      <c r="BH82" s="1372">
        <f t="shared" si="268"/>
        <v>0</v>
      </c>
      <c r="BI82" s="715">
        <f t="shared" si="268"/>
        <v>0</v>
      </c>
      <c r="BJ82" s="705">
        <f t="shared" si="237"/>
        <v>0</v>
      </c>
      <c r="BK82" s="715">
        <f t="shared" si="269"/>
        <v>0</v>
      </c>
      <c r="BL82" s="1304">
        <f t="shared" si="270"/>
        <v>0</v>
      </c>
      <c r="BM82" s="1372">
        <f t="shared" si="270"/>
        <v>0</v>
      </c>
      <c r="BN82" s="753">
        <f t="shared" si="270"/>
        <v>0</v>
      </c>
      <c r="BO82" s="705">
        <f t="shared" si="238"/>
        <v>0</v>
      </c>
      <c r="BP82" s="715">
        <f t="shared" si="271"/>
        <v>0</v>
      </c>
      <c r="BQ82" s="1304">
        <f t="shared" si="272"/>
        <v>0</v>
      </c>
      <c r="BR82" s="1372">
        <f t="shared" si="272"/>
        <v>0</v>
      </c>
      <c r="BS82" s="1372">
        <f t="shared" si="272"/>
        <v>0</v>
      </c>
      <c r="BT82" s="705">
        <f t="shared" si="239"/>
        <v>0</v>
      </c>
      <c r="BU82" s="715">
        <f>BU28</f>
        <v>0</v>
      </c>
      <c r="BV82" s="1304">
        <f t="shared" si="273"/>
        <v>0</v>
      </c>
      <c r="BW82" s="1372">
        <f t="shared" si="274"/>
        <v>0</v>
      </c>
      <c r="BX82" s="1372">
        <f t="shared" si="275"/>
        <v>0</v>
      </c>
      <c r="BY82" s="705">
        <f t="shared" si="176"/>
        <v>0</v>
      </c>
      <c r="BZ82" s="1372">
        <f t="shared" si="276"/>
        <v>0</v>
      </c>
      <c r="CA82" s="1304">
        <f t="shared" si="277"/>
        <v>0</v>
      </c>
      <c r="CB82" s="715">
        <f t="shared" si="278"/>
        <v>0</v>
      </c>
      <c r="CC82" s="715">
        <f t="shared" si="278"/>
        <v>0</v>
      </c>
      <c r="CD82" s="1380">
        <f t="shared" si="240"/>
        <v>0</v>
      </c>
      <c r="CE82" s="1372">
        <f t="shared" si="279"/>
        <v>0</v>
      </c>
      <c r="CF82" s="1304">
        <f t="shared" si="280"/>
        <v>0</v>
      </c>
      <c r="CG82" s="715">
        <f t="shared" si="281"/>
        <v>0</v>
      </c>
      <c r="CH82" s="715">
        <f t="shared" si="281"/>
        <v>0</v>
      </c>
      <c r="CI82" s="1380">
        <f t="shared" si="241"/>
        <v>0</v>
      </c>
      <c r="CJ82" s="1255">
        <f t="shared" si="282"/>
        <v>0</v>
      </c>
      <c r="CK82" s="721">
        <f t="shared" si="283"/>
        <v>0</v>
      </c>
      <c r="CL82" s="721">
        <f t="shared" si="283"/>
        <v>0</v>
      </c>
      <c r="CM82" s="721">
        <f t="shared" si="283"/>
        <v>0</v>
      </c>
      <c r="CN82" s="966">
        <f t="shared" si="242"/>
        <v>0</v>
      </c>
      <c r="CO82" s="1255">
        <f t="shared" si="284"/>
        <v>0</v>
      </c>
      <c r="CP82" s="721">
        <f t="shared" si="285"/>
        <v>0</v>
      </c>
      <c r="CQ82" s="721">
        <f t="shared" si="286"/>
        <v>0</v>
      </c>
      <c r="CR82" s="721">
        <f t="shared" si="287"/>
        <v>0</v>
      </c>
      <c r="CS82" s="966">
        <f t="shared" si="243"/>
        <v>0</v>
      </c>
      <c r="CT82" s="1255">
        <f t="shared" si="288"/>
        <v>0</v>
      </c>
      <c r="CU82" s="721">
        <f t="shared" si="289"/>
        <v>0</v>
      </c>
      <c r="CV82" s="721">
        <f t="shared" si="290"/>
        <v>0</v>
      </c>
      <c r="CW82" s="721">
        <f t="shared" si="291"/>
        <v>0</v>
      </c>
      <c r="CX82" s="966">
        <f t="shared" si="244"/>
        <v>0</v>
      </c>
      <c r="CZ82" s="697"/>
      <c r="DA82" s="769"/>
      <c r="DB82" s="697"/>
      <c r="DC82" s="686"/>
    </row>
    <row r="83" spans="1:107" ht="10.5" hidden="1" customHeight="1" outlineLevel="1">
      <c r="A83" s="699" t="s">
        <v>407</v>
      </c>
      <c r="B83" s="699"/>
      <c r="C83" s="715">
        <f t="shared" si="245"/>
        <v>0</v>
      </c>
      <c r="D83" s="715">
        <f t="shared" si="246"/>
        <v>0</v>
      </c>
      <c r="E83" s="715">
        <f t="shared" si="246"/>
        <v>0</v>
      </c>
      <c r="F83" s="715">
        <f t="shared" si="246"/>
        <v>0</v>
      </c>
      <c r="G83" s="705">
        <f t="shared" si="204"/>
        <v>0</v>
      </c>
      <c r="H83" s="715">
        <f t="shared" si="247"/>
        <v>0</v>
      </c>
      <c r="I83" s="715">
        <f t="shared" si="248"/>
        <v>0</v>
      </c>
      <c r="J83" s="715">
        <f t="shared" si="248"/>
        <v>0</v>
      </c>
      <c r="K83" s="715">
        <f t="shared" si="248"/>
        <v>0</v>
      </c>
      <c r="L83" s="705">
        <f t="shared" si="292"/>
        <v>0</v>
      </c>
      <c r="M83" s="715">
        <f t="shared" si="249"/>
        <v>0</v>
      </c>
      <c r="N83" s="715">
        <f t="shared" si="250"/>
        <v>0</v>
      </c>
      <c r="O83" s="715">
        <f t="shared" si="250"/>
        <v>0</v>
      </c>
      <c r="P83" s="715">
        <f t="shared" si="250"/>
        <v>0</v>
      </c>
      <c r="Q83" s="705">
        <f t="shared" si="228"/>
        <v>0</v>
      </c>
      <c r="R83" s="715">
        <f t="shared" si="251"/>
        <v>0</v>
      </c>
      <c r="S83" s="715">
        <f t="shared" si="252"/>
        <v>0</v>
      </c>
      <c r="T83" s="715">
        <f t="shared" si="252"/>
        <v>0</v>
      </c>
      <c r="U83" s="715">
        <f t="shared" si="252"/>
        <v>0</v>
      </c>
      <c r="V83" s="705">
        <f t="shared" si="229"/>
        <v>0</v>
      </c>
      <c r="W83" s="715">
        <f t="shared" si="253"/>
        <v>0</v>
      </c>
      <c r="X83" s="715">
        <f t="shared" si="254"/>
        <v>0</v>
      </c>
      <c r="Y83" s="715">
        <f t="shared" si="254"/>
        <v>0</v>
      </c>
      <c r="Z83" s="715">
        <f t="shared" si="254"/>
        <v>0</v>
      </c>
      <c r="AA83" s="705">
        <f t="shared" si="230"/>
        <v>0</v>
      </c>
      <c r="AB83" s="715">
        <f t="shared" si="255"/>
        <v>0</v>
      </c>
      <c r="AC83" s="715">
        <f t="shared" si="256"/>
        <v>0</v>
      </c>
      <c r="AD83" s="715">
        <f t="shared" si="256"/>
        <v>0</v>
      </c>
      <c r="AE83" s="715">
        <f t="shared" si="256"/>
        <v>0</v>
      </c>
      <c r="AF83" s="705">
        <f t="shared" si="231"/>
        <v>0</v>
      </c>
      <c r="AG83" s="715">
        <f t="shared" si="257"/>
        <v>0</v>
      </c>
      <c r="AH83" s="715">
        <f t="shared" si="258"/>
        <v>0</v>
      </c>
      <c r="AI83" s="715">
        <f t="shared" si="258"/>
        <v>0</v>
      </c>
      <c r="AJ83" s="715">
        <f t="shared" si="258"/>
        <v>-0.88600000000000279</v>
      </c>
      <c r="AK83" s="705">
        <f t="shared" si="232"/>
        <v>-0.88600000000000279</v>
      </c>
      <c r="AL83" s="715">
        <f t="shared" si="259"/>
        <v>0</v>
      </c>
      <c r="AM83" s="715">
        <f t="shared" si="260"/>
        <v>0</v>
      </c>
      <c r="AN83" s="715">
        <f t="shared" si="260"/>
        <v>0</v>
      </c>
      <c r="AO83" s="715">
        <f t="shared" si="260"/>
        <v>0</v>
      </c>
      <c r="AP83" s="705">
        <f t="shared" si="233"/>
        <v>0</v>
      </c>
      <c r="AQ83" s="715">
        <f t="shared" si="261"/>
        <v>0</v>
      </c>
      <c r="AR83" s="715">
        <f t="shared" si="262"/>
        <v>0</v>
      </c>
      <c r="AS83" s="715">
        <f t="shared" si="262"/>
        <v>0</v>
      </c>
      <c r="AT83" s="715">
        <f>IF(AT29="-","-",SUM(AT29)-SUM(AS29))</f>
        <v>4.125</v>
      </c>
      <c r="AU83" s="705">
        <f t="shared" si="234"/>
        <v>4.125</v>
      </c>
      <c r="AV83" s="715">
        <f t="shared" si="263"/>
        <v>0</v>
      </c>
      <c r="AW83" s="715">
        <f t="shared" si="264"/>
        <v>0</v>
      </c>
      <c r="AX83" s="715">
        <f t="shared" si="264"/>
        <v>2.3669999999999973</v>
      </c>
      <c r="AY83" s="715">
        <f t="shared" si="264"/>
        <v>10.886000000000003</v>
      </c>
      <c r="AZ83" s="705">
        <f t="shared" si="235"/>
        <v>13.253</v>
      </c>
      <c r="BA83" s="715">
        <f t="shared" si="265"/>
        <v>0</v>
      </c>
      <c r="BB83" s="1304">
        <f t="shared" si="266"/>
        <v>0</v>
      </c>
      <c r="BC83" s="715">
        <f t="shared" si="266"/>
        <v>0</v>
      </c>
      <c r="BD83" s="715">
        <f t="shared" si="266"/>
        <v>0</v>
      </c>
      <c r="BE83" s="705">
        <f t="shared" si="236"/>
        <v>0</v>
      </c>
      <c r="BF83" s="715">
        <f t="shared" si="267"/>
        <v>0</v>
      </c>
      <c r="BG83" s="1304">
        <f t="shared" si="268"/>
        <v>0</v>
      </c>
      <c r="BH83" s="1372">
        <f t="shared" si="268"/>
        <v>0</v>
      </c>
      <c r="BI83" s="715">
        <f t="shared" si="268"/>
        <v>0</v>
      </c>
      <c r="BJ83" s="705">
        <f t="shared" si="237"/>
        <v>0</v>
      </c>
      <c r="BK83" s="715">
        <f t="shared" si="269"/>
        <v>0</v>
      </c>
      <c r="BL83" s="1304">
        <f t="shared" si="270"/>
        <v>0</v>
      </c>
      <c r="BM83" s="1372">
        <f t="shared" si="270"/>
        <v>0</v>
      </c>
      <c r="BN83" s="753">
        <f t="shared" si="270"/>
        <v>0</v>
      </c>
      <c r="BO83" s="705">
        <f t="shared" si="238"/>
        <v>0</v>
      </c>
      <c r="BP83" s="715">
        <f t="shared" si="271"/>
        <v>0</v>
      </c>
      <c r="BQ83" s="1304">
        <f t="shared" si="272"/>
        <v>0</v>
      </c>
      <c r="BR83" s="1372">
        <f t="shared" si="272"/>
        <v>0</v>
      </c>
      <c r="BS83" s="1372">
        <f t="shared" si="272"/>
        <v>0</v>
      </c>
      <c r="BT83" s="705">
        <f t="shared" si="239"/>
        <v>0</v>
      </c>
      <c r="BU83" s="715">
        <v>0</v>
      </c>
      <c r="BV83" s="1304">
        <f t="shared" si="273"/>
        <v>0</v>
      </c>
      <c r="BW83" s="1372">
        <f t="shared" si="274"/>
        <v>0</v>
      </c>
      <c r="BX83" s="1372">
        <f t="shared" si="275"/>
        <v>0</v>
      </c>
      <c r="BY83" s="705">
        <f t="shared" si="176"/>
        <v>0</v>
      </c>
      <c r="BZ83" s="1372">
        <f t="shared" si="276"/>
        <v>0</v>
      </c>
      <c r="CA83" s="1304">
        <f t="shared" si="277"/>
        <v>0</v>
      </c>
      <c r="CB83" s="715">
        <f t="shared" si="278"/>
        <v>0</v>
      </c>
      <c r="CC83" s="715">
        <f t="shared" si="278"/>
        <v>0</v>
      </c>
      <c r="CD83" s="1380">
        <f t="shared" si="240"/>
        <v>0</v>
      </c>
      <c r="CE83" s="1372">
        <f t="shared" si="279"/>
        <v>0</v>
      </c>
      <c r="CF83" s="1304">
        <f t="shared" si="280"/>
        <v>0</v>
      </c>
      <c r="CG83" s="715">
        <f t="shared" si="281"/>
        <v>0</v>
      </c>
      <c r="CH83" s="715">
        <f t="shared" si="281"/>
        <v>0</v>
      </c>
      <c r="CI83" s="1380">
        <f t="shared" si="241"/>
        <v>0</v>
      </c>
      <c r="CJ83" s="1255">
        <f t="shared" si="282"/>
        <v>24.077999999999989</v>
      </c>
      <c r="CK83" s="721">
        <f t="shared" si="283"/>
        <v>1.4210854715202004E-14</v>
      </c>
      <c r="CL83" s="721">
        <f t="shared" si="283"/>
        <v>0</v>
      </c>
      <c r="CM83" s="721">
        <f t="shared" si="283"/>
        <v>0</v>
      </c>
      <c r="CN83" s="966">
        <f t="shared" si="242"/>
        <v>24.078000000000003</v>
      </c>
      <c r="CO83" s="1255">
        <f t="shared" si="284"/>
        <v>0</v>
      </c>
      <c r="CP83" s="721">
        <f t="shared" si="285"/>
        <v>0</v>
      </c>
      <c r="CQ83" s="721">
        <f t="shared" si="286"/>
        <v>0</v>
      </c>
      <c r="CR83" s="721">
        <f t="shared" si="287"/>
        <v>0</v>
      </c>
      <c r="CS83" s="966">
        <f t="shared" si="243"/>
        <v>0</v>
      </c>
      <c r="CT83" s="1255">
        <f t="shared" si="288"/>
        <v>0</v>
      </c>
      <c r="CU83" s="721">
        <f t="shared" si="289"/>
        <v>0</v>
      </c>
      <c r="CV83" s="721">
        <f t="shared" si="290"/>
        <v>0</v>
      </c>
      <c r="CW83" s="721">
        <f t="shared" si="291"/>
        <v>0</v>
      </c>
      <c r="CX83" s="966">
        <f t="shared" si="244"/>
        <v>0</v>
      </c>
      <c r="CZ83" s="697"/>
      <c r="DA83" s="769"/>
      <c r="DB83" s="697"/>
      <c r="DC83" s="686"/>
    </row>
    <row r="84" spans="1:107" ht="10.5" hidden="1" customHeight="1" outlineLevel="1">
      <c r="A84" s="699" t="s">
        <v>767</v>
      </c>
      <c r="B84" s="699"/>
      <c r="C84" s="715">
        <f t="shared" si="245"/>
        <v>0</v>
      </c>
      <c r="D84" s="715">
        <f t="shared" si="246"/>
        <v>0</v>
      </c>
      <c r="E84" s="715">
        <f t="shared" si="246"/>
        <v>0</v>
      </c>
      <c r="F84" s="715">
        <f t="shared" si="246"/>
        <v>0</v>
      </c>
      <c r="G84" s="705">
        <f t="shared" si="204"/>
        <v>0</v>
      </c>
      <c r="H84" s="715">
        <f t="shared" si="247"/>
        <v>0</v>
      </c>
      <c r="I84" s="715">
        <f t="shared" si="248"/>
        <v>0</v>
      </c>
      <c r="J84" s="715">
        <f t="shared" si="248"/>
        <v>0</v>
      </c>
      <c r="K84" s="715">
        <f t="shared" si="248"/>
        <v>0</v>
      </c>
      <c r="L84" s="705">
        <f t="shared" si="292"/>
        <v>0</v>
      </c>
      <c r="M84" s="715">
        <f t="shared" si="249"/>
        <v>0</v>
      </c>
      <c r="N84" s="715">
        <f t="shared" si="250"/>
        <v>0</v>
      </c>
      <c r="O84" s="715">
        <f t="shared" si="250"/>
        <v>0</v>
      </c>
      <c r="P84" s="715">
        <f t="shared" si="250"/>
        <v>0</v>
      </c>
      <c r="Q84" s="705">
        <f t="shared" si="228"/>
        <v>0</v>
      </c>
      <c r="R84" s="715">
        <f t="shared" si="251"/>
        <v>0</v>
      </c>
      <c r="S84" s="715">
        <f t="shared" si="252"/>
        <v>0</v>
      </c>
      <c r="T84" s="715">
        <f t="shared" si="252"/>
        <v>0</v>
      </c>
      <c r="U84" s="715">
        <f t="shared" si="252"/>
        <v>0</v>
      </c>
      <c r="V84" s="705">
        <f t="shared" si="229"/>
        <v>0</v>
      </c>
      <c r="W84" s="715">
        <f t="shared" si="253"/>
        <v>0</v>
      </c>
      <c r="X84" s="715">
        <f t="shared" si="254"/>
        <v>0</v>
      </c>
      <c r="Y84" s="715">
        <f t="shared" si="254"/>
        <v>0</v>
      </c>
      <c r="Z84" s="715">
        <f t="shared" si="254"/>
        <v>0</v>
      </c>
      <c r="AA84" s="705">
        <f t="shared" si="230"/>
        <v>0</v>
      </c>
      <c r="AB84" s="715">
        <f t="shared" si="255"/>
        <v>0</v>
      </c>
      <c r="AC84" s="715">
        <f t="shared" si="256"/>
        <v>0</v>
      </c>
      <c r="AD84" s="715">
        <f t="shared" si="256"/>
        <v>0</v>
      </c>
      <c r="AE84" s="715">
        <f t="shared" si="256"/>
        <v>0</v>
      </c>
      <c r="AF84" s="705">
        <f t="shared" si="231"/>
        <v>0</v>
      </c>
      <c r="AG84" s="715">
        <f t="shared" si="257"/>
        <v>0</v>
      </c>
      <c r="AH84" s="715">
        <f t="shared" si="258"/>
        <v>0</v>
      </c>
      <c r="AI84" s="715">
        <f t="shared" si="258"/>
        <v>0</v>
      </c>
      <c r="AJ84" s="715">
        <f t="shared" si="258"/>
        <v>19.9349999999998</v>
      </c>
      <c r="AK84" s="705">
        <f t="shared" si="232"/>
        <v>19.9349999999998</v>
      </c>
      <c r="AL84" s="715">
        <f t="shared" si="259"/>
        <v>0</v>
      </c>
      <c r="AM84" s="715">
        <f t="shared" si="260"/>
        <v>0</v>
      </c>
      <c r="AN84" s="715">
        <f t="shared" si="260"/>
        <v>0</v>
      </c>
      <c r="AO84" s="715">
        <f t="shared" si="260"/>
        <v>0</v>
      </c>
      <c r="AP84" s="705">
        <f t="shared" si="233"/>
        <v>0</v>
      </c>
      <c r="AQ84" s="715">
        <f t="shared" si="261"/>
        <v>-16.655999999999999</v>
      </c>
      <c r="AR84" s="715">
        <f t="shared" si="262"/>
        <v>16.655999999999999</v>
      </c>
      <c r="AS84" s="715">
        <f t="shared" si="262"/>
        <v>0</v>
      </c>
      <c r="AT84" s="715">
        <f>AT86-AT83-AT82-AT80-AT79-AT77-AT76-AT75-AT74</f>
        <v>-32.549000000000063</v>
      </c>
      <c r="AU84" s="705">
        <f t="shared" si="234"/>
        <v>-32.549000000000063</v>
      </c>
      <c r="AV84" s="715">
        <f t="shared" si="263"/>
        <v>0</v>
      </c>
      <c r="AW84" s="715">
        <f t="shared" si="264"/>
        <v>0</v>
      </c>
      <c r="AX84" s="715">
        <f t="shared" si="264"/>
        <v>22.441000000000031</v>
      </c>
      <c r="AY84" s="715">
        <f t="shared" si="264"/>
        <v>-127.35299999999992</v>
      </c>
      <c r="AZ84" s="705">
        <f t="shared" si="235"/>
        <v>-104.91199999999989</v>
      </c>
      <c r="BA84" s="715">
        <f t="shared" si="265"/>
        <v>0</v>
      </c>
      <c r="BB84" s="1304">
        <f t="shared" si="266"/>
        <v>0</v>
      </c>
      <c r="BC84" s="715">
        <f t="shared" si="266"/>
        <v>0</v>
      </c>
      <c r="BD84" s="715">
        <f t="shared" si="266"/>
        <v>0</v>
      </c>
      <c r="BE84" s="705">
        <f t="shared" si="236"/>
        <v>0</v>
      </c>
      <c r="BF84" s="715">
        <f t="shared" si="267"/>
        <v>0</v>
      </c>
      <c r="BG84" s="1304">
        <f t="shared" si="268"/>
        <v>0</v>
      </c>
      <c r="BH84" s="1372">
        <f t="shared" si="268"/>
        <v>0</v>
      </c>
      <c r="BI84" s="715">
        <f t="shared" si="268"/>
        <v>0</v>
      </c>
      <c r="BJ84" s="705">
        <f t="shared" si="237"/>
        <v>0</v>
      </c>
      <c r="BK84" s="715">
        <f t="shared" si="269"/>
        <v>0</v>
      </c>
      <c r="BL84" s="1304">
        <f t="shared" si="270"/>
        <v>0</v>
      </c>
      <c r="BM84" s="1372">
        <f t="shared" si="270"/>
        <v>0</v>
      </c>
      <c r="BN84" s="753">
        <f t="shared" si="270"/>
        <v>0</v>
      </c>
      <c r="BO84" s="705">
        <f t="shared" si="238"/>
        <v>0</v>
      </c>
      <c r="BP84" s="715">
        <f t="shared" si="271"/>
        <v>0</v>
      </c>
      <c r="BQ84" s="1304">
        <f t="shared" si="272"/>
        <v>0</v>
      </c>
      <c r="BR84" s="1372">
        <f t="shared" si="272"/>
        <v>0</v>
      </c>
      <c r="BS84" s="1372">
        <f t="shared" si="272"/>
        <v>0</v>
      </c>
      <c r="BT84" s="705">
        <f t="shared" si="239"/>
        <v>0</v>
      </c>
      <c r="BU84" s="715">
        <v>0</v>
      </c>
      <c r="BV84" s="1304">
        <f t="shared" si="273"/>
        <v>0</v>
      </c>
      <c r="BW84" s="1372">
        <f t="shared" si="274"/>
        <v>0</v>
      </c>
      <c r="BX84" s="1372">
        <f t="shared" si="275"/>
        <v>0</v>
      </c>
      <c r="BY84" s="705">
        <f t="shared" si="176"/>
        <v>0</v>
      </c>
      <c r="BZ84" s="1372">
        <f t="shared" si="276"/>
        <v>0</v>
      </c>
      <c r="CA84" s="1304">
        <f t="shared" si="277"/>
        <v>0</v>
      </c>
      <c r="CB84" s="715">
        <f t="shared" si="278"/>
        <v>0</v>
      </c>
      <c r="CC84" s="715">
        <f t="shared" si="278"/>
        <v>0</v>
      </c>
      <c r="CD84" s="1380">
        <f t="shared" si="240"/>
        <v>0</v>
      </c>
      <c r="CE84" s="1372">
        <f t="shared" si="279"/>
        <v>0</v>
      </c>
      <c r="CF84" s="1304">
        <f t="shared" si="280"/>
        <v>0</v>
      </c>
      <c r="CG84" s="715">
        <f t="shared" si="281"/>
        <v>0</v>
      </c>
      <c r="CH84" s="715">
        <f t="shared" si="281"/>
        <v>0</v>
      </c>
      <c r="CI84" s="1380">
        <f t="shared" si="241"/>
        <v>0</v>
      </c>
      <c r="CJ84" s="1255">
        <f t="shared" si="282"/>
        <v>0</v>
      </c>
      <c r="CK84" s="721">
        <f t="shared" si="283"/>
        <v>0</v>
      </c>
      <c r="CL84" s="721">
        <f t="shared" si="283"/>
        <v>0</v>
      </c>
      <c r="CM84" s="721">
        <f t="shared" si="283"/>
        <v>0</v>
      </c>
      <c r="CN84" s="966">
        <f t="shared" si="242"/>
        <v>0</v>
      </c>
      <c r="CO84" s="1255">
        <f t="shared" si="284"/>
        <v>0</v>
      </c>
      <c r="CP84" s="721">
        <f t="shared" si="285"/>
        <v>0</v>
      </c>
      <c r="CQ84" s="721">
        <f t="shared" si="286"/>
        <v>0</v>
      </c>
      <c r="CR84" s="721">
        <f t="shared" si="287"/>
        <v>0</v>
      </c>
      <c r="CS84" s="966">
        <f t="shared" si="243"/>
        <v>0</v>
      </c>
      <c r="CT84" s="1255">
        <f t="shared" si="288"/>
        <v>0</v>
      </c>
      <c r="CU84" s="721">
        <f t="shared" si="289"/>
        <v>0</v>
      </c>
      <c r="CV84" s="721">
        <f t="shared" si="290"/>
        <v>0</v>
      </c>
      <c r="CW84" s="721">
        <f t="shared" si="291"/>
        <v>0</v>
      </c>
      <c r="CX84" s="966">
        <f t="shared" si="244"/>
        <v>0</v>
      </c>
      <c r="CZ84" s="697"/>
      <c r="DA84" s="769"/>
      <c r="DB84" s="697"/>
      <c r="DC84" s="686"/>
    </row>
    <row r="85" spans="1:107" ht="10.5" customHeight="1" collapsed="1">
      <c r="A85" s="699" t="s">
        <v>597</v>
      </c>
      <c r="B85" s="699"/>
      <c r="C85" s="715"/>
      <c r="D85" s="715"/>
      <c r="E85" s="715"/>
      <c r="F85" s="715"/>
      <c r="G85" s="705"/>
      <c r="H85" s="715"/>
      <c r="I85" s="715"/>
      <c r="J85" s="715"/>
      <c r="K85" s="715"/>
      <c r="L85" s="705"/>
      <c r="M85" s="715"/>
      <c r="N85" s="715"/>
      <c r="O85" s="715"/>
      <c r="P85" s="715"/>
      <c r="Q85" s="705"/>
      <c r="R85" s="715"/>
      <c r="S85" s="715"/>
      <c r="T85" s="715"/>
      <c r="U85" s="715"/>
      <c r="V85" s="705"/>
      <c r="W85" s="715"/>
      <c r="X85" s="715"/>
      <c r="Y85" s="715"/>
      <c r="Z85" s="715"/>
      <c r="AA85" s="705"/>
      <c r="AB85" s="715"/>
      <c r="AC85" s="715"/>
      <c r="AD85" s="715"/>
      <c r="AE85" s="715"/>
      <c r="AF85" s="705">
        <f t="shared" ref="AF85:AZ85" si="293">AF78+AF81</f>
        <v>79.69</v>
      </c>
      <c r="AG85" s="715">
        <f t="shared" si="293"/>
        <v>7.585</v>
      </c>
      <c r="AH85" s="715">
        <f t="shared" si="293"/>
        <v>35.22</v>
      </c>
      <c r="AI85" s="715">
        <f t="shared" si="293"/>
        <v>-16.834</v>
      </c>
      <c r="AJ85" s="715">
        <f t="shared" si="293"/>
        <v>17.166000000000007</v>
      </c>
      <c r="AK85" s="705">
        <f t="shared" si="293"/>
        <v>43.137000000000008</v>
      </c>
      <c r="AL85" s="715">
        <f t="shared" si="293"/>
        <v>5.35</v>
      </c>
      <c r="AM85" s="715">
        <f t="shared" si="293"/>
        <v>1.7949999999999999</v>
      </c>
      <c r="AN85" s="715">
        <f>IF(AN31="-","-",SUM(AN31)-SUM(AM31))</f>
        <v>16.018000000000001</v>
      </c>
      <c r="AO85" s="715">
        <f>IF(AO31="-","-",SUM(AO31)-SUM(AN31))</f>
        <v>42.716000000000008</v>
      </c>
      <c r="AP85" s="705">
        <f t="shared" si="293"/>
        <v>65.879000000000005</v>
      </c>
      <c r="AQ85" s="715">
        <f t="shared" si="293"/>
        <v>-50.033999999999999</v>
      </c>
      <c r="AR85" s="715">
        <f>AR78+AR81</f>
        <v>-11.971000000000004</v>
      </c>
      <c r="AS85" s="715">
        <f t="shared" si="293"/>
        <v>4.8790000000000049</v>
      </c>
      <c r="AT85" s="715">
        <v>11.984</v>
      </c>
      <c r="AU85" s="705">
        <f t="shared" si="293"/>
        <v>-45.141999999999996</v>
      </c>
      <c r="AV85" s="715">
        <f t="shared" si="263"/>
        <v>42.585999999999999</v>
      </c>
      <c r="AW85" s="715">
        <f>AW78+AW81</f>
        <v>44.600000000000009</v>
      </c>
      <c r="AX85" s="715">
        <f>IF(AX31="-","-",SUM(AX31)-SUM(AW31))</f>
        <v>16.572000000000003</v>
      </c>
      <c r="AY85" s="715">
        <f>AY78+AY81</f>
        <v>5.5900000000000034</v>
      </c>
      <c r="AZ85" s="705">
        <f t="shared" si="293"/>
        <v>109.34800000000001</v>
      </c>
      <c r="BA85" s="715">
        <f t="shared" si="265"/>
        <v>13.721</v>
      </c>
      <c r="BB85" s="1304">
        <f>IF(BB31="-","-",SUM(BB31)-SUM(BA31))</f>
        <v>38.629000000000005</v>
      </c>
      <c r="BC85" s="1304">
        <f>IF(BC31="-","-",SUM(BC31)-SUM(BB31))</f>
        <v>1.3599999999999994</v>
      </c>
      <c r="BD85" s="715">
        <f>BD78+BD81</f>
        <v>47.398999999999994</v>
      </c>
      <c r="BE85" s="705">
        <f t="shared" ref="BE85:BJ85" si="294">BE78+BE81</f>
        <v>101.10899999999999</v>
      </c>
      <c r="BF85" s="715">
        <f>BF78+BF81</f>
        <v>16.739000000000001</v>
      </c>
      <c r="BG85" s="1304">
        <f t="shared" si="294"/>
        <v>43.813999999999993</v>
      </c>
      <c r="BH85" s="1372">
        <f t="shared" si="294"/>
        <v>-32.444999999999993</v>
      </c>
      <c r="BI85" s="715">
        <f t="shared" si="294"/>
        <v>59.231999999999999</v>
      </c>
      <c r="BJ85" s="705">
        <f t="shared" si="294"/>
        <v>87.34</v>
      </c>
      <c r="BK85" s="715">
        <f>BK78+BK81</f>
        <v>79.51400000000001</v>
      </c>
      <c r="BL85" s="1304">
        <f>BL78+BL81</f>
        <v>-8.7700000000000031</v>
      </c>
      <c r="BM85" s="1372">
        <f>BM78+BM81</f>
        <v>35.884999999999998</v>
      </c>
      <c r="BN85" s="753">
        <f t="shared" ref="BN85:BT85" si="295">BN78+BN81</f>
        <v>94.737000000000009</v>
      </c>
      <c r="BO85" s="705">
        <f t="shared" si="295"/>
        <v>201.36600000000001</v>
      </c>
      <c r="BP85" s="715">
        <f t="shared" si="295"/>
        <v>52.274999999999999</v>
      </c>
      <c r="BQ85" s="1304">
        <f t="shared" si="295"/>
        <v>47.517000000000003</v>
      </c>
      <c r="BR85" s="1372">
        <f>BR78+BR81</f>
        <v>67.933999999999997</v>
      </c>
      <c r="BS85" s="1372">
        <f t="shared" si="295"/>
        <v>158.71199999999999</v>
      </c>
      <c r="BT85" s="705">
        <f t="shared" si="295"/>
        <v>326.43799999999999</v>
      </c>
      <c r="BU85" s="715">
        <f>BU31</f>
        <v>19.044</v>
      </c>
      <c r="BV85" s="1304">
        <f>BV78+BV81</f>
        <v>44.772000000000006</v>
      </c>
      <c r="BW85" s="1372">
        <f>BW78+BW81</f>
        <v>77.72</v>
      </c>
      <c r="BX85" s="1372">
        <f>BX78+BX81</f>
        <v>179.26499999999999</v>
      </c>
      <c r="BY85" s="705">
        <f t="shared" ref="BY85:CD85" si="296">BY78+BY81</f>
        <v>320.80099999999999</v>
      </c>
      <c r="BZ85" s="1372">
        <f t="shared" si="296"/>
        <v>123.366</v>
      </c>
      <c r="CA85" s="1304">
        <f>CA78+CA81</f>
        <v>68.356000000000009</v>
      </c>
      <c r="CB85" s="715">
        <f t="shared" si="296"/>
        <v>116.35299999999998</v>
      </c>
      <c r="CC85" s="715">
        <f t="shared" si="296"/>
        <v>216.76500000000004</v>
      </c>
      <c r="CD85" s="1380">
        <f t="shared" si="296"/>
        <v>524.84</v>
      </c>
      <c r="CE85" s="1372">
        <f t="shared" ref="CE85:CN85" si="297">CE78+CE81</f>
        <v>40.832000000000001</v>
      </c>
      <c r="CF85" s="1304">
        <f>CF78+CF81</f>
        <v>14.746000000000002</v>
      </c>
      <c r="CG85" s="715">
        <f t="shared" si="297"/>
        <v>129.87199999999999</v>
      </c>
      <c r="CH85" s="715">
        <f t="shared" si="297"/>
        <v>289.952</v>
      </c>
      <c r="CI85" s="1380">
        <f t="shared" si="297"/>
        <v>475.40199999999999</v>
      </c>
      <c r="CJ85" s="1255">
        <f t="shared" si="297"/>
        <v>77.794000000000324</v>
      </c>
      <c r="CK85" s="721">
        <f t="shared" si="297"/>
        <v>-21.224598223236299</v>
      </c>
      <c r="CL85" s="721">
        <f t="shared" si="297"/>
        <v>161.87930478079454</v>
      </c>
      <c r="CM85" s="721">
        <f t="shared" si="297"/>
        <v>250.40634210975054</v>
      </c>
      <c r="CN85" s="966">
        <f t="shared" si="297"/>
        <v>468.85504866730912</v>
      </c>
      <c r="CO85" s="1255">
        <f t="shared" ref="CO85:CX85" si="298">CO78+CO81</f>
        <v>93.328911256879422</v>
      </c>
      <c r="CP85" s="721">
        <f t="shared" si="298"/>
        <v>-38.641261496964162</v>
      </c>
      <c r="CQ85" s="721">
        <f t="shared" si="298"/>
        <v>197.40305701617845</v>
      </c>
      <c r="CR85" s="721">
        <f t="shared" si="298"/>
        <v>294.73809647560779</v>
      </c>
      <c r="CS85" s="966">
        <f t="shared" si="298"/>
        <v>546.82880325170152</v>
      </c>
      <c r="CT85" s="1255">
        <f t="shared" si="298"/>
        <v>89.290715301471039</v>
      </c>
      <c r="CU85" s="721">
        <f t="shared" si="298"/>
        <v>-70.217388142193244</v>
      </c>
      <c r="CV85" s="721">
        <f t="shared" si="298"/>
        <v>201.87358301805847</v>
      </c>
      <c r="CW85" s="721">
        <f t="shared" si="298"/>
        <v>311.88880451691841</v>
      </c>
      <c r="CX85" s="966">
        <f t="shared" si="298"/>
        <v>532.83571469425465</v>
      </c>
      <c r="CZ85" s="697"/>
      <c r="DA85" s="769"/>
      <c r="DB85" s="697"/>
      <c r="DC85" s="686"/>
    </row>
    <row r="86" spans="1:107" ht="10.5" customHeight="1">
      <c r="A86" s="699" t="s">
        <v>598</v>
      </c>
      <c r="B86" s="699"/>
      <c r="C86" s="715"/>
      <c r="D86" s="715"/>
      <c r="E86" s="715"/>
      <c r="F86" s="715"/>
      <c r="G86" s="705"/>
      <c r="H86" s="715"/>
      <c r="I86" s="715"/>
      <c r="J86" s="715"/>
      <c r="K86" s="715"/>
      <c r="L86" s="705"/>
      <c r="M86" s="715"/>
      <c r="N86" s="715"/>
      <c r="O86" s="715"/>
      <c r="P86" s="715"/>
      <c r="Q86" s="705"/>
      <c r="R86" s="715"/>
      <c r="S86" s="715"/>
      <c r="T86" s="715"/>
      <c r="U86" s="715"/>
      <c r="V86" s="705"/>
      <c r="W86" s="715"/>
      <c r="X86" s="715"/>
      <c r="Y86" s="715"/>
      <c r="Z86" s="715"/>
      <c r="AA86" s="705"/>
      <c r="AB86" s="715"/>
      <c r="AC86" s="715"/>
      <c r="AD86" s="715"/>
      <c r="AE86" s="715"/>
      <c r="AF86" s="705">
        <f t="shared" ref="AF86:AZ86" si="299">AF74+AF75+AF76+AF77+AF79+AF80+AF82+AF83+AF84</f>
        <v>27.658999999999992</v>
      </c>
      <c r="AG86" s="715">
        <f t="shared" si="299"/>
        <v>9.2400000000000055</v>
      </c>
      <c r="AH86" s="715">
        <f t="shared" si="299"/>
        <v>19.311999999999998</v>
      </c>
      <c r="AI86" s="715">
        <f t="shared" si="299"/>
        <v>148.38599999999997</v>
      </c>
      <c r="AJ86" s="715">
        <f t="shared" si="299"/>
        <v>9.9649999999998009</v>
      </c>
      <c r="AK86" s="705">
        <f t="shared" si="299"/>
        <v>186.90299999999979</v>
      </c>
      <c r="AL86" s="715">
        <f t="shared" si="299"/>
        <v>13.375</v>
      </c>
      <c r="AM86" s="715">
        <f>IF(AM32="-","-",SUM(AM32)-SUM(AL32))</f>
        <v>-41.89</v>
      </c>
      <c r="AN86" s="715">
        <f>IF(AN32="-","-",SUM(AN32)-SUM(AM32))</f>
        <v>-201.03100000000001</v>
      </c>
      <c r="AO86" s="715">
        <f>IF(AO32="-","-",SUM(AO32)-SUM(AN32))</f>
        <v>37.423999999999978</v>
      </c>
      <c r="AP86" s="705">
        <f t="shared" si="299"/>
        <v>-192.12200000000001</v>
      </c>
      <c r="AQ86" s="715">
        <f>AQ32</f>
        <v>92.63</v>
      </c>
      <c r="AR86" s="715">
        <f>IF(AR32="-","-",SUM(AR32)-SUM(AQ32))</f>
        <v>47.217000000000013</v>
      </c>
      <c r="AS86" s="715">
        <f>IF(AS32="-","-",SUM(AS32)-SUM(AR32))</f>
        <v>-8.4899999999999807</v>
      </c>
      <c r="AT86" s="715">
        <v>119.402</v>
      </c>
      <c r="AU86" s="705">
        <f t="shared" si="299"/>
        <v>250.75900000000004</v>
      </c>
      <c r="AV86" s="715">
        <f t="shared" si="263"/>
        <v>120.66699999999999</v>
      </c>
      <c r="AW86" s="715">
        <f>IF(AW32="-","-",SUM(AW32)-SUM(AV32))</f>
        <v>-39.202999999999975</v>
      </c>
      <c r="AX86" s="715">
        <f>IF(AX32="-","-",SUM(AX32)-SUM(AW32))</f>
        <v>-55.51700000000001</v>
      </c>
      <c r="AY86" s="715">
        <f>IF(AY32="-","-",SUM(AY32)-SUM(AX32))</f>
        <v>-60.779999999999973</v>
      </c>
      <c r="AZ86" s="705">
        <f t="shared" si="299"/>
        <v>-144.18099999999998</v>
      </c>
      <c r="BA86" s="715">
        <f t="shared" si="265"/>
        <v>-69.784999999999997</v>
      </c>
      <c r="BB86" s="1304">
        <f>IF(BB32="-","-",SUM(BB32)-SUM(BA32))</f>
        <v>18.268999999999998</v>
      </c>
      <c r="BC86" s="1304">
        <f>IF(BC32="-","-",SUM(BC32)-SUM(BB32))</f>
        <v>-29.125999999999983</v>
      </c>
      <c r="BD86" s="715">
        <f>IF(BD32="-","-",SUM(BD32)-SUM(BC32))</f>
        <v>158.35199999999998</v>
      </c>
      <c r="BE86" s="705">
        <f t="shared" ref="BE86:BJ86" si="300">BE74+BE75+BE76+BE77+BE79+BE80+BE82+BE83+BE84</f>
        <v>-23.398999999999987</v>
      </c>
      <c r="BF86" s="715">
        <f>BF74+BF75+BF76+BF77+BF79+BF80+BF82+BF83+BF84</f>
        <v>-79.917000000000002</v>
      </c>
      <c r="BG86" s="1304">
        <f t="shared" si="300"/>
        <v>51.08599999999997</v>
      </c>
      <c r="BH86" s="1372">
        <f>BH74+BH75+BH76+BH77+BH79+BH80+BH82+BH83+BH84</f>
        <v>-72.040999999999968</v>
      </c>
      <c r="BI86" s="715">
        <f t="shared" si="300"/>
        <v>23.939999999999994</v>
      </c>
      <c r="BJ86" s="705">
        <f t="shared" si="300"/>
        <v>-76.932000000000016</v>
      </c>
      <c r="BK86" s="715">
        <f>BK74+BK75+BK76+BK77+BK79+BK80+BK82+BK83+BK84</f>
        <v>6.3410000000000046</v>
      </c>
      <c r="BL86" s="1304">
        <f>BL74+BL75+BL76+BL77+BL79+BL80+BL82+BL83+BL84</f>
        <v>44.460999999999999</v>
      </c>
      <c r="BM86" s="1372">
        <f>BM74+BM75+BM76+BM77+BM79+BM80+BM82+BM83+BM84</f>
        <v>-86.703999999999994</v>
      </c>
      <c r="BN86" s="753">
        <f t="shared" ref="BN86:BT86" si="301">BN74+BN75+BN76+BN77+BN79+BN80+BN82+BN83+BN84</f>
        <v>-2.8219999999999956</v>
      </c>
      <c r="BO86" s="705">
        <f t="shared" si="301"/>
        <v>-38.72399999999999</v>
      </c>
      <c r="BP86" s="715">
        <f t="shared" si="301"/>
        <v>-4.9869999999999877</v>
      </c>
      <c r="BQ86" s="1304">
        <f t="shared" si="301"/>
        <v>62.988999999999997</v>
      </c>
      <c r="BR86" s="1372">
        <f>BR74+BR75+BR76+BR77+BR79+BR80+BR82+BR83+BR84</f>
        <v>4.5939999999999959</v>
      </c>
      <c r="BS86" s="1372">
        <f t="shared" si="301"/>
        <v>7.0459999999999976</v>
      </c>
      <c r="BT86" s="705">
        <f t="shared" si="301"/>
        <v>69.641999999999996</v>
      </c>
      <c r="BU86" s="715">
        <f>BU32</f>
        <v>-59.652000000000001</v>
      </c>
      <c r="BV86" s="1304">
        <f>BV74+BV75+BV76+BV77+BV79+BV80+BV82+BV83+BV84</f>
        <v>138.68799999999999</v>
      </c>
      <c r="BW86" s="1372">
        <f>BW74+BW75+BW76+BW77+BW79+BW80+BW82+BW83+BW84</f>
        <v>-45.260999999999996</v>
      </c>
      <c r="BX86" s="1372">
        <f>BX74+BX75+BX76+BX77+BX79+BX80+BX82+BX83+BX84</f>
        <v>-71.826999999999998</v>
      </c>
      <c r="BY86" s="705">
        <f t="shared" ref="BY86:CD86" si="302">BY74+BY75+BY76+BY77+BY79+BY80+BY82+BY83+BY84</f>
        <v>-57.095999999999989</v>
      </c>
      <c r="BZ86" s="1372">
        <f t="shared" si="302"/>
        <v>-111.185</v>
      </c>
      <c r="CA86" s="1304">
        <f>CA74+CA75+CA76+CA77+CA79+CA80+CA82+CA83+CA84</f>
        <v>8.4220000000000041</v>
      </c>
      <c r="CB86" s="715">
        <f t="shared" si="302"/>
        <v>-30.364000000000001</v>
      </c>
      <c r="CC86" s="715">
        <f t="shared" si="302"/>
        <v>-71.599999999999994</v>
      </c>
      <c r="CD86" s="1380">
        <f t="shared" si="302"/>
        <v>-204.727</v>
      </c>
      <c r="CE86" s="1372">
        <f t="shared" ref="CE86:CN86" si="303">CE74+CE75+CE76+CE77+CE79+CE80+CE82+CE83+CE84</f>
        <v>52.564</v>
      </c>
      <c r="CF86" s="1304">
        <f>CF74+CF75+CF76+CF77+CF79+CF80+CF82+CF83+CF84</f>
        <v>66.259999999999991</v>
      </c>
      <c r="CG86" s="715">
        <f t="shared" si="303"/>
        <v>-40.432000000000002</v>
      </c>
      <c r="CH86" s="715">
        <f t="shared" si="303"/>
        <v>-163.07900000000001</v>
      </c>
      <c r="CI86" s="1380">
        <f t="shared" si="303"/>
        <v>-84.687000000000012</v>
      </c>
      <c r="CJ86" s="1255">
        <f t="shared" si="303"/>
        <v>122.65</v>
      </c>
      <c r="CK86" s="721">
        <f t="shared" si="303"/>
        <v>31.022865788801106</v>
      </c>
      <c r="CL86" s="721">
        <f t="shared" si="303"/>
        <v>-135.08002528997119</v>
      </c>
      <c r="CM86" s="721">
        <f t="shared" si="303"/>
        <v>13.859342549168886</v>
      </c>
      <c r="CN86" s="966">
        <f t="shared" si="303"/>
        <v>32.452183047998801</v>
      </c>
      <c r="CO86" s="1255">
        <f t="shared" ref="CO86:CX86" si="304">CO74+CO75+CO76+CO77+CO79+CO80+CO82+CO83+CO84</f>
        <v>-34.959494188163148</v>
      </c>
      <c r="CP86" s="721">
        <f t="shared" si="304"/>
        <v>47.307105676446341</v>
      </c>
      <c r="CQ86" s="721">
        <f t="shared" si="304"/>
        <v>-164.85088139643142</v>
      </c>
      <c r="CR86" s="721">
        <f t="shared" si="304"/>
        <v>10.586180678528507</v>
      </c>
      <c r="CS86" s="966">
        <f t="shared" si="304"/>
        <v>-141.91708922961973</v>
      </c>
      <c r="CT86" s="1255">
        <f t="shared" si="304"/>
        <v>14.898820820098734</v>
      </c>
      <c r="CU86" s="721">
        <f t="shared" si="304"/>
        <v>64.988371837708002</v>
      </c>
      <c r="CV86" s="721">
        <f t="shared" si="304"/>
        <v>-181.72968789101711</v>
      </c>
      <c r="CW86" s="721">
        <f t="shared" si="304"/>
        <v>18.121675348295838</v>
      </c>
      <c r="CX86" s="966">
        <f t="shared" si="304"/>
        <v>-83.720819884914533</v>
      </c>
      <c r="CZ86" s="697"/>
      <c r="DA86" s="769"/>
      <c r="DB86" s="697"/>
      <c r="DC86" s="686"/>
    </row>
    <row r="87" spans="1:107" ht="10.5" customHeight="1">
      <c r="A87" s="706" t="s">
        <v>745</v>
      </c>
      <c r="B87" s="706"/>
      <c r="C87" s="707">
        <f t="shared" ref="C87:AE87" si="305">SUM(C62:C84)</f>
        <v>62.950999999999972</v>
      </c>
      <c r="D87" s="707">
        <f t="shared" si="305"/>
        <v>49.883000000000045</v>
      </c>
      <c r="E87" s="707">
        <f t="shared" si="305"/>
        <v>26.099000000000004</v>
      </c>
      <c r="F87" s="707">
        <f t="shared" si="305"/>
        <v>240.24899999999991</v>
      </c>
      <c r="G87" s="708">
        <f t="shared" si="305"/>
        <v>379.18199999999996</v>
      </c>
      <c r="H87" s="707">
        <f t="shared" si="305"/>
        <v>38.063000000000009</v>
      </c>
      <c r="I87" s="707">
        <f t="shared" si="305"/>
        <v>108.77000000000005</v>
      </c>
      <c r="J87" s="707">
        <f t="shared" si="305"/>
        <v>46.579000000000036</v>
      </c>
      <c r="K87" s="707">
        <f t="shared" si="305"/>
        <v>135.91899999999995</v>
      </c>
      <c r="L87" s="708">
        <f t="shared" si="305"/>
        <v>329.33100000000007</v>
      </c>
      <c r="M87" s="707">
        <f t="shared" si="305"/>
        <v>79.346999999999952</v>
      </c>
      <c r="N87" s="707">
        <f t="shared" si="305"/>
        <v>128.09099999999995</v>
      </c>
      <c r="O87" s="707">
        <f t="shared" si="305"/>
        <v>97.08299999999997</v>
      </c>
      <c r="P87" s="707">
        <f t="shared" si="305"/>
        <v>128.61499999999998</v>
      </c>
      <c r="Q87" s="708">
        <f t="shared" si="305"/>
        <v>433.1359999999998</v>
      </c>
      <c r="R87" s="707">
        <f t="shared" si="305"/>
        <v>185.46099999999993</v>
      </c>
      <c r="S87" s="707">
        <f t="shared" si="305"/>
        <v>146.99999999999994</v>
      </c>
      <c r="T87" s="707">
        <f t="shared" si="305"/>
        <v>160.44599999999997</v>
      </c>
      <c r="U87" s="707">
        <f t="shared" si="305"/>
        <v>190.83699999999999</v>
      </c>
      <c r="V87" s="708">
        <f t="shared" si="305"/>
        <v>683.7439999999998</v>
      </c>
      <c r="W87" s="707">
        <f t="shared" si="305"/>
        <v>164.09700000000001</v>
      </c>
      <c r="X87" s="707">
        <f t="shared" si="305"/>
        <v>170.98199999999986</v>
      </c>
      <c r="Y87" s="707">
        <f t="shared" si="305"/>
        <v>173.02099999999993</v>
      </c>
      <c r="Z87" s="707">
        <f t="shared" si="305"/>
        <v>222.25300000000004</v>
      </c>
      <c r="AA87" s="708">
        <f t="shared" si="305"/>
        <v>730.35299999999984</v>
      </c>
      <c r="AB87" s="707">
        <f t="shared" si="305"/>
        <v>177.80100000000007</v>
      </c>
      <c r="AC87" s="707">
        <f t="shared" si="305"/>
        <v>241.26600000000002</v>
      </c>
      <c r="AD87" s="707">
        <f t="shared" si="305"/>
        <v>180.19099999999997</v>
      </c>
      <c r="AE87" s="707">
        <f t="shared" si="305"/>
        <v>236.68399999999997</v>
      </c>
      <c r="AF87" s="708">
        <f t="shared" ref="AF87:BF87" si="306">SUM(AF62:AF73)+AF85+AF86</f>
        <v>835.94199999999967</v>
      </c>
      <c r="AG87" s="707">
        <f t="shared" si="306"/>
        <v>270.51800000000014</v>
      </c>
      <c r="AH87" s="707">
        <f t="shared" si="306"/>
        <v>345.399</v>
      </c>
      <c r="AI87" s="707">
        <f t="shared" si="306"/>
        <v>425.1699999999999</v>
      </c>
      <c r="AJ87" s="707">
        <f t="shared" si="306"/>
        <v>398.02699999999976</v>
      </c>
      <c r="AK87" s="708">
        <f t="shared" si="306"/>
        <v>1439.1139999999998</v>
      </c>
      <c r="AL87" s="707">
        <f t="shared" si="306"/>
        <v>399.3</v>
      </c>
      <c r="AM87" s="707">
        <f t="shared" si="306"/>
        <v>331.791</v>
      </c>
      <c r="AN87" s="707">
        <f t="shared" si="306"/>
        <v>211.7709999999999</v>
      </c>
      <c r="AO87" s="707">
        <f t="shared" si="306"/>
        <v>337.81999999999994</v>
      </c>
      <c r="AP87" s="708">
        <f t="shared" si="306"/>
        <v>1280.6819999999998</v>
      </c>
      <c r="AQ87" s="707">
        <f t="shared" si="306"/>
        <v>365.74299999999994</v>
      </c>
      <c r="AR87" s="707">
        <f t="shared" si="306"/>
        <v>261.52900000000005</v>
      </c>
      <c r="AS87" s="707">
        <f t="shared" si="306"/>
        <v>236.68100000000013</v>
      </c>
      <c r="AT87" s="707">
        <f t="shared" si="306"/>
        <v>253.81900000000002</v>
      </c>
      <c r="AU87" s="708">
        <f t="shared" si="306"/>
        <v>1117.7720000000002</v>
      </c>
      <c r="AV87" s="707">
        <f>SUM(AV62:AV73)+AV85+AV86</f>
        <v>302.38899999999995</v>
      </c>
      <c r="AW87" s="707">
        <f>SUM(AW62:AW73)+AW85+AW86</f>
        <v>295.69</v>
      </c>
      <c r="AX87" s="707">
        <f>SUM(AX62:AX73)+AX85+AX86</f>
        <v>308.04299999999995</v>
      </c>
      <c r="AY87" s="707">
        <f>SUM(AY62:AY73)+AY85+AY86</f>
        <v>316.21099999999979</v>
      </c>
      <c r="AZ87" s="708">
        <f t="shared" si="306"/>
        <v>1112.9849999999997</v>
      </c>
      <c r="BA87" s="707">
        <f>SUM(BA62:BA73)+BA85+BA86</f>
        <v>345.82299999999998</v>
      </c>
      <c r="BB87" s="1305">
        <f>SUM(BB62:BB73)+BB85+BB86</f>
        <v>427.96</v>
      </c>
      <c r="BC87" s="1305">
        <f>SUM(BC62:BC73)+BC85+BC86</f>
        <v>326.48800000000006</v>
      </c>
      <c r="BD87" s="707">
        <f>SUM(BD62:BD73)+BD85+BD86</f>
        <v>544.15199999999993</v>
      </c>
      <c r="BE87" s="708">
        <f t="shared" si="306"/>
        <v>1543.3140000000001</v>
      </c>
      <c r="BF87" s="707">
        <f t="shared" si="306"/>
        <v>314.36299999999994</v>
      </c>
      <c r="BG87" s="1305">
        <f t="shared" ref="BG87:BO87" si="307">SUM(BG62:BG73)+BG85+BG86</f>
        <v>448.2179999999999</v>
      </c>
      <c r="BH87" s="1373">
        <f t="shared" si="307"/>
        <v>263.34000000000003</v>
      </c>
      <c r="BI87" s="707">
        <f t="shared" si="307"/>
        <v>473.65900000000005</v>
      </c>
      <c r="BJ87" s="708">
        <f t="shared" si="307"/>
        <v>1499.5799999999997</v>
      </c>
      <c r="BK87" s="707">
        <f t="shared" si="307"/>
        <v>322.03100000000001</v>
      </c>
      <c r="BL87" s="1305">
        <f>SUM(BL62:BL73)+BL85+BL86</f>
        <v>299.14800000000002</v>
      </c>
      <c r="BM87" s="1373">
        <f>SUM(BM62:BM73)+BM85+BM86</f>
        <v>215.52499999999992</v>
      </c>
      <c r="BN87" s="707">
        <f t="shared" si="307"/>
        <v>314.98200000000003</v>
      </c>
      <c r="BO87" s="708">
        <f t="shared" si="307"/>
        <v>1151.6860000000001</v>
      </c>
      <c r="BP87" s="707">
        <f t="shared" ref="BP87:BY87" si="308">SUM(BP62:BP73)+BP85+BP86</f>
        <v>251.67299999999997</v>
      </c>
      <c r="BQ87" s="1305">
        <f>SUM(BQ62:BQ73)+BQ85+BQ86</f>
        <v>367.536</v>
      </c>
      <c r="BR87" s="1373">
        <f>SUM(BR62:BR73)+BR85+BR86</f>
        <v>268.52000000000004</v>
      </c>
      <c r="BS87" s="1373">
        <f t="shared" si="308"/>
        <v>399.75299999999999</v>
      </c>
      <c r="BT87" s="708">
        <f t="shared" si="308"/>
        <v>1287.4820000000002</v>
      </c>
      <c r="BU87" s="707">
        <f t="shared" si="308"/>
        <v>202.05900000000008</v>
      </c>
      <c r="BV87" s="1305">
        <f>SUM(BV62:BV73)+BV85+BV86</f>
        <v>471.48399999999992</v>
      </c>
      <c r="BW87" s="1373">
        <f>SUM(BW62:BW73)+BW85+BW86</f>
        <v>360.48800000000006</v>
      </c>
      <c r="BX87" s="1373">
        <f>SUM(BX62:BX73)+BX85+BX86</f>
        <v>454.5150000000001</v>
      </c>
      <c r="BY87" s="708">
        <f t="shared" si="308"/>
        <v>1469.502</v>
      </c>
      <c r="BZ87" s="1373">
        <f t="shared" ref="BZ87:CN87" si="309">SUM(BZ62:BZ73)+BZ85+BZ86</f>
        <v>497.5270000000001</v>
      </c>
      <c r="CA87" s="1373">
        <f t="shared" si="309"/>
        <v>488.71499999999992</v>
      </c>
      <c r="CB87" s="707">
        <f t="shared" si="309"/>
        <v>517.88499999999999</v>
      </c>
      <c r="CC87" s="707">
        <f t="shared" si="309"/>
        <v>695.601</v>
      </c>
      <c r="CD87" s="1381">
        <f t="shared" si="309"/>
        <v>2199.7280000000001</v>
      </c>
      <c r="CE87" s="1373">
        <f t="shared" si="309"/>
        <v>730.37000000000012</v>
      </c>
      <c r="CF87" s="1373">
        <f t="shared" ref="CF87" si="310">SUM(CF62:CF73)+CF85+CF86</f>
        <v>644.827</v>
      </c>
      <c r="CG87" s="707">
        <f t="shared" si="309"/>
        <v>704.43599999999981</v>
      </c>
      <c r="CH87" s="707">
        <f t="shared" si="309"/>
        <v>833.22</v>
      </c>
      <c r="CI87" s="1381">
        <f t="shared" si="309"/>
        <v>2912.8530000000001</v>
      </c>
      <c r="CJ87" s="1257">
        <f t="shared" si="309"/>
        <v>989.60100000000034</v>
      </c>
      <c r="CK87" s="709">
        <f t="shared" si="309"/>
        <v>856.45765350847955</v>
      </c>
      <c r="CL87" s="709">
        <f t="shared" si="309"/>
        <v>910.59484030696285</v>
      </c>
      <c r="CM87" s="709">
        <f t="shared" si="309"/>
        <v>1196.5486689053444</v>
      </c>
      <c r="CN87" s="967">
        <f t="shared" si="309"/>
        <v>3953.2021627207878</v>
      </c>
      <c r="CO87" s="1257">
        <f t="shared" ref="CO87:CX87" si="311">SUM(CO62:CO73)+CO85+CO86</f>
        <v>1002.3379860508379</v>
      </c>
      <c r="CP87" s="709">
        <f t="shared" si="311"/>
        <v>989.17959855846186</v>
      </c>
      <c r="CQ87" s="709">
        <f t="shared" si="311"/>
        <v>1045.8795383815846</v>
      </c>
      <c r="CR87" s="709">
        <f t="shared" si="311"/>
        <v>1373.877628000409</v>
      </c>
      <c r="CS87" s="967">
        <f t="shared" si="311"/>
        <v>4411.2747509912933</v>
      </c>
      <c r="CT87" s="1257">
        <f t="shared" si="311"/>
        <v>1232.2380947587969</v>
      </c>
      <c r="CU87" s="709">
        <f t="shared" si="311"/>
        <v>1171.1388694312548</v>
      </c>
      <c r="CV87" s="709">
        <f t="shared" si="311"/>
        <v>1227.8537801887985</v>
      </c>
      <c r="CW87" s="709">
        <f t="shared" si="311"/>
        <v>1594.6560249191334</v>
      </c>
      <c r="CX87" s="967">
        <f t="shared" si="311"/>
        <v>5225.8867692979829</v>
      </c>
      <c r="CZ87" s="686"/>
      <c r="DA87" s="769"/>
      <c r="DB87" s="697"/>
      <c r="DC87" s="686"/>
    </row>
    <row r="88" spans="1:107" ht="10.5" customHeight="1">
      <c r="A88" s="693" t="s">
        <v>674</v>
      </c>
      <c r="B88" s="693"/>
      <c r="C88" s="687"/>
      <c r="D88" s="687"/>
      <c r="E88" s="687"/>
      <c r="F88" s="687"/>
      <c r="G88" s="764"/>
      <c r="H88" s="687"/>
      <c r="I88" s="687"/>
      <c r="J88" s="687"/>
      <c r="K88" s="687"/>
      <c r="L88" s="764"/>
      <c r="M88" s="687"/>
      <c r="N88" s="687"/>
      <c r="O88" s="687"/>
      <c r="P88" s="687"/>
      <c r="Q88" s="764"/>
      <c r="R88" s="687"/>
      <c r="S88" s="687"/>
      <c r="T88" s="687"/>
      <c r="U88" s="687"/>
      <c r="V88" s="764"/>
      <c r="W88" s="687"/>
      <c r="X88" s="687"/>
      <c r="Y88" s="687"/>
      <c r="Z88" s="687"/>
      <c r="AA88" s="764"/>
      <c r="AB88" s="687"/>
      <c r="AC88" s="687"/>
      <c r="AD88" s="687"/>
      <c r="AE88" s="687"/>
      <c r="AF88" s="764"/>
      <c r="AG88" s="687"/>
      <c r="AH88" s="687"/>
      <c r="AI88" s="687"/>
      <c r="AJ88" s="687"/>
      <c r="AK88" s="764"/>
      <c r="AL88" s="687"/>
      <c r="AM88" s="687"/>
      <c r="AN88" s="687"/>
      <c r="AO88" s="687"/>
      <c r="AP88" s="764"/>
      <c r="AQ88" s="687"/>
      <c r="AR88" s="1072"/>
      <c r="AS88" s="417"/>
      <c r="AT88" s="417"/>
      <c r="AU88" s="869"/>
      <c r="AV88" s="687"/>
      <c r="AW88" s="687"/>
      <c r="AX88" s="687"/>
      <c r="AY88" s="417"/>
      <c r="AZ88" s="869"/>
      <c r="BA88" s="687"/>
      <c r="BB88" s="1306"/>
      <c r="BC88" s="417"/>
      <c r="BD88" s="417"/>
      <c r="BE88" s="869"/>
      <c r="BF88" s="687"/>
      <c r="BG88" s="1306"/>
      <c r="BH88" s="761"/>
      <c r="BI88" s="417"/>
      <c r="BJ88" s="869"/>
      <c r="BK88" s="687"/>
      <c r="BL88" s="1306"/>
      <c r="BM88" s="761"/>
      <c r="BN88" s="1434"/>
      <c r="BO88" s="869"/>
      <c r="BP88" s="687"/>
      <c r="BQ88" s="1306"/>
      <c r="BR88" s="761"/>
      <c r="BS88" s="761"/>
      <c r="BT88" s="869"/>
      <c r="BU88" s="687"/>
      <c r="BV88" s="1306"/>
      <c r="BW88" s="1306"/>
      <c r="BX88" s="1306"/>
      <c r="BY88" s="869"/>
      <c r="BZ88" s="417"/>
      <c r="CA88" s="1306"/>
      <c r="CB88" s="707"/>
      <c r="CC88" s="707"/>
      <c r="CD88" s="1685">
        <f>CD87/BY87-1</f>
        <v>0.49692072552470168</v>
      </c>
      <c r="CE88" s="417"/>
      <c r="CF88" s="1306"/>
      <c r="CG88" s="707"/>
      <c r="CH88" s="417"/>
      <c r="CI88" s="1685">
        <f>CI87/CD87-1</f>
        <v>0.32418780867452712</v>
      </c>
      <c r="CJ88" s="418"/>
      <c r="CK88" s="418"/>
      <c r="CL88" s="418"/>
      <c r="CM88" s="418"/>
      <c r="CN88" s="1065">
        <f>CN87/CI87-1</f>
        <v>0.35715814108051025</v>
      </c>
      <c r="CO88" s="418"/>
      <c r="CP88" s="418"/>
      <c r="CQ88" s="418"/>
      <c r="CR88" s="418"/>
      <c r="CS88" s="1065">
        <f>CS87/CN87-1</f>
        <v>0.11587380797020441</v>
      </c>
      <c r="CT88" s="418"/>
      <c r="CU88" s="418"/>
      <c r="CV88" s="418"/>
      <c r="CW88" s="418"/>
      <c r="CX88" s="1065">
        <f>CX87/CS87-1</f>
        <v>0.18466589915389675</v>
      </c>
      <c r="CZ88" s="697"/>
      <c r="DA88" s="769"/>
      <c r="DC88" s="697"/>
    </row>
    <row r="89" spans="1:107" ht="10.5" customHeight="1">
      <c r="A89" s="699" t="s">
        <v>769</v>
      </c>
      <c r="B89" s="699"/>
      <c r="C89" s="715">
        <f>C35</f>
        <v>0</v>
      </c>
      <c r="D89" s="715">
        <f t="shared" ref="D89:F93" si="312">IF(D35="-","-",SUM(D35)-SUM(C35))</f>
        <v>0</v>
      </c>
      <c r="E89" s="715">
        <f t="shared" si="312"/>
        <v>0</v>
      </c>
      <c r="F89" s="715">
        <f t="shared" si="312"/>
        <v>-43.173999999999999</v>
      </c>
      <c r="G89" s="705">
        <f>SUM(C89:F89)</f>
        <v>-43.173999999999999</v>
      </c>
      <c r="H89" s="715">
        <f>H35</f>
        <v>-5.7290000000000001</v>
      </c>
      <c r="I89" s="715">
        <f t="shared" ref="I89:K93" si="313">IF(I35="-","-",SUM(I35)-SUM(H35))</f>
        <v>-7.2610000000000001</v>
      </c>
      <c r="J89" s="715">
        <f t="shared" si="313"/>
        <v>-7.2780000000000005</v>
      </c>
      <c r="K89" s="715">
        <f t="shared" si="313"/>
        <v>-11.309999999999999</v>
      </c>
      <c r="L89" s="705">
        <f>SUM(H89:K89)</f>
        <v>-31.577999999999999</v>
      </c>
      <c r="M89" s="715">
        <f>M35</f>
        <v>-7.49</v>
      </c>
      <c r="N89" s="715">
        <f t="shared" ref="N89:P93" si="314">IF(N35="-","-",SUM(N35)-SUM(M35))</f>
        <v>-11.691999999999998</v>
      </c>
      <c r="O89" s="715">
        <f t="shared" si="314"/>
        <v>-7.6820000000000022</v>
      </c>
      <c r="P89" s="715">
        <f t="shared" si="314"/>
        <v>-12.59</v>
      </c>
      <c r="Q89" s="705">
        <f>SUM(M89:P89)</f>
        <v>-39.454000000000001</v>
      </c>
      <c r="R89" s="715">
        <f>R35</f>
        <v>-14.444000000000001</v>
      </c>
      <c r="S89" s="715">
        <f t="shared" ref="S89:U93" si="315">IF(S35="-","-",SUM(S35)-SUM(R35))</f>
        <v>-12.490999999999998</v>
      </c>
      <c r="T89" s="715">
        <f t="shared" si="315"/>
        <v>-14.416999999999998</v>
      </c>
      <c r="U89" s="715">
        <f t="shared" si="315"/>
        <v>-21.874000000000002</v>
      </c>
      <c r="V89" s="705">
        <f>SUM(R89:U89)</f>
        <v>-63.225999999999999</v>
      </c>
      <c r="W89" s="715">
        <f>W35</f>
        <v>-11.512</v>
      </c>
      <c r="X89" s="715">
        <f t="shared" ref="X89:Z93" si="316">IF(X35="-","-",SUM(X35)-SUM(W35))</f>
        <v>-9.1239999999999988</v>
      </c>
      <c r="Y89" s="715">
        <f t="shared" si="316"/>
        <v>-17.470000000000002</v>
      </c>
      <c r="Z89" s="715">
        <f t="shared" si="316"/>
        <v>-10.768999999999998</v>
      </c>
      <c r="AA89" s="705">
        <f>SUM(W89:Z89)</f>
        <v>-48.875</v>
      </c>
      <c r="AB89" s="715">
        <f>AB35</f>
        <v>-11.634</v>
      </c>
      <c r="AC89" s="715">
        <f t="shared" ref="AC89:AE93" si="317">IF(AC35="-","-",SUM(AC35)-SUM(AB35))</f>
        <v>-19.683</v>
      </c>
      <c r="AD89" s="715">
        <f t="shared" si="317"/>
        <v>-18.851999999999997</v>
      </c>
      <c r="AE89" s="715">
        <f t="shared" si="317"/>
        <v>-23.548999999999992</v>
      </c>
      <c r="AF89" s="705">
        <f>SUM(AB89:AE89)</f>
        <v>-73.717999999999989</v>
      </c>
      <c r="AG89" s="715">
        <f>AG35</f>
        <v>-48.3</v>
      </c>
      <c r="AH89" s="715">
        <f t="shared" ref="AH89:AJ93" si="318">IF(AH35="-","-",SUM(AH35)-SUM(AG35))</f>
        <v>-23.484000000000009</v>
      </c>
      <c r="AI89" s="715">
        <f t="shared" si="318"/>
        <v>-32.159999999999997</v>
      </c>
      <c r="AJ89" s="715">
        <f t="shared" si="318"/>
        <v>-28.130999999999986</v>
      </c>
      <c r="AK89" s="705">
        <f>SUM(AG89:AJ89)</f>
        <v>-132.07499999999999</v>
      </c>
      <c r="AL89" s="715">
        <f>AL35</f>
        <v>-26.268000000000001</v>
      </c>
      <c r="AM89" s="715">
        <f t="shared" ref="AM89:AO93" si="319">IF(AM35="-","-",SUM(AM35)-SUM(AL35))</f>
        <v>-22.402999999999999</v>
      </c>
      <c r="AN89" s="715">
        <f t="shared" si="319"/>
        <v>-39.809999999999995</v>
      </c>
      <c r="AO89" s="715">
        <f t="shared" si="319"/>
        <v>-23.311000000000007</v>
      </c>
      <c r="AP89" s="705">
        <f>SUM(AL89:AO89)</f>
        <v>-111.792</v>
      </c>
      <c r="AQ89" s="715">
        <f>AQ35</f>
        <v>-15.916</v>
      </c>
      <c r="AR89" s="715">
        <f t="shared" ref="AR89:AS93" si="320">IF(AR35="-","-",SUM(AR35)-SUM(AQ35))</f>
        <v>-10.312000000000001</v>
      </c>
      <c r="AS89" s="715">
        <f t="shared" si="320"/>
        <v>-58.43099999999999</v>
      </c>
      <c r="AT89" s="715">
        <v>-34.933</v>
      </c>
      <c r="AU89" s="705">
        <f>SUM(AQ89:AT89)</f>
        <v>-119.59199999999998</v>
      </c>
      <c r="AV89" s="715">
        <f>AV35</f>
        <v>-25.547000000000001</v>
      </c>
      <c r="AW89" s="715">
        <f t="shared" ref="AW89:AY93" si="321">IF(AW35="-","-",SUM(AW35)-SUM(AV35))</f>
        <v>-49.628</v>
      </c>
      <c r="AX89" s="715">
        <f t="shared" si="321"/>
        <v>-6.8889999999999958</v>
      </c>
      <c r="AY89" s="715">
        <f t="shared" si="321"/>
        <v>-55.426999999999992</v>
      </c>
      <c r="AZ89" s="705">
        <f>SUM(AV89:AY89)</f>
        <v>-137.49099999999999</v>
      </c>
      <c r="BA89" s="715">
        <f>BA35</f>
        <v>-32.420999999999999</v>
      </c>
      <c r="BB89" s="1304">
        <f t="shared" ref="BB89:BD93" si="322">IF(BB35="-","-",SUM(BB35)-SUM(BA35))</f>
        <v>-37.500999999999998</v>
      </c>
      <c r="BC89" s="715">
        <f t="shared" si="322"/>
        <v>-65.474999999999994</v>
      </c>
      <c r="BD89" s="715">
        <f t="shared" si="322"/>
        <v>-74.896999999999991</v>
      </c>
      <c r="BE89" s="705">
        <f>SUM(BA89:BD89)</f>
        <v>-210.29399999999998</v>
      </c>
      <c r="BF89" s="715">
        <f>BF35</f>
        <v>-51.088000000000001</v>
      </c>
      <c r="BG89" s="1304">
        <f t="shared" ref="BG89:BI93" si="323">IF(BG35="-","-",SUM(BG35)-SUM(BF35))</f>
        <v>-60.767000000000003</v>
      </c>
      <c r="BH89" s="1372">
        <f t="shared" si="323"/>
        <v>-77.432000000000002</v>
      </c>
      <c r="BI89" s="715">
        <f t="shared" si="323"/>
        <v>-81.789000000000016</v>
      </c>
      <c r="BJ89" s="705">
        <f>SUM(BF89:BI89)</f>
        <v>-271.07600000000002</v>
      </c>
      <c r="BK89" s="715">
        <f>BK35</f>
        <v>-60.19</v>
      </c>
      <c r="BL89" s="1304">
        <f t="shared" ref="BL89:BN93" si="324">IF(BL35="-","-",SUM(BL35)-SUM(BK35))</f>
        <v>-46.248999999999995</v>
      </c>
      <c r="BM89" s="1372">
        <f t="shared" si="324"/>
        <v>-46.798000000000002</v>
      </c>
      <c r="BN89" s="753">
        <f t="shared" si="324"/>
        <v>-35.121000000000009</v>
      </c>
      <c r="BO89" s="705">
        <f>SUM(BK89:BN89)</f>
        <v>-188.358</v>
      </c>
      <c r="BP89" s="715">
        <f>BP35</f>
        <v>-29.393000000000001</v>
      </c>
      <c r="BQ89" s="1304">
        <f t="shared" ref="BQ89:BS93" si="325">IF(BQ35="-","-",SUM(BQ35)-SUM(BP35))</f>
        <v>-27.198</v>
      </c>
      <c r="BR89" s="1372">
        <f t="shared" si="325"/>
        <v>-54.966000000000001</v>
      </c>
      <c r="BS89" s="1372">
        <f t="shared" si="325"/>
        <v>-36.774999999999991</v>
      </c>
      <c r="BT89" s="705">
        <f>SUM(BP89:BS89)</f>
        <v>-148.33199999999999</v>
      </c>
      <c r="BU89" s="715">
        <f>BU35</f>
        <v>-35.545999999999999</v>
      </c>
      <c r="BV89" s="1304">
        <f t="shared" ref="BV89:BW93" si="326">IF(BV35="-","-",SUM(BV35)-SUM(BU35))</f>
        <v>-35.729999999999997</v>
      </c>
      <c r="BW89" s="1372">
        <f t="shared" si="326"/>
        <v>-48.983999999999995</v>
      </c>
      <c r="BX89" s="1372">
        <f>IF(BX35="-","-",SUM(BX35)-SUM(BW35))</f>
        <v>-64.676000000000016</v>
      </c>
      <c r="BY89" s="705">
        <f>SUM(BU89:BX89)</f>
        <v>-184.93600000000001</v>
      </c>
      <c r="BZ89" s="1372">
        <f>BZ35</f>
        <v>-46.2</v>
      </c>
      <c r="CA89" s="1304">
        <f>IF(CA35="-","-",SUM(CA35)-SUM(BZ35))</f>
        <v>-53.759</v>
      </c>
      <c r="CB89" s="715">
        <f t="shared" ref="CB89:CC93" si="327">IF(CB35="-","-",SUM(CB35)-SUM(CA35))</f>
        <v>-55.212999999999994</v>
      </c>
      <c r="CC89" s="715">
        <f t="shared" si="327"/>
        <v>-48.63300000000001</v>
      </c>
      <c r="CD89" s="1380">
        <f>SUM(BZ89:CC89)</f>
        <v>-203.80500000000001</v>
      </c>
      <c r="CE89" s="1372">
        <f>CE35</f>
        <v>-30.902999999999999</v>
      </c>
      <c r="CF89" s="1304">
        <f>IF(CF35="-","-",SUM(CF35)-SUM(CE35))</f>
        <v>-55.297000000000004</v>
      </c>
      <c r="CG89" s="715">
        <f t="shared" ref="CG89:CH93" si="328">IF(CG35="-","-",SUM(CG35)-SUM(CF35))</f>
        <v>-54.237999999999985</v>
      </c>
      <c r="CH89" s="715">
        <f t="shared" si="328"/>
        <v>-37.684000000000026</v>
      </c>
      <c r="CI89" s="1380">
        <f>SUM(CE89:CH89)</f>
        <v>-178.12200000000001</v>
      </c>
      <c r="CJ89" s="1255">
        <f>CJ35</f>
        <v>-95.141999999999996</v>
      </c>
      <c r="CK89" s="721">
        <f t="shared" ref="CK89:CM93" si="329">IF(CK35="-","-",SUM(CK35)-SUM(CJ35))</f>
        <v>-56.711323987638821</v>
      </c>
      <c r="CL89" s="721">
        <f t="shared" si="329"/>
        <v>-59.65413647173483</v>
      </c>
      <c r="CM89" s="721">
        <f t="shared" si="329"/>
        <v>-62.266602819523484</v>
      </c>
      <c r="CN89" s="966">
        <f>SUM(CJ89:CM89)</f>
        <v>-273.77406327889713</v>
      </c>
      <c r="CO89" s="1255">
        <f>CO35</f>
        <v>-64.993145852362787</v>
      </c>
      <c r="CP89" s="721">
        <f t="shared" ref="CP89:CR93" si="330">IF(CP35="-","-",SUM(CP35)-SUM(CO35))</f>
        <v>-67.764838626835441</v>
      </c>
      <c r="CQ89" s="721">
        <f t="shared" si="330"/>
        <v>-70.681429389047821</v>
      </c>
      <c r="CR89" s="721">
        <f t="shared" si="330"/>
        <v>-73.7397103388451</v>
      </c>
      <c r="CS89" s="966">
        <f>SUM(CO89:CR89)</f>
        <v>-277.17912420709115</v>
      </c>
      <c r="CT89" s="1255">
        <f>CT35</f>
        <v>-76.791730269787124</v>
      </c>
      <c r="CU89" s="721">
        <f t="shared" ref="CU89:CU93" si="331">IF(CU35="-","-",SUM(CU35)-SUM(CT35))</f>
        <v>-79.82229991639521</v>
      </c>
      <c r="CV89" s="721">
        <f t="shared" ref="CV89:CV93" si="332">IF(CV35="-","-",SUM(CV35)-SUM(CU35))</f>
        <v>-82.810863686344987</v>
      </c>
      <c r="CW89" s="721">
        <f t="shared" ref="CW89:CW93" si="333">IF(CW35="-","-",SUM(CW35)-SUM(CV35))</f>
        <v>-85.785701284531456</v>
      </c>
      <c r="CX89" s="966">
        <f>SUM(CT89:CW89)</f>
        <v>-325.21059515705878</v>
      </c>
      <c r="CZ89" s="697"/>
      <c r="DA89" s="769"/>
      <c r="DB89" s="697"/>
      <c r="DC89" s="1248"/>
    </row>
    <row r="90" spans="1:107" ht="10.5" customHeight="1">
      <c r="A90" s="699" t="s">
        <v>381</v>
      </c>
      <c r="B90" s="699"/>
      <c r="C90" s="715">
        <f>C36</f>
        <v>0</v>
      </c>
      <c r="D90" s="715">
        <f t="shared" si="312"/>
        <v>0</v>
      </c>
      <c r="E90" s="715">
        <f t="shared" si="312"/>
        <v>0</v>
      </c>
      <c r="F90" s="715">
        <f t="shared" si="312"/>
        <v>0</v>
      </c>
      <c r="G90" s="705">
        <f>SUM(C90:F90)</f>
        <v>0</v>
      </c>
      <c r="H90" s="715">
        <f>H36</f>
        <v>0</v>
      </c>
      <c r="I90" s="715">
        <f t="shared" si="313"/>
        <v>7.3449999999999998</v>
      </c>
      <c r="J90" s="715">
        <f t="shared" si="313"/>
        <v>0</v>
      </c>
      <c r="K90" s="715">
        <f t="shared" si="313"/>
        <v>0</v>
      </c>
      <c r="L90" s="705">
        <f>SUM(H90:K90)</f>
        <v>7.3449999999999998</v>
      </c>
      <c r="M90" s="715">
        <f>M36</f>
        <v>0</v>
      </c>
      <c r="N90" s="715">
        <f t="shared" si="314"/>
        <v>-16.5</v>
      </c>
      <c r="O90" s="715">
        <f t="shared" si="314"/>
        <v>0</v>
      </c>
      <c r="P90" s="715">
        <f t="shared" si="314"/>
        <v>0</v>
      </c>
      <c r="Q90" s="705">
        <f>SUM(M90:P90)</f>
        <v>-16.5</v>
      </c>
      <c r="R90" s="715">
        <f>R36</f>
        <v>0</v>
      </c>
      <c r="S90" s="715">
        <f t="shared" si="315"/>
        <v>-15.545</v>
      </c>
      <c r="T90" s="715">
        <f t="shared" si="315"/>
        <v>0</v>
      </c>
      <c r="U90" s="715">
        <f t="shared" si="315"/>
        <v>0</v>
      </c>
      <c r="V90" s="705">
        <f>SUM(R90:U90)</f>
        <v>-15.545</v>
      </c>
      <c r="W90" s="715">
        <f>W36</f>
        <v>-9.5410000000000004</v>
      </c>
      <c r="X90" s="715">
        <f t="shared" si="316"/>
        <v>0</v>
      </c>
      <c r="Y90" s="715">
        <f t="shared" si="316"/>
        <v>0</v>
      </c>
      <c r="Z90" s="715">
        <f t="shared" si="316"/>
        <v>0</v>
      </c>
      <c r="AA90" s="705">
        <f>SUM(W90:Z90)</f>
        <v>-9.5410000000000004</v>
      </c>
      <c r="AB90" s="715">
        <f>AB36</f>
        <v>488.38299999999998</v>
      </c>
      <c r="AC90" s="715">
        <f t="shared" si="317"/>
        <v>-26.476999999999975</v>
      </c>
      <c r="AD90" s="715">
        <f t="shared" si="317"/>
        <v>0</v>
      </c>
      <c r="AE90" s="715">
        <f t="shared" si="317"/>
        <v>0</v>
      </c>
      <c r="AF90" s="705">
        <f>SUM(AB90:AE90)</f>
        <v>461.90600000000001</v>
      </c>
      <c r="AG90" s="715">
        <f>AG36</f>
        <v>-3.0939999999999999</v>
      </c>
      <c r="AH90" s="715">
        <f t="shared" si="318"/>
        <v>-64.275000000000006</v>
      </c>
      <c r="AI90" s="715">
        <f t="shared" si="318"/>
        <v>0.63899999999999579</v>
      </c>
      <c r="AJ90" s="715">
        <f t="shared" si="318"/>
        <v>-8.7980000000000018</v>
      </c>
      <c r="AK90" s="705">
        <f>SUM(AG90:AJ90)</f>
        <v>-75.528000000000006</v>
      </c>
      <c r="AL90" s="715">
        <f>AL36</f>
        <v>0</v>
      </c>
      <c r="AM90" s="715">
        <f t="shared" si="319"/>
        <v>0</v>
      </c>
      <c r="AN90" s="715">
        <f t="shared" si="319"/>
        <v>0</v>
      </c>
      <c r="AO90" s="715">
        <f t="shared" si="319"/>
        <v>-3.5840000000000001</v>
      </c>
      <c r="AP90" s="705">
        <f>SUM(AL90:AO90)</f>
        <v>-3.5840000000000001</v>
      </c>
      <c r="AQ90" s="715">
        <f>AQ36</f>
        <v>0</v>
      </c>
      <c r="AR90" s="715">
        <f t="shared" si="320"/>
        <v>0</v>
      </c>
      <c r="AS90" s="715">
        <f t="shared" si="320"/>
        <v>0</v>
      </c>
      <c r="AT90" s="715">
        <v>-1582.6690000000001</v>
      </c>
      <c r="AU90" s="705">
        <f>SUM(AQ90:AT90)</f>
        <v>-1582.6690000000001</v>
      </c>
      <c r="AV90" s="715">
        <f>AV36</f>
        <v>0</v>
      </c>
      <c r="AW90" s="715">
        <f t="shared" si="321"/>
        <v>0</v>
      </c>
      <c r="AX90" s="715">
        <f t="shared" si="321"/>
        <v>0</v>
      </c>
      <c r="AY90" s="715">
        <f t="shared" si="321"/>
        <v>-193.28100000000001</v>
      </c>
      <c r="AZ90" s="705">
        <f>SUM(AV90:AY90)</f>
        <v>-193.28100000000001</v>
      </c>
      <c r="BA90" s="715">
        <f>BA36</f>
        <v>-36.572000000000003</v>
      </c>
      <c r="BB90" s="1304">
        <f t="shared" si="322"/>
        <v>-3.8079999999999998</v>
      </c>
      <c r="BC90" s="715">
        <f t="shared" si="322"/>
        <v>-70.549000000000007</v>
      </c>
      <c r="BD90" s="715">
        <f t="shared" si="322"/>
        <v>-151.92500000000004</v>
      </c>
      <c r="BE90" s="705">
        <f>SUM(BA90:BD90)</f>
        <v>-262.85400000000004</v>
      </c>
      <c r="BF90" s="715">
        <f>BF36</f>
        <v>-353.18400000000003</v>
      </c>
      <c r="BG90" s="1304">
        <f t="shared" si="323"/>
        <v>0</v>
      </c>
      <c r="BH90" s="1372">
        <f t="shared" si="323"/>
        <v>0</v>
      </c>
      <c r="BI90" s="715">
        <f t="shared" si="323"/>
        <v>0</v>
      </c>
      <c r="BJ90" s="705">
        <f>SUM(BF90:BI90)</f>
        <v>-353.18400000000003</v>
      </c>
      <c r="BK90" s="715">
        <f>BK36</f>
        <v>-96.355999999999995</v>
      </c>
      <c r="BL90" s="1304">
        <f t="shared" si="324"/>
        <v>0</v>
      </c>
      <c r="BM90" s="1372">
        <f t="shared" si="324"/>
        <v>-608.01900000000001</v>
      </c>
      <c r="BN90" s="715">
        <f t="shared" si="324"/>
        <v>-0.21400000000005548</v>
      </c>
      <c r="BO90" s="705">
        <f>SUM(BK90:BN90)</f>
        <v>-704.58900000000006</v>
      </c>
      <c r="BP90" s="715">
        <f>BP36</f>
        <v>0</v>
      </c>
      <c r="BQ90" s="1304">
        <f t="shared" si="325"/>
        <v>0</v>
      </c>
      <c r="BR90" s="1372">
        <f t="shared" si="325"/>
        <v>0</v>
      </c>
      <c r="BS90" s="1372">
        <f t="shared" si="325"/>
        <v>-29.802</v>
      </c>
      <c r="BT90" s="705">
        <f>SUM(BP90:BS90)</f>
        <v>-29.802</v>
      </c>
      <c r="BU90" s="715">
        <f>BU36</f>
        <v>-800.34199999999998</v>
      </c>
      <c r="BV90" s="1304">
        <f t="shared" si="326"/>
        <v>-5.6369999999999436</v>
      </c>
      <c r="BW90" s="1372">
        <f t="shared" si="326"/>
        <v>-20.024999999999977</v>
      </c>
      <c r="BX90" s="1372">
        <v>0</v>
      </c>
      <c r="BY90" s="705">
        <f>SUM(BU90:BX90)</f>
        <v>-826.00399999999991</v>
      </c>
      <c r="BZ90" s="1372">
        <f>BZ36</f>
        <v>0</v>
      </c>
      <c r="CA90" s="1304">
        <f>IF(CA36="-","-",SUM(CA36)-SUM(BZ36))</f>
        <v>-48.427</v>
      </c>
      <c r="CB90" s="715">
        <f t="shared" si="327"/>
        <v>0</v>
      </c>
      <c r="CC90" s="715">
        <f t="shared" si="327"/>
        <v>0</v>
      </c>
      <c r="CD90" s="1380">
        <f>SUM(BZ90:CC90)</f>
        <v>-48.427</v>
      </c>
      <c r="CE90" s="1372">
        <f>CE36</f>
        <v>-459.62599999999998</v>
      </c>
      <c r="CF90" s="1304">
        <f>IF(CF36="-","-",SUM(CF36)-SUM(CE36))</f>
        <v>0</v>
      </c>
      <c r="CG90" s="715">
        <f t="shared" si="328"/>
        <v>0</v>
      </c>
      <c r="CH90" s="715">
        <f t="shared" si="328"/>
        <v>0</v>
      </c>
      <c r="CI90" s="1380">
        <f>SUM(CE90:CH90)</f>
        <v>-459.62599999999998</v>
      </c>
      <c r="CJ90" s="1255">
        <f>CJ36</f>
        <v>0</v>
      </c>
      <c r="CK90" s="721">
        <f t="shared" si="329"/>
        <v>0</v>
      </c>
      <c r="CL90" s="721">
        <f t="shared" si="329"/>
        <v>0</v>
      </c>
      <c r="CM90" s="721">
        <f t="shared" si="329"/>
        <v>0</v>
      </c>
      <c r="CN90" s="966">
        <f>SUM(CJ90:CM90)</f>
        <v>0</v>
      </c>
      <c r="CO90" s="1255">
        <f>CO36</f>
        <v>0</v>
      </c>
      <c r="CP90" s="721">
        <f t="shared" si="330"/>
        <v>0</v>
      </c>
      <c r="CQ90" s="721">
        <f t="shared" si="330"/>
        <v>0</v>
      </c>
      <c r="CR90" s="721">
        <f t="shared" si="330"/>
        <v>0</v>
      </c>
      <c r="CS90" s="966">
        <f>SUM(CO90:CR90)</f>
        <v>0</v>
      </c>
      <c r="CT90" s="1255">
        <f>CT36</f>
        <v>0</v>
      </c>
      <c r="CU90" s="721">
        <f t="shared" si="331"/>
        <v>0</v>
      </c>
      <c r="CV90" s="721">
        <f t="shared" si="332"/>
        <v>0</v>
      </c>
      <c r="CW90" s="721">
        <f t="shared" si="333"/>
        <v>0</v>
      </c>
      <c r="CX90" s="966">
        <f>SUM(CT90:CW90)</f>
        <v>0</v>
      </c>
      <c r="CZ90" s="697"/>
      <c r="DA90" s="769"/>
      <c r="DB90" s="697"/>
      <c r="DC90" s="697"/>
    </row>
    <row r="91" spans="1:107" ht="10.5" customHeight="1">
      <c r="A91" s="699" t="s">
        <v>629</v>
      </c>
      <c r="B91" s="699"/>
      <c r="C91" s="715">
        <f>C37</f>
        <v>0</v>
      </c>
      <c r="D91" s="715">
        <f t="shared" si="312"/>
        <v>0</v>
      </c>
      <c r="E91" s="715">
        <f t="shared" si="312"/>
        <v>0</v>
      </c>
      <c r="F91" s="715">
        <f t="shared" si="312"/>
        <v>-14.756000000000007</v>
      </c>
      <c r="G91" s="705">
        <f>SUM(C91:F91)</f>
        <v>-14.756000000000007</v>
      </c>
      <c r="H91" s="715">
        <f>H37</f>
        <v>-50.032000000000011</v>
      </c>
      <c r="I91" s="715">
        <f t="shared" si="313"/>
        <v>-84.05299999999994</v>
      </c>
      <c r="J91" s="715">
        <f t="shared" si="313"/>
        <v>-30.844000000000079</v>
      </c>
      <c r="K91" s="715">
        <f t="shared" si="313"/>
        <v>35.21500000000006</v>
      </c>
      <c r="L91" s="705">
        <f>SUM(H91:K91)</f>
        <v>-129.71399999999997</v>
      </c>
      <c r="M91" s="715">
        <f>M37</f>
        <v>-81.088999999999999</v>
      </c>
      <c r="N91" s="715">
        <f t="shared" si="314"/>
        <v>-131.834</v>
      </c>
      <c r="O91" s="715">
        <f t="shared" si="314"/>
        <v>-70.678999999999917</v>
      </c>
      <c r="P91" s="715">
        <f t="shared" si="314"/>
        <v>-215.89900000000011</v>
      </c>
      <c r="Q91" s="705">
        <f>SUM(M91:P91)</f>
        <v>-499.50100000000003</v>
      </c>
      <c r="R91" s="715">
        <f>R37</f>
        <v>-143.27000000000001</v>
      </c>
      <c r="S91" s="715">
        <f t="shared" si="315"/>
        <v>-34.717000000000013</v>
      </c>
      <c r="T91" s="715">
        <f t="shared" si="315"/>
        <v>117.24700000000001</v>
      </c>
      <c r="U91" s="715">
        <f t="shared" si="315"/>
        <v>-133.26999999999998</v>
      </c>
      <c r="V91" s="705">
        <f>SUM(R91:U91)</f>
        <v>-194.01</v>
      </c>
      <c r="W91" s="715">
        <f>W37</f>
        <v>-196.51600000000002</v>
      </c>
      <c r="X91" s="715">
        <f t="shared" si="316"/>
        <v>-188.39899999999983</v>
      </c>
      <c r="Y91" s="715">
        <f t="shared" si="316"/>
        <v>-2.5860000000000127</v>
      </c>
      <c r="Z91" s="715">
        <f t="shared" si="316"/>
        <v>156.41199999999992</v>
      </c>
      <c r="AA91" s="705">
        <f>SUM(W91:Z91)</f>
        <v>-231.08899999999994</v>
      </c>
      <c r="AB91" s="715">
        <f>AB37</f>
        <v>-189.54499999999996</v>
      </c>
      <c r="AC91" s="715">
        <f t="shared" si="317"/>
        <v>68.73399999999998</v>
      </c>
      <c r="AD91" s="715">
        <f t="shared" si="317"/>
        <v>70.213999999999999</v>
      </c>
      <c r="AE91" s="715">
        <f t="shared" si="317"/>
        <v>-69.584999999999937</v>
      </c>
      <c r="AF91" s="705">
        <f>SUM(AB91:AE91)</f>
        <v>-120.18199999999992</v>
      </c>
      <c r="AG91" s="715">
        <f>AG37</f>
        <v>-249.53999999999996</v>
      </c>
      <c r="AH91" s="715">
        <f t="shared" si="318"/>
        <v>252.21199999999996</v>
      </c>
      <c r="AI91" s="715">
        <f t="shared" si="318"/>
        <v>24.622000000000099</v>
      </c>
      <c r="AJ91" s="715">
        <f t="shared" si="318"/>
        <v>358.572</v>
      </c>
      <c r="AK91" s="705">
        <f>SUM(AG91:AJ91)</f>
        <v>385.8660000000001</v>
      </c>
      <c r="AL91" s="715">
        <f>AL37</f>
        <v>362.59199999999998</v>
      </c>
      <c r="AM91" s="715">
        <f t="shared" si="319"/>
        <v>0</v>
      </c>
      <c r="AN91" s="715">
        <f t="shared" si="319"/>
        <v>-168.58600000000001</v>
      </c>
      <c r="AO91" s="715">
        <f t="shared" si="319"/>
        <v>2122.6909999999998</v>
      </c>
      <c r="AP91" s="705">
        <f>SUM(AL91:AO91)</f>
        <v>2316.6969999999997</v>
      </c>
      <c r="AQ91" s="715">
        <f>AQ37</f>
        <v>-107.839</v>
      </c>
      <c r="AR91" s="715">
        <f t="shared" si="320"/>
        <v>-203.57099999999997</v>
      </c>
      <c r="AS91" s="715">
        <f t="shared" si="320"/>
        <v>7.5720000000000027</v>
      </c>
      <c r="AT91" s="715">
        <v>517.67899999999997</v>
      </c>
      <c r="AU91" s="705">
        <f>SUM(AQ91:AT91)</f>
        <v>213.84100000000001</v>
      </c>
      <c r="AV91" s="715">
        <f>AV37</f>
        <v>-180.48500000000001</v>
      </c>
      <c r="AW91" s="715">
        <f t="shared" si="321"/>
        <v>-417.86</v>
      </c>
      <c r="AX91" s="715">
        <f t="shared" si="321"/>
        <v>-258.78899999999999</v>
      </c>
      <c r="AY91" s="715">
        <f t="shared" si="321"/>
        <v>34.326000000000022</v>
      </c>
      <c r="AZ91" s="705">
        <f>SUM(AV91:AY91)</f>
        <v>-822.80799999999999</v>
      </c>
      <c r="BA91" s="715">
        <f>BA37</f>
        <v>-26.131999999999998</v>
      </c>
      <c r="BB91" s="1304">
        <f t="shared" si="322"/>
        <v>-61.166000000000004</v>
      </c>
      <c r="BC91" s="715">
        <f t="shared" si="322"/>
        <v>-161.16300000000001</v>
      </c>
      <c r="BD91" s="715">
        <f t="shared" si="322"/>
        <v>18.825999999999993</v>
      </c>
      <c r="BE91" s="705">
        <f>SUM(BA91:BD91)</f>
        <v>-229.63500000000002</v>
      </c>
      <c r="BF91" s="715">
        <f>BF37</f>
        <v>-33.435000000000002</v>
      </c>
      <c r="BG91" s="1304">
        <f t="shared" si="323"/>
        <v>-87.492999999999995</v>
      </c>
      <c r="BH91" s="1372">
        <f t="shared" si="323"/>
        <v>-41.787999999999982</v>
      </c>
      <c r="BI91" s="715">
        <f t="shared" si="323"/>
        <v>-47.686000000000007</v>
      </c>
      <c r="BJ91" s="705">
        <f>SUM(BF91:BI91)</f>
        <v>-210.40199999999999</v>
      </c>
      <c r="BK91" s="715">
        <f>BK37</f>
        <v>-289.56799999999998</v>
      </c>
      <c r="BL91" s="1304">
        <f t="shared" si="324"/>
        <v>-288.18999999999994</v>
      </c>
      <c r="BM91" s="1372">
        <f t="shared" si="324"/>
        <v>257.58199999999999</v>
      </c>
      <c r="BN91" s="715">
        <f t="shared" si="324"/>
        <v>11.060000000000059</v>
      </c>
      <c r="BO91" s="705">
        <f>SUM(BK91:BN91)</f>
        <v>-309.11599999999987</v>
      </c>
      <c r="BP91" s="715">
        <f>BP37</f>
        <v>-65.028999999999996</v>
      </c>
      <c r="BQ91" s="1304">
        <f t="shared" si="325"/>
        <v>-120.73399999999998</v>
      </c>
      <c r="BR91" s="1372">
        <f t="shared" si="325"/>
        <v>-115.428</v>
      </c>
      <c r="BS91" s="1372">
        <f t="shared" si="325"/>
        <v>-11.382000000000005</v>
      </c>
      <c r="BT91" s="705">
        <f>SUM(BP91:BS91)</f>
        <v>-312.57299999999998</v>
      </c>
      <c r="BU91" s="715">
        <f>BU37</f>
        <v>137.517</v>
      </c>
      <c r="BV91" s="1304">
        <f t="shared" si="326"/>
        <v>2.4579999999999984</v>
      </c>
      <c r="BW91" s="1372">
        <f t="shared" si="326"/>
        <v>-396.08199999999999</v>
      </c>
      <c r="BX91" s="1372">
        <f>IF(BX37="-","-",SUM(BX37)-SUM(BW37))</f>
        <v>-260.46000000000004</v>
      </c>
      <c r="BY91" s="705">
        <f>SUM(BU91:BX91)</f>
        <v>-516.56700000000001</v>
      </c>
      <c r="BZ91" s="1372">
        <f>BZ37</f>
        <v>-160.85599999999999</v>
      </c>
      <c r="CA91" s="1304">
        <f>IF(CA37="-","-",SUM(CA37)-SUM(BZ37))</f>
        <v>-148.79699999999991</v>
      </c>
      <c r="CB91" s="715">
        <f t="shared" si="327"/>
        <v>-247.60100000000011</v>
      </c>
      <c r="CC91" s="715">
        <f t="shared" si="327"/>
        <v>-97.890999999999963</v>
      </c>
      <c r="CD91" s="1380">
        <f>SUM(BZ91:CC91)</f>
        <v>-655.14499999999998</v>
      </c>
      <c r="CE91" s="1372">
        <f>CE37</f>
        <v>169.32</v>
      </c>
      <c r="CF91" s="1304">
        <f>IF(CF37="-","-",SUM(CF37)-SUM(CE37))</f>
        <v>-30.078999999999894</v>
      </c>
      <c r="CG91" s="715">
        <f t="shared" si="328"/>
        <v>21.214999999999804</v>
      </c>
      <c r="CH91" s="715">
        <f t="shared" si="328"/>
        <v>64.333000000000283</v>
      </c>
      <c r="CI91" s="1380">
        <f>SUM(CE91:CH91)</f>
        <v>224.78900000000019</v>
      </c>
      <c r="CJ91" s="1255">
        <f>CJ37</f>
        <v>7.8940000000000001</v>
      </c>
      <c r="CK91" s="721">
        <f t="shared" si="329"/>
        <v>0</v>
      </c>
      <c r="CL91" s="721">
        <f t="shared" si="329"/>
        <v>0</v>
      </c>
      <c r="CM91" s="721">
        <f t="shared" si="329"/>
        <v>0</v>
      </c>
      <c r="CN91" s="966">
        <f>SUM(CJ91:CM91)</f>
        <v>7.8940000000000001</v>
      </c>
      <c r="CO91" s="1255">
        <f>CO37</f>
        <v>0</v>
      </c>
      <c r="CP91" s="721">
        <f t="shared" si="330"/>
        <v>0</v>
      </c>
      <c r="CQ91" s="721">
        <f t="shared" si="330"/>
        <v>0</v>
      </c>
      <c r="CR91" s="721">
        <f t="shared" si="330"/>
        <v>0</v>
      </c>
      <c r="CS91" s="966">
        <f>SUM(CO91:CR91)</f>
        <v>0</v>
      </c>
      <c r="CT91" s="1255">
        <f>CT37</f>
        <v>0</v>
      </c>
      <c r="CU91" s="721">
        <f t="shared" si="331"/>
        <v>0</v>
      </c>
      <c r="CV91" s="721">
        <f t="shared" si="332"/>
        <v>0</v>
      </c>
      <c r="CW91" s="721">
        <f t="shared" si="333"/>
        <v>0</v>
      </c>
      <c r="CX91" s="966">
        <f>SUM(CT91:CW91)</f>
        <v>0</v>
      </c>
      <c r="CZ91" s="697"/>
      <c r="DA91" s="769"/>
      <c r="DB91" s="697"/>
      <c r="DC91" s="697"/>
    </row>
    <row r="92" spans="1:107" ht="10.5" customHeight="1">
      <c r="A92" s="699" t="s">
        <v>701</v>
      </c>
      <c r="B92" s="699"/>
      <c r="C92" s="715">
        <f>C38</f>
        <v>0</v>
      </c>
      <c r="D92" s="715">
        <f t="shared" si="312"/>
        <v>0</v>
      </c>
      <c r="E92" s="715">
        <f t="shared" si="312"/>
        <v>0</v>
      </c>
      <c r="F92" s="715">
        <f t="shared" si="312"/>
        <v>31.504999999999999</v>
      </c>
      <c r="G92" s="705">
        <f>SUM(C92:F92)</f>
        <v>31.504999999999999</v>
      </c>
      <c r="H92" s="715">
        <f>H38</f>
        <v>10.308</v>
      </c>
      <c r="I92" s="715">
        <f t="shared" si="313"/>
        <v>0.70500000000000007</v>
      </c>
      <c r="J92" s="715">
        <f t="shared" si="313"/>
        <v>0.67099999999999937</v>
      </c>
      <c r="K92" s="715">
        <f t="shared" si="313"/>
        <v>0</v>
      </c>
      <c r="L92" s="705">
        <f>SUM(H92:K92)</f>
        <v>11.683999999999999</v>
      </c>
      <c r="M92" s="715">
        <f>M38</f>
        <v>1.764</v>
      </c>
      <c r="N92" s="715">
        <f t="shared" si="314"/>
        <v>0.53700000000000014</v>
      </c>
      <c r="O92" s="715">
        <f t="shared" si="314"/>
        <v>2.0000000000000018E-2</v>
      </c>
      <c r="P92" s="715">
        <f t="shared" si="314"/>
        <v>4.7419999999999991</v>
      </c>
      <c r="Q92" s="705">
        <f>SUM(M92:P92)</f>
        <v>7.0629999999999988</v>
      </c>
      <c r="R92" s="715">
        <f>R38</f>
        <v>0</v>
      </c>
      <c r="S92" s="715">
        <f t="shared" si="315"/>
        <v>3.145</v>
      </c>
      <c r="T92" s="715">
        <f t="shared" si="315"/>
        <v>0</v>
      </c>
      <c r="U92" s="715">
        <f t="shared" si="315"/>
        <v>2.7879999999999998</v>
      </c>
      <c r="V92" s="705">
        <f>SUM(R92:U92)</f>
        <v>5.9329999999999998</v>
      </c>
      <c r="W92" s="715">
        <f>W38</f>
        <v>-9.9309999999999992</v>
      </c>
      <c r="X92" s="715">
        <f t="shared" si="316"/>
        <v>-6.9530000000000012</v>
      </c>
      <c r="Y92" s="715">
        <f t="shared" si="316"/>
        <v>-6.213000000000001</v>
      </c>
      <c r="Z92" s="715">
        <f t="shared" si="316"/>
        <v>-9.0989999999999966</v>
      </c>
      <c r="AA92" s="705">
        <f>SUM(W92:Z92)</f>
        <v>-32.195999999999998</v>
      </c>
      <c r="AB92" s="715">
        <f>AB38</f>
        <v>-5.2220000000000004</v>
      </c>
      <c r="AC92" s="715">
        <f t="shared" si="317"/>
        <v>-1.0169999999999995</v>
      </c>
      <c r="AD92" s="715">
        <f t="shared" si="317"/>
        <v>-12.355999999999998</v>
      </c>
      <c r="AE92" s="715">
        <f t="shared" si="317"/>
        <v>-26.613</v>
      </c>
      <c r="AF92" s="705">
        <f>SUM(AB92:AE92)</f>
        <v>-45.207999999999998</v>
      </c>
      <c r="AG92" s="715">
        <f>AG38</f>
        <v>-8.9149999999999991</v>
      </c>
      <c r="AH92" s="715">
        <f t="shared" si="318"/>
        <v>-23.765999999999998</v>
      </c>
      <c r="AI92" s="715">
        <f t="shared" si="318"/>
        <v>-47.757999999999996</v>
      </c>
      <c r="AJ92" s="715">
        <f t="shared" si="318"/>
        <v>-25.001999999999995</v>
      </c>
      <c r="AK92" s="705">
        <f>SUM(AG92:AJ92)</f>
        <v>-105.44099999999999</v>
      </c>
      <c r="AL92" s="715">
        <f>AL38</f>
        <v>-7.5529999999999999</v>
      </c>
      <c r="AM92" s="715">
        <f t="shared" si="319"/>
        <v>-46.698999999999998</v>
      </c>
      <c r="AN92" s="715">
        <f t="shared" si="319"/>
        <v>-56.792000000000002</v>
      </c>
      <c r="AO92" s="715">
        <f t="shared" si="319"/>
        <v>-2394.9580000000001</v>
      </c>
      <c r="AP92" s="705">
        <f>SUM(AL92:AO92)</f>
        <v>-2506.002</v>
      </c>
      <c r="AQ92" s="715">
        <f>AQ38</f>
        <v>-7.8070000000000004</v>
      </c>
      <c r="AR92" s="715">
        <f t="shared" si="320"/>
        <v>-3.8689999999999998</v>
      </c>
      <c r="AS92" s="715">
        <f t="shared" si="320"/>
        <v>-5.0349999999999984</v>
      </c>
      <c r="AT92" s="715">
        <v>8.0350000000000001</v>
      </c>
      <c r="AU92" s="705">
        <f>SUM(AQ92:AT92)</f>
        <v>-8.6759999999999984</v>
      </c>
      <c r="AV92" s="715">
        <f>AV38</f>
        <v>-2.6869999999999998</v>
      </c>
      <c r="AW92" s="715">
        <f t="shared" si="321"/>
        <v>-13.415000000000001</v>
      </c>
      <c r="AX92" s="715">
        <f t="shared" si="321"/>
        <v>-0.98999999999999844</v>
      </c>
      <c r="AY92" s="715">
        <f t="shared" si="321"/>
        <v>11.378</v>
      </c>
      <c r="AZ92" s="705">
        <f>SUM(AV92:AY92)</f>
        <v>-5.7139999999999986</v>
      </c>
      <c r="BA92" s="715">
        <f>BA38</f>
        <v>0</v>
      </c>
      <c r="BB92" s="1304">
        <f t="shared" si="322"/>
        <v>0</v>
      </c>
      <c r="BC92" s="715">
        <f t="shared" si="322"/>
        <v>-2.9350000000000001</v>
      </c>
      <c r="BD92" s="715">
        <f t="shared" si="322"/>
        <v>-51.683999999999997</v>
      </c>
      <c r="BE92" s="705">
        <f>SUM(BA92:BD92)</f>
        <v>-54.619</v>
      </c>
      <c r="BF92" s="715">
        <f>BF38</f>
        <v>0</v>
      </c>
      <c r="BG92" s="1304">
        <f t="shared" si="323"/>
        <v>0</v>
      </c>
      <c r="BH92" s="1372">
        <f t="shared" si="323"/>
        <v>0</v>
      </c>
      <c r="BI92" s="715">
        <f t="shared" si="323"/>
        <v>0</v>
      </c>
      <c r="BJ92" s="705">
        <f>SUM(BF92:BI92)</f>
        <v>0</v>
      </c>
      <c r="BK92" s="715">
        <f>BK38</f>
        <v>0</v>
      </c>
      <c r="BL92" s="1304">
        <f t="shared" si="324"/>
        <v>0</v>
      </c>
      <c r="BM92" s="1372">
        <f t="shared" si="324"/>
        <v>0</v>
      </c>
      <c r="BN92" s="715">
        <f t="shared" si="324"/>
        <v>0</v>
      </c>
      <c r="BO92" s="705">
        <f>SUM(BK92:BN92)</f>
        <v>0</v>
      </c>
      <c r="BP92" s="715">
        <f>BP38</f>
        <v>0</v>
      </c>
      <c r="BQ92" s="1304">
        <f t="shared" si="325"/>
        <v>0</v>
      </c>
      <c r="BR92" s="1372">
        <f t="shared" si="325"/>
        <v>0</v>
      </c>
      <c r="BS92" s="1372">
        <f t="shared" si="325"/>
        <v>0</v>
      </c>
      <c r="BT92" s="705">
        <f>SUM(BP92:BS92)</f>
        <v>0</v>
      </c>
      <c r="BU92" s="715">
        <f>BU38</f>
        <v>0</v>
      </c>
      <c r="BV92" s="1304">
        <f t="shared" si="326"/>
        <v>0</v>
      </c>
      <c r="BW92" s="1372">
        <f t="shared" si="326"/>
        <v>0</v>
      </c>
      <c r="BX92" s="1372">
        <f>IF(BX38="-","-",SUM(BX38)-SUM(BW38))</f>
        <v>39.149000000000001</v>
      </c>
      <c r="BY92" s="705">
        <f>SUM(BU92:BX92)</f>
        <v>39.149000000000001</v>
      </c>
      <c r="BZ92" s="1372">
        <f>BZ38</f>
        <v>-51.892000000000003</v>
      </c>
      <c r="CA92" s="1304">
        <f>IF(CA38="-","-",SUM(CA38)-SUM(BZ38))</f>
        <v>-0.67099999999999937</v>
      </c>
      <c r="CB92" s="715">
        <f t="shared" si="327"/>
        <v>-3.8499999999999943</v>
      </c>
      <c r="CC92" s="715">
        <f t="shared" si="327"/>
        <v>3.4260000000000019</v>
      </c>
      <c r="CD92" s="1380">
        <f>SUM(BZ92:CC92)</f>
        <v>-52.986999999999995</v>
      </c>
      <c r="CE92" s="1372">
        <f>CE38</f>
        <v>-18.218</v>
      </c>
      <c r="CF92" s="1304">
        <f>IF(CF38="-","-",SUM(CF38)-SUM(CE38))</f>
        <v>-2.3900000000000006</v>
      </c>
      <c r="CG92" s="715">
        <f t="shared" si="328"/>
        <v>-5.0609999999999999</v>
      </c>
      <c r="CH92" s="715">
        <f t="shared" si="328"/>
        <v>-4.2489999999999988</v>
      </c>
      <c r="CI92" s="1380">
        <f>SUM(CE92:CH92)</f>
        <v>-29.917999999999999</v>
      </c>
      <c r="CJ92" s="1255">
        <f>CJ38</f>
        <v>-6.5140000000000002</v>
      </c>
      <c r="CK92" s="721">
        <f t="shared" si="329"/>
        <v>0</v>
      </c>
      <c r="CL92" s="721">
        <f t="shared" si="329"/>
        <v>0</v>
      </c>
      <c r="CM92" s="721">
        <f t="shared" si="329"/>
        <v>0</v>
      </c>
      <c r="CN92" s="966">
        <f>SUM(CJ92:CM92)</f>
        <v>-6.5140000000000002</v>
      </c>
      <c r="CO92" s="1255">
        <f>CO38</f>
        <v>0</v>
      </c>
      <c r="CP92" s="721">
        <f t="shared" si="330"/>
        <v>0</v>
      </c>
      <c r="CQ92" s="721">
        <f t="shared" si="330"/>
        <v>0</v>
      </c>
      <c r="CR92" s="721">
        <f t="shared" si="330"/>
        <v>0</v>
      </c>
      <c r="CS92" s="966">
        <f>SUM(CO92:CR92)</f>
        <v>0</v>
      </c>
      <c r="CT92" s="1255">
        <f>CT38</f>
        <v>0</v>
      </c>
      <c r="CU92" s="721">
        <f t="shared" si="331"/>
        <v>0</v>
      </c>
      <c r="CV92" s="721">
        <f t="shared" si="332"/>
        <v>0</v>
      </c>
      <c r="CW92" s="721">
        <f t="shared" si="333"/>
        <v>0</v>
      </c>
      <c r="CX92" s="966">
        <f>SUM(CT92:CW92)</f>
        <v>0</v>
      </c>
      <c r="CZ92" s="697"/>
      <c r="DA92" s="769"/>
      <c r="DB92" s="697"/>
      <c r="DC92" s="697"/>
    </row>
    <row r="93" spans="1:107" ht="10.5" customHeight="1">
      <c r="A93" s="699" t="s">
        <v>767</v>
      </c>
      <c r="B93" s="699"/>
      <c r="C93" s="715">
        <f>C39</f>
        <v>0</v>
      </c>
      <c r="D93" s="715">
        <f t="shared" si="312"/>
        <v>0</v>
      </c>
      <c r="E93" s="715">
        <f t="shared" si="312"/>
        <v>0</v>
      </c>
      <c r="F93" s="715">
        <f t="shared" si="312"/>
        <v>0</v>
      </c>
      <c r="G93" s="705">
        <f>SUM(C93:F93)</f>
        <v>0</v>
      </c>
      <c r="H93" s="715">
        <f>H39</f>
        <v>-9.0310000000000006</v>
      </c>
      <c r="I93" s="715">
        <f t="shared" si="313"/>
        <v>-3.3259999999999987</v>
      </c>
      <c r="J93" s="715">
        <f t="shared" si="313"/>
        <v>-3.1720000000000006</v>
      </c>
      <c r="K93" s="715">
        <f t="shared" si="313"/>
        <v>15.529</v>
      </c>
      <c r="L93" s="705">
        <f>SUM(H93:K93)</f>
        <v>0</v>
      </c>
      <c r="M93" s="715">
        <f>M39</f>
        <v>-1.323</v>
      </c>
      <c r="N93" s="715">
        <f t="shared" si="314"/>
        <v>-3.371</v>
      </c>
      <c r="O93" s="715">
        <f t="shared" si="314"/>
        <v>-4.4650000000000007</v>
      </c>
      <c r="P93" s="715">
        <f t="shared" si="314"/>
        <v>9.1590000000000007</v>
      </c>
      <c r="Q93" s="705">
        <f>SUM(M93:P93)</f>
        <v>0</v>
      </c>
      <c r="R93" s="715">
        <f>R39</f>
        <v>0</v>
      </c>
      <c r="S93" s="715">
        <f t="shared" si="315"/>
        <v>0</v>
      </c>
      <c r="T93" s="715">
        <f t="shared" si="315"/>
        <v>-126.8</v>
      </c>
      <c r="U93" s="715">
        <f t="shared" si="315"/>
        <v>0</v>
      </c>
      <c r="V93" s="705">
        <f>SUM(R93:U93)</f>
        <v>-126.8</v>
      </c>
      <c r="W93" s="715">
        <f>W39</f>
        <v>0</v>
      </c>
      <c r="X93" s="715">
        <f t="shared" si="316"/>
        <v>0.157</v>
      </c>
      <c r="Y93" s="715">
        <f t="shared" si="316"/>
        <v>-0.157</v>
      </c>
      <c r="Z93" s="715">
        <f t="shared" si="316"/>
        <v>1.3380000000000001</v>
      </c>
      <c r="AA93" s="705">
        <f>SUM(W93:Z93)</f>
        <v>1.3380000000000001</v>
      </c>
      <c r="AB93" s="715">
        <f>AB39</f>
        <v>0</v>
      </c>
      <c r="AC93" s="715">
        <f t="shared" si="317"/>
        <v>0</v>
      </c>
      <c r="AD93" s="715">
        <f t="shared" si="317"/>
        <v>0</v>
      </c>
      <c r="AE93" s="715">
        <f t="shared" si="317"/>
        <v>0</v>
      </c>
      <c r="AF93" s="705">
        <f>SUM(AB93:AE93)</f>
        <v>0</v>
      </c>
      <c r="AG93" s="715">
        <f>AG39</f>
        <v>0</v>
      </c>
      <c r="AH93" s="715">
        <f t="shared" si="318"/>
        <v>11.32</v>
      </c>
      <c r="AI93" s="715">
        <f t="shared" si="318"/>
        <v>-0.84799999999999898</v>
      </c>
      <c r="AJ93" s="715">
        <f t="shared" si="318"/>
        <v>7.1054273576010019E-15</v>
      </c>
      <c r="AK93" s="705">
        <f>SUM(AG93:AJ93)</f>
        <v>10.472000000000008</v>
      </c>
      <c r="AL93" s="715">
        <f>AL39</f>
        <v>0</v>
      </c>
      <c r="AM93" s="715">
        <f t="shared" si="319"/>
        <v>0</v>
      </c>
      <c r="AN93" s="715">
        <f t="shared" si="319"/>
        <v>0</v>
      </c>
      <c r="AO93" s="715">
        <f t="shared" si="319"/>
        <v>0</v>
      </c>
      <c r="AP93" s="705">
        <f>SUM(AL93:AO93)</f>
        <v>0</v>
      </c>
      <c r="AQ93" s="715">
        <f>AQ39</f>
        <v>0</v>
      </c>
      <c r="AR93" s="715">
        <f t="shared" si="320"/>
        <v>0</v>
      </c>
      <c r="AS93" s="715">
        <f t="shared" si="320"/>
        <v>0</v>
      </c>
      <c r="AT93" s="715">
        <v>0</v>
      </c>
      <c r="AU93" s="705">
        <f>SUM(AQ93:AT93)</f>
        <v>0</v>
      </c>
      <c r="AV93" s="715">
        <f>AV39</f>
        <v>0</v>
      </c>
      <c r="AW93" s="715">
        <f t="shared" si="321"/>
        <v>0</v>
      </c>
      <c r="AX93" s="715">
        <f t="shared" si="321"/>
        <v>0</v>
      </c>
      <c r="AY93" s="715">
        <f t="shared" si="321"/>
        <v>0</v>
      </c>
      <c r="AZ93" s="705">
        <f>SUM(AV93:AY93)</f>
        <v>0</v>
      </c>
      <c r="BA93" s="715">
        <f>BA39</f>
        <v>0</v>
      </c>
      <c r="BB93" s="1304">
        <f t="shared" si="322"/>
        <v>0</v>
      </c>
      <c r="BC93" s="715">
        <f t="shared" si="322"/>
        <v>0</v>
      </c>
      <c r="BD93" s="715">
        <f t="shared" si="322"/>
        <v>0</v>
      </c>
      <c r="BE93" s="705">
        <f>SUM(BA93:BD93)</f>
        <v>0</v>
      </c>
      <c r="BF93" s="715">
        <f>BF39</f>
        <v>0</v>
      </c>
      <c r="BG93" s="1304">
        <f t="shared" si="323"/>
        <v>0</v>
      </c>
      <c r="BH93" s="1372">
        <f t="shared" si="323"/>
        <v>0</v>
      </c>
      <c r="BI93" s="715">
        <f t="shared" si="323"/>
        <v>0</v>
      </c>
      <c r="BJ93" s="705">
        <f>SUM(BF93:BI93)</f>
        <v>0</v>
      </c>
      <c r="BK93" s="715">
        <f>BK39</f>
        <v>0</v>
      </c>
      <c r="BL93" s="1304">
        <f t="shared" si="324"/>
        <v>0</v>
      </c>
      <c r="BM93" s="1372">
        <f t="shared" si="324"/>
        <v>0</v>
      </c>
      <c r="BN93" s="715">
        <f t="shared" si="324"/>
        <v>24.26</v>
      </c>
      <c r="BO93" s="705">
        <f>SUM(BK93:BN93)</f>
        <v>24.26</v>
      </c>
      <c r="BP93" s="715">
        <f>BP39</f>
        <v>0</v>
      </c>
      <c r="BQ93" s="1304">
        <f t="shared" si="325"/>
        <v>0</v>
      </c>
      <c r="BR93" s="1372">
        <f t="shared" si="325"/>
        <v>0</v>
      </c>
      <c r="BS93" s="1372">
        <f t="shared" si="325"/>
        <v>0</v>
      </c>
      <c r="BT93" s="705">
        <f>SUM(BP93:BS93)</f>
        <v>0</v>
      </c>
      <c r="BU93" s="715">
        <f>BU39</f>
        <v>0</v>
      </c>
      <c r="BV93" s="1304">
        <f t="shared" si="326"/>
        <v>0</v>
      </c>
      <c r="BW93" s="1372">
        <f t="shared" si="326"/>
        <v>0</v>
      </c>
      <c r="BX93" s="1372">
        <f>IF(BX39="-","-",SUM(BX39)-SUM(BW39))</f>
        <v>0</v>
      </c>
      <c r="BY93" s="705">
        <f>SUM(BU93:BX93)</f>
        <v>0</v>
      </c>
      <c r="BZ93" s="1372">
        <f>BZ39</f>
        <v>0.106</v>
      </c>
      <c r="CA93" s="1304">
        <f>IF(CA39="-","-",SUM(CA39)-SUM(BZ39))</f>
        <v>0.14900000000000002</v>
      </c>
      <c r="CB93" s="715">
        <f t="shared" si="327"/>
        <v>7.6000000000000012E-2</v>
      </c>
      <c r="CC93" s="715">
        <f t="shared" si="327"/>
        <v>0</v>
      </c>
      <c r="CD93" s="1380">
        <f>SUM(BZ93:CC93)</f>
        <v>0.33100000000000002</v>
      </c>
      <c r="CE93" s="1372">
        <f>CE39</f>
        <v>0.54500000000000004</v>
      </c>
      <c r="CF93" s="1304">
        <f>IF(CF39="-","-",SUM(CF39)-SUM(CE39))</f>
        <v>0.21899999999999997</v>
      </c>
      <c r="CG93" s="715">
        <f t="shared" si="328"/>
        <v>1.2699999999999998</v>
      </c>
      <c r="CH93" s="715">
        <f t="shared" si="328"/>
        <v>-2.0339999999999998</v>
      </c>
      <c r="CI93" s="1380">
        <f>SUM(CE93:CH93)</f>
        <v>0</v>
      </c>
      <c r="CJ93" s="1255">
        <f>CJ39</f>
        <v>0</v>
      </c>
      <c r="CK93" s="721">
        <f t="shared" si="329"/>
        <v>0</v>
      </c>
      <c r="CL93" s="721">
        <f t="shared" si="329"/>
        <v>0</v>
      </c>
      <c r="CM93" s="721">
        <f t="shared" si="329"/>
        <v>0</v>
      </c>
      <c r="CN93" s="966">
        <f>SUM(CJ93:CM93)</f>
        <v>0</v>
      </c>
      <c r="CO93" s="1255">
        <f>CO39</f>
        <v>0</v>
      </c>
      <c r="CP93" s="721">
        <f t="shared" si="330"/>
        <v>0</v>
      </c>
      <c r="CQ93" s="721">
        <f t="shared" si="330"/>
        <v>0</v>
      </c>
      <c r="CR93" s="721">
        <f t="shared" si="330"/>
        <v>0</v>
      </c>
      <c r="CS93" s="966">
        <f>SUM(CO93:CR93)</f>
        <v>0</v>
      </c>
      <c r="CT93" s="1255">
        <f>CT39</f>
        <v>0</v>
      </c>
      <c r="CU93" s="721">
        <f t="shared" si="331"/>
        <v>0</v>
      </c>
      <c r="CV93" s="721">
        <f t="shared" si="332"/>
        <v>0</v>
      </c>
      <c r="CW93" s="721">
        <f t="shared" si="333"/>
        <v>0</v>
      </c>
      <c r="CX93" s="966">
        <f>SUM(CT93:CW93)</f>
        <v>0</v>
      </c>
      <c r="CZ93" s="697"/>
      <c r="DA93" s="769"/>
      <c r="DB93" s="697"/>
      <c r="DC93" s="697"/>
    </row>
    <row r="94" spans="1:107" ht="10.5" customHeight="1">
      <c r="A94" s="706" t="s">
        <v>746</v>
      </c>
      <c r="B94" s="706"/>
      <c r="C94" s="707">
        <f t="shared" ref="C94:AH94" si="334">SUM(C89:C93)</f>
        <v>0</v>
      </c>
      <c r="D94" s="707">
        <f t="shared" si="334"/>
        <v>0</v>
      </c>
      <c r="E94" s="707">
        <f t="shared" si="334"/>
        <v>0</v>
      </c>
      <c r="F94" s="707">
        <f t="shared" si="334"/>
        <v>-26.425000000000008</v>
      </c>
      <c r="G94" s="708">
        <f t="shared" si="334"/>
        <v>-26.425000000000008</v>
      </c>
      <c r="H94" s="707">
        <f t="shared" si="334"/>
        <v>-54.484000000000009</v>
      </c>
      <c r="I94" s="707">
        <f t="shared" si="334"/>
        <v>-86.589999999999932</v>
      </c>
      <c r="J94" s="707">
        <f t="shared" si="334"/>
        <v>-40.623000000000076</v>
      </c>
      <c r="K94" s="707">
        <f t="shared" si="334"/>
        <v>39.434000000000061</v>
      </c>
      <c r="L94" s="708">
        <f t="shared" si="334"/>
        <v>-142.26299999999998</v>
      </c>
      <c r="M94" s="707">
        <f t="shared" si="334"/>
        <v>-88.137999999999991</v>
      </c>
      <c r="N94" s="707">
        <f t="shared" si="334"/>
        <v>-162.86000000000001</v>
      </c>
      <c r="O94" s="707">
        <f t="shared" si="334"/>
        <v>-82.805999999999926</v>
      </c>
      <c r="P94" s="707">
        <f t="shared" si="334"/>
        <v>-214.58800000000014</v>
      </c>
      <c r="Q94" s="708">
        <f t="shared" si="334"/>
        <v>-548.39200000000005</v>
      </c>
      <c r="R94" s="707">
        <f t="shared" si="334"/>
        <v>-157.714</v>
      </c>
      <c r="S94" s="707">
        <f t="shared" si="334"/>
        <v>-59.608000000000011</v>
      </c>
      <c r="T94" s="707">
        <f t="shared" si="334"/>
        <v>-23.969999999999985</v>
      </c>
      <c r="U94" s="707">
        <f t="shared" si="334"/>
        <v>-152.35599999999997</v>
      </c>
      <c r="V94" s="708">
        <f t="shared" si="334"/>
        <v>-393.64800000000002</v>
      </c>
      <c r="W94" s="707">
        <f t="shared" si="334"/>
        <v>-227.50000000000003</v>
      </c>
      <c r="X94" s="707">
        <f t="shared" si="334"/>
        <v>-204.31899999999982</v>
      </c>
      <c r="Y94" s="707">
        <f t="shared" si="334"/>
        <v>-26.426000000000016</v>
      </c>
      <c r="Z94" s="707">
        <f t="shared" si="334"/>
        <v>137.88199999999992</v>
      </c>
      <c r="AA94" s="708">
        <f t="shared" si="334"/>
        <v>-320.36299999999989</v>
      </c>
      <c r="AB94" s="707">
        <f t="shared" si="334"/>
        <v>281.98200000000003</v>
      </c>
      <c r="AC94" s="707">
        <f t="shared" si="334"/>
        <v>21.557000000000006</v>
      </c>
      <c r="AD94" s="707">
        <f t="shared" si="334"/>
        <v>39.006</v>
      </c>
      <c r="AE94" s="707">
        <f t="shared" si="334"/>
        <v>-119.74699999999993</v>
      </c>
      <c r="AF94" s="708">
        <f t="shared" si="334"/>
        <v>222.79800000000009</v>
      </c>
      <c r="AG94" s="707">
        <f t="shared" si="334"/>
        <v>-309.84899999999999</v>
      </c>
      <c r="AH94" s="707">
        <f t="shared" si="334"/>
        <v>152.00699999999995</v>
      </c>
      <c r="AI94" s="707">
        <f t="shared" ref="AI94:BA94" si="335">SUM(AI89:AI93)</f>
        <v>-55.504999999999896</v>
      </c>
      <c r="AJ94" s="707">
        <f t="shared" si="335"/>
        <v>296.64100000000002</v>
      </c>
      <c r="AK94" s="708">
        <f t="shared" si="335"/>
        <v>83.294000000000111</v>
      </c>
      <c r="AL94" s="707">
        <f t="shared" si="335"/>
        <v>328.77099999999996</v>
      </c>
      <c r="AM94" s="707">
        <f t="shared" si="335"/>
        <v>-69.102000000000004</v>
      </c>
      <c r="AN94" s="707">
        <f t="shared" si="335"/>
        <v>-265.18799999999999</v>
      </c>
      <c r="AO94" s="707">
        <f t="shared" si="335"/>
        <v>-299.16200000000026</v>
      </c>
      <c r="AP94" s="708">
        <f t="shared" si="335"/>
        <v>-304.68100000000049</v>
      </c>
      <c r="AQ94" s="707">
        <f t="shared" si="335"/>
        <v>-131.56199999999998</v>
      </c>
      <c r="AR94" s="707">
        <f t="shared" si="335"/>
        <v>-217.75199999999998</v>
      </c>
      <c r="AS94" s="707">
        <f t="shared" si="335"/>
        <v>-55.893999999999984</v>
      </c>
      <c r="AT94" s="707">
        <f t="shared" si="335"/>
        <v>-1091.8880000000001</v>
      </c>
      <c r="AU94" s="708">
        <f t="shared" si="335"/>
        <v>-1497.096</v>
      </c>
      <c r="AV94" s="707">
        <f t="shared" si="335"/>
        <v>-208.71900000000002</v>
      </c>
      <c r="AW94" s="707">
        <f t="shared" si="335"/>
        <v>-480.90300000000002</v>
      </c>
      <c r="AX94" s="707">
        <f t="shared" si="335"/>
        <v>-266.66800000000001</v>
      </c>
      <c r="AY94" s="707">
        <f t="shared" si="335"/>
        <v>-203.00399999999996</v>
      </c>
      <c r="AZ94" s="708">
        <f t="shared" si="335"/>
        <v>-1159.2939999999999</v>
      </c>
      <c r="BA94" s="707">
        <f t="shared" si="335"/>
        <v>-95.125</v>
      </c>
      <c r="BB94" s="1305">
        <f t="shared" ref="BB94:BJ94" si="336">SUM(BB89:BB93)</f>
        <v>-102.47499999999999</v>
      </c>
      <c r="BC94" s="707">
        <f t="shared" si="336"/>
        <v>-300.12200000000001</v>
      </c>
      <c r="BD94" s="707">
        <f>SUM(BD89:BD93)</f>
        <v>-259.68000000000006</v>
      </c>
      <c r="BE94" s="708">
        <f t="shared" si="336"/>
        <v>-757.40200000000004</v>
      </c>
      <c r="BF94" s="707">
        <f t="shared" si="336"/>
        <v>-437.70700000000005</v>
      </c>
      <c r="BG94" s="1305">
        <f t="shared" si="336"/>
        <v>-148.26</v>
      </c>
      <c r="BH94" s="1373">
        <f t="shared" si="336"/>
        <v>-119.21999999999998</v>
      </c>
      <c r="BI94" s="707">
        <f t="shared" si="336"/>
        <v>-129.47500000000002</v>
      </c>
      <c r="BJ94" s="708">
        <f t="shared" si="336"/>
        <v>-834.66200000000003</v>
      </c>
      <c r="BK94" s="707">
        <f t="shared" ref="BK94:BT94" si="337">SUM(BK89:BK93)</f>
        <v>-446.11399999999998</v>
      </c>
      <c r="BL94" s="1305">
        <f>SUM(BL89:BL93)</f>
        <v>-334.43899999999996</v>
      </c>
      <c r="BM94" s="1373">
        <f t="shared" si="337"/>
        <v>-397.23500000000001</v>
      </c>
      <c r="BN94" s="707">
        <f t="shared" si="337"/>
        <v>-1.5000000000004121E-2</v>
      </c>
      <c r="BO94" s="708">
        <f t="shared" si="337"/>
        <v>-1177.8030000000001</v>
      </c>
      <c r="BP94" s="707">
        <f t="shared" si="337"/>
        <v>-94.421999999999997</v>
      </c>
      <c r="BQ94" s="1305">
        <f t="shared" si="337"/>
        <v>-147.93199999999999</v>
      </c>
      <c r="BR94" s="1373">
        <f>SUM(BR89:BR93)</f>
        <v>-170.39400000000001</v>
      </c>
      <c r="BS94" s="1373">
        <f t="shared" si="337"/>
        <v>-77.959000000000003</v>
      </c>
      <c r="BT94" s="708">
        <f t="shared" si="337"/>
        <v>-490.70699999999999</v>
      </c>
      <c r="BU94" s="707">
        <f t="shared" ref="BU94:CD94" si="338">SUM(BU89:BU93)</f>
        <v>-698.37100000000009</v>
      </c>
      <c r="BV94" s="1305">
        <f t="shared" si="338"/>
        <v>-38.908999999999942</v>
      </c>
      <c r="BW94" s="1373">
        <f>SUM(BW89:BW93)</f>
        <v>-465.09099999999995</v>
      </c>
      <c r="BX94" s="1373">
        <f t="shared" si="338"/>
        <v>-285.98700000000008</v>
      </c>
      <c r="BY94" s="708">
        <f t="shared" si="338"/>
        <v>-1488.3580000000002</v>
      </c>
      <c r="BZ94" s="1373">
        <f t="shared" si="338"/>
        <v>-258.84199999999998</v>
      </c>
      <c r="CA94" s="1305">
        <f>SUM(CA89:CA93)</f>
        <v>-251.50499999999991</v>
      </c>
      <c r="CB94" s="707">
        <f t="shared" si="338"/>
        <v>-306.58800000000008</v>
      </c>
      <c r="CC94" s="707">
        <f t="shared" si="338"/>
        <v>-143.09799999999996</v>
      </c>
      <c r="CD94" s="1381">
        <f t="shared" si="338"/>
        <v>-960.0329999999999</v>
      </c>
      <c r="CE94" s="1373">
        <f t="shared" ref="CE94:CN94" si="339">SUM(CE89:CE93)</f>
        <v>-338.88200000000001</v>
      </c>
      <c r="CF94" s="1305">
        <f>SUM(CF89:CF93)</f>
        <v>-87.546999999999898</v>
      </c>
      <c r="CG94" s="707">
        <f t="shared" si="339"/>
        <v>-36.814000000000178</v>
      </c>
      <c r="CH94" s="707">
        <f t="shared" si="339"/>
        <v>20.366000000000259</v>
      </c>
      <c r="CI94" s="1381">
        <f t="shared" si="339"/>
        <v>-442.87699999999984</v>
      </c>
      <c r="CJ94" s="1257">
        <f t="shared" si="339"/>
        <v>-93.761999999999986</v>
      </c>
      <c r="CK94" s="709">
        <f t="shared" si="339"/>
        <v>-56.711323987638821</v>
      </c>
      <c r="CL94" s="709">
        <f t="shared" si="339"/>
        <v>-59.65413647173483</v>
      </c>
      <c r="CM94" s="709">
        <f t="shared" si="339"/>
        <v>-62.266602819523484</v>
      </c>
      <c r="CN94" s="967">
        <f t="shared" si="339"/>
        <v>-272.39406327889714</v>
      </c>
      <c r="CO94" s="1257">
        <f t="shared" ref="CO94:CX94" si="340">SUM(CO89:CO93)</f>
        <v>-64.993145852362787</v>
      </c>
      <c r="CP94" s="709">
        <f t="shared" si="340"/>
        <v>-67.764838626835441</v>
      </c>
      <c r="CQ94" s="709">
        <f t="shared" si="340"/>
        <v>-70.681429389047821</v>
      </c>
      <c r="CR94" s="709">
        <f t="shared" si="340"/>
        <v>-73.7397103388451</v>
      </c>
      <c r="CS94" s="967">
        <f t="shared" si="340"/>
        <v>-277.17912420709115</v>
      </c>
      <c r="CT94" s="1257">
        <f t="shared" si="340"/>
        <v>-76.791730269787124</v>
      </c>
      <c r="CU94" s="709">
        <f t="shared" si="340"/>
        <v>-79.82229991639521</v>
      </c>
      <c r="CV94" s="709">
        <f t="shared" si="340"/>
        <v>-82.810863686344987</v>
      </c>
      <c r="CW94" s="709">
        <f t="shared" si="340"/>
        <v>-85.785701284531456</v>
      </c>
      <c r="CX94" s="967">
        <f t="shared" si="340"/>
        <v>-325.21059515705878</v>
      </c>
      <c r="CZ94" s="686"/>
      <c r="DA94" s="769"/>
      <c r="DB94" s="686"/>
      <c r="DC94" s="686"/>
    </row>
    <row r="95" spans="1:107" ht="10.5" customHeight="1">
      <c r="A95" s="693" t="s">
        <v>707</v>
      </c>
      <c r="B95" s="693"/>
      <c r="C95" s="687"/>
      <c r="D95" s="687"/>
      <c r="E95" s="687"/>
      <c r="F95" s="687"/>
      <c r="G95" s="764"/>
      <c r="H95" s="687"/>
      <c r="I95" s="687"/>
      <c r="J95" s="687"/>
      <c r="K95" s="687"/>
      <c r="L95" s="764"/>
      <c r="M95" s="687"/>
      <c r="N95" s="687"/>
      <c r="O95" s="687"/>
      <c r="P95" s="687"/>
      <c r="Q95" s="764"/>
      <c r="R95" s="687"/>
      <c r="S95" s="687"/>
      <c r="T95" s="687"/>
      <c r="U95" s="687"/>
      <c r="V95" s="764"/>
      <c r="W95" s="687"/>
      <c r="X95" s="687"/>
      <c r="Y95" s="687"/>
      <c r="Z95" s="687"/>
      <c r="AA95" s="764"/>
      <c r="AB95" s="687"/>
      <c r="AC95" s="687"/>
      <c r="AD95" s="687"/>
      <c r="AE95" s="687"/>
      <c r="AF95" s="764"/>
      <c r="AG95" s="687"/>
      <c r="AH95" s="687"/>
      <c r="AI95" s="687"/>
      <c r="AJ95" s="687"/>
      <c r="AK95" s="764"/>
      <c r="AL95" s="687"/>
      <c r="AM95" s="687"/>
      <c r="AN95" s="687"/>
      <c r="AO95" s="687"/>
      <c r="AP95" s="764"/>
      <c r="AQ95" s="687"/>
      <c r="AR95" s="687"/>
      <c r="AS95" s="687"/>
      <c r="AT95" s="687"/>
      <c r="AU95" s="764"/>
      <c r="AV95" s="687"/>
      <c r="AW95" s="687"/>
      <c r="AX95" s="687"/>
      <c r="AY95" s="687"/>
      <c r="AZ95" s="764"/>
      <c r="BA95" s="687"/>
      <c r="BB95" s="1303"/>
      <c r="BC95" s="687"/>
      <c r="BD95" s="687"/>
      <c r="BE95" s="764"/>
      <c r="BF95" s="687"/>
      <c r="BG95" s="1303"/>
      <c r="BH95" s="1106"/>
      <c r="BI95" s="687"/>
      <c r="BJ95" s="764"/>
      <c r="BK95" s="687"/>
      <c r="BL95" s="1303"/>
      <c r="BM95" s="1106"/>
      <c r="BN95" s="687"/>
      <c r="BO95" s="764"/>
      <c r="BP95" s="687"/>
      <c r="BQ95" s="1303"/>
      <c r="BR95" s="1106"/>
      <c r="BS95" s="1106"/>
      <c r="BT95" s="764"/>
      <c r="BU95" s="687"/>
      <c r="BV95" s="1303"/>
      <c r="BW95" s="1106"/>
      <c r="BX95" s="1106"/>
      <c r="BY95" s="764"/>
      <c r="BZ95" s="1106"/>
      <c r="CA95" s="1303"/>
      <c r="CB95" s="687"/>
      <c r="CC95" s="687"/>
      <c r="CD95" s="1680"/>
      <c r="CE95" s="1106"/>
      <c r="CF95" s="1303"/>
      <c r="CG95" s="687"/>
      <c r="CH95" s="687"/>
      <c r="CI95" s="1680"/>
      <c r="CJ95" s="1258"/>
      <c r="CK95" s="745"/>
      <c r="CL95" s="745"/>
      <c r="CM95" s="745"/>
      <c r="CN95" s="975"/>
      <c r="CO95" s="1258"/>
      <c r="CP95" s="745"/>
      <c r="CQ95" s="745"/>
      <c r="CR95" s="745"/>
      <c r="CS95" s="975"/>
      <c r="CT95" s="1258"/>
      <c r="CU95" s="745"/>
      <c r="CV95" s="745"/>
      <c r="CW95" s="745"/>
      <c r="CX95" s="975"/>
      <c r="CZ95" s="697"/>
      <c r="DA95" s="769"/>
      <c r="DB95" s="697"/>
      <c r="DC95" s="697"/>
    </row>
    <row r="96" spans="1:107" ht="10.5" customHeight="1">
      <c r="A96" s="699" t="s">
        <v>187</v>
      </c>
      <c r="B96" s="699"/>
      <c r="C96" s="715">
        <f>C42</f>
        <v>0</v>
      </c>
      <c r="D96" s="715">
        <f t="shared" ref="D96:F97" si="341">IF(D42="-","-",SUM(D42)-SUM(C42))</f>
        <v>0</v>
      </c>
      <c r="E96" s="715">
        <f t="shared" si="341"/>
        <v>0</v>
      </c>
      <c r="F96" s="715">
        <f t="shared" si="341"/>
        <v>0</v>
      </c>
      <c r="G96" s="705">
        <f t="shared" ref="G96:G102" si="342">SUM(C96:F96)</f>
        <v>0</v>
      </c>
      <c r="H96" s="715">
        <f>H42</f>
        <v>0</v>
      </c>
      <c r="I96" s="715">
        <f t="shared" ref="I96:K97" si="343">IF(I42="-","-",SUM(I42)-SUM(H42))</f>
        <v>0</v>
      </c>
      <c r="J96" s="715">
        <f t="shared" si="343"/>
        <v>0</v>
      </c>
      <c r="K96" s="715">
        <f t="shared" si="343"/>
        <v>0</v>
      </c>
      <c r="L96" s="705">
        <f t="shared" ref="L96:L102" si="344">SUM(H96:K96)</f>
        <v>0</v>
      </c>
      <c r="M96" s="715">
        <f>M42</f>
        <v>0</v>
      </c>
      <c r="N96" s="715">
        <f t="shared" ref="N96:P97" si="345">IF(N42="-","-",SUM(N42)-SUM(M42))</f>
        <v>0</v>
      </c>
      <c r="O96" s="715">
        <f t="shared" si="345"/>
        <v>0</v>
      </c>
      <c r="P96" s="715">
        <f t="shared" si="345"/>
        <v>128.64400000000001</v>
      </c>
      <c r="Q96" s="705">
        <f t="shared" ref="Q96:Q102" si="346">SUM(M96:P96)</f>
        <v>128.64400000000001</v>
      </c>
      <c r="R96" s="715">
        <f>R42</f>
        <v>0</v>
      </c>
      <c r="S96" s="715">
        <f t="shared" ref="S96:U97" si="347">IF(S42="-","-",SUM(S42)-SUM(R42))</f>
        <v>0</v>
      </c>
      <c r="T96" s="715">
        <f t="shared" si="347"/>
        <v>0</v>
      </c>
      <c r="U96" s="715">
        <f t="shared" si="347"/>
        <v>0</v>
      </c>
      <c r="V96" s="705">
        <f t="shared" ref="V96:V102" si="348">SUM(R96:U96)</f>
        <v>0</v>
      </c>
      <c r="W96" s="715">
        <f>W42</f>
        <v>0</v>
      </c>
      <c r="X96" s="715">
        <f t="shared" ref="X96:Z97" si="349">IF(X42="-","-",SUM(X42)-SUM(W42))</f>
        <v>0</v>
      </c>
      <c r="Y96" s="715">
        <f t="shared" si="349"/>
        <v>0</v>
      </c>
      <c r="Z96" s="715">
        <f t="shared" si="349"/>
        <v>0</v>
      </c>
      <c r="AA96" s="705">
        <f t="shared" ref="AA96:AA102" si="350">SUM(W96:Z96)</f>
        <v>0</v>
      </c>
      <c r="AB96" s="715">
        <f>AB42</f>
        <v>0.30599999999999999</v>
      </c>
      <c r="AC96" s="715">
        <f t="shared" ref="AC96:AE97" si="351">IF(AC42="-","-",SUM(AC42)-SUM(AB42))</f>
        <v>0</v>
      </c>
      <c r="AD96" s="715">
        <f t="shared" si="351"/>
        <v>0</v>
      </c>
      <c r="AE96" s="715">
        <f t="shared" si="351"/>
        <v>0</v>
      </c>
      <c r="AF96" s="705">
        <f t="shared" ref="AF96:AF102" si="352">SUM(AB96:AE96)</f>
        <v>0.30599999999999999</v>
      </c>
      <c r="AG96" s="715">
        <f>AG42</f>
        <v>0</v>
      </c>
      <c r="AH96" s="715">
        <f t="shared" ref="AH96:AJ97" si="353">IF(AH42="-","-",SUM(AH42)-SUM(AG42))</f>
        <v>0</v>
      </c>
      <c r="AI96" s="715">
        <f t="shared" si="353"/>
        <v>0</v>
      </c>
      <c r="AJ96" s="715">
        <f t="shared" si="353"/>
        <v>0</v>
      </c>
      <c r="AK96" s="705">
        <f t="shared" ref="AK96:AK102" si="354">SUM(AG96:AJ96)</f>
        <v>0</v>
      </c>
      <c r="AL96" s="715">
        <f t="shared" ref="AL96:AL102" si="355">AL42</f>
        <v>0</v>
      </c>
      <c r="AM96" s="715">
        <f t="shared" ref="AM96:AO102" si="356">IF(AM42="-","-",SUM(AM42)-SUM(AL42))</f>
        <v>0</v>
      </c>
      <c r="AN96" s="715">
        <f t="shared" si="356"/>
        <v>0</v>
      </c>
      <c r="AO96" s="715">
        <f t="shared" si="356"/>
        <v>0</v>
      </c>
      <c r="AP96" s="705">
        <f t="shared" ref="AP96:AP102" si="357">SUM(AL96:AO96)</f>
        <v>0</v>
      </c>
      <c r="AQ96" s="715">
        <f t="shared" ref="AQ96:AQ102" si="358">AQ42</f>
        <v>0</v>
      </c>
      <c r="AR96" s="715">
        <f t="shared" ref="AR96:AS102" si="359">IF(AR42="-","-",SUM(AR42)-SUM(AQ42))</f>
        <v>0</v>
      </c>
      <c r="AS96" s="715">
        <f t="shared" si="359"/>
        <v>0</v>
      </c>
      <c r="AT96" s="715">
        <v>0</v>
      </c>
      <c r="AU96" s="705">
        <f t="shared" ref="AU96:AU102" si="360">SUM(AQ96:AT96)</f>
        <v>0</v>
      </c>
      <c r="AV96" s="715">
        <f t="shared" ref="AV96:AV102" si="361">AV42</f>
        <v>0</v>
      </c>
      <c r="AW96" s="715">
        <f t="shared" ref="AW96:AY102" si="362">IF(AW42="-","-",SUM(AW42)-SUM(AV42))</f>
        <v>0</v>
      </c>
      <c r="AX96" s="715">
        <f t="shared" si="362"/>
        <v>0</v>
      </c>
      <c r="AY96" s="715">
        <f t="shared" si="362"/>
        <v>0</v>
      </c>
      <c r="AZ96" s="705">
        <f t="shared" ref="AZ96:AZ102" si="363">SUM(AV96:AY96)</f>
        <v>0</v>
      </c>
      <c r="BA96" s="715">
        <f t="shared" ref="BA96:BA102" si="364">BA42</f>
        <v>0</v>
      </c>
      <c r="BB96" s="1304">
        <f t="shared" ref="BB96:BD102" si="365">IF(BB42="-","-",SUM(BB42)-SUM(BA42))</f>
        <v>0</v>
      </c>
      <c r="BC96" s="715">
        <f t="shared" si="365"/>
        <v>0</v>
      </c>
      <c r="BD96" s="715">
        <f t="shared" si="365"/>
        <v>0</v>
      </c>
      <c r="BE96" s="705">
        <f t="shared" ref="BE96:BE102" si="366">SUM(BA96:BD96)</f>
        <v>0</v>
      </c>
      <c r="BF96" s="715">
        <f t="shared" ref="BF96:BF102" si="367">BF42</f>
        <v>0</v>
      </c>
      <c r="BG96" s="1304">
        <f t="shared" ref="BG96:BI102" si="368">IF(BG42="-","-",SUM(BG42)-SUM(BF42))</f>
        <v>0</v>
      </c>
      <c r="BH96" s="1372">
        <f t="shared" si="368"/>
        <v>0</v>
      </c>
      <c r="BI96" s="715">
        <f t="shared" si="368"/>
        <v>0</v>
      </c>
      <c r="BJ96" s="705">
        <f t="shared" ref="BJ96:BJ102" si="369">SUM(BF96:BI96)</f>
        <v>0</v>
      </c>
      <c r="BK96" s="715">
        <f t="shared" ref="BK96:BK102" si="370">BK42</f>
        <v>0</v>
      </c>
      <c r="BL96" s="1304">
        <f t="shared" ref="BL96:BN102" si="371">IF(BL42="-","-",SUM(BL42)-SUM(BK42))</f>
        <v>0</v>
      </c>
      <c r="BM96" s="1372">
        <f t="shared" si="371"/>
        <v>0</v>
      </c>
      <c r="BN96" s="715">
        <f t="shared" si="371"/>
        <v>0</v>
      </c>
      <c r="BO96" s="705">
        <f t="shared" ref="BO96:BO102" si="372">SUM(BK96:BN96)</f>
        <v>0</v>
      </c>
      <c r="BP96" s="715">
        <f t="shared" ref="BP96:BP102" si="373">BP42</f>
        <v>0</v>
      </c>
      <c r="BQ96" s="1304">
        <f t="shared" ref="BQ96:BS102" si="374">IF(BQ42="-","-",SUM(BQ42)-SUM(BP42))</f>
        <v>0</v>
      </c>
      <c r="BR96" s="1372">
        <f t="shared" si="374"/>
        <v>0</v>
      </c>
      <c r="BS96" s="1372">
        <f t="shared" si="374"/>
        <v>0</v>
      </c>
      <c r="BT96" s="705">
        <f t="shared" ref="BT96:BT102" si="375">SUM(BP96:BS96)</f>
        <v>0</v>
      </c>
      <c r="BU96" s="715">
        <f t="shared" ref="BU96:BU102" si="376">BU42</f>
        <v>0</v>
      </c>
      <c r="BV96" s="1304">
        <f t="shared" ref="BV96:BV102" si="377">IF(BV42="-","-",SUM(BV42)-SUM(BU42))</f>
        <v>0</v>
      </c>
      <c r="BW96" s="1372">
        <f t="shared" ref="BW96:BW102" si="378">IF(BW42="-","-",SUM(BW42)-SUM(BV42))</f>
        <v>0</v>
      </c>
      <c r="BX96" s="1372">
        <f t="shared" ref="BX96:BX102" si="379">IF(BX42="-","-",SUM(BX42)-SUM(BW42))</f>
        <v>0</v>
      </c>
      <c r="BY96" s="705">
        <f t="shared" ref="BY96:BY102" si="380">SUM(BU96:BX96)</f>
        <v>0</v>
      </c>
      <c r="BZ96" s="1372">
        <f t="shared" ref="BZ96:BZ102" si="381">BZ42</f>
        <v>0</v>
      </c>
      <c r="CA96" s="1304">
        <f t="shared" ref="CA96:CA102" si="382">IF(CA42="-","-",SUM(CA42)-SUM(BZ42))</f>
        <v>0</v>
      </c>
      <c r="CB96" s="715">
        <f t="shared" ref="CB96:CC102" si="383">IF(CB42="-","-",SUM(CB42)-SUM(CA42))</f>
        <v>0</v>
      </c>
      <c r="CC96" s="715">
        <f>IF(CC42="-","-",SUM(CC42)-SUM(CB42))</f>
        <v>0</v>
      </c>
      <c r="CD96" s="1380">
        <f t="shared" ref="CD96:CD102" si="384">SUM(BZ96:CC96)</f>
        <v>0</v>
      </c>
      <c r="CE96" s="1372">
        <f t="shared" ref="CE96:CE102" si="385">CE42</f>
        <v>0</v>
      </c>
      <c r="CF96" s="1304">
        <f t="shared" ref="CF96:CF102" si="386">IF(CF42="-","-",SUM(CF42)-SUM(CE42))</f>
        <v>0</v>
      </c>
      <c r="CG96" s="715">
        <f t="shared" ref="CG96:CH102" si="387">IF(CG42="-","-",SUM(CG42)-SUM(CF42))</f>
        <v>0</v>
      </c>
      <c r="CH96" s="715">
        <f t="shared" si="387"/>
        <v>0</v>
      </c>
      <c r="CI96" s="1380">
        <f t="shared" ref="CI96:CI102" si="388">SUM(CE96:CH96)</f>
        <v>0</v>
      </c>
      <c r="CJ96" s="1255">
        <f t="shared" ref="CJ96:CJ102" si="389">CJ42</f>
        <v>0</v>
      </c>
      <c r="CK96" s="721">
        <f t="shared" ref="CK96:CM102" si="390">IF(CK42="-","-",SUM(CK42)-SUM(CJ42))</f>
        <v>0</v>
      </c>
      <c r="CL96" s="721">
        <f t="shared" si="390"/>
        <v>0</v>
      </c>
      <c r="CM96" s="721">
        <f t="shared" si="390"/>
        <v>0</v>
      </c>
      <c r="CN96" s="966">
        <f t="shared" ref="CN96:CN102" si="391">SUM(CJ96:CM96)</f>
        <v>0</v>
      </c>
      <c r="CO96" s="1255">
        <f t="shared" ref="CO96:CO102" si="392">CO42</f>
        <v>0</v>
      </c>
      <c r="CP96" s="721">
        <f t="shared" ref="CP96:CP102" si="393">IF(CP42="-","-",SUM(CP42)-SUM(CO42))</f>
        <v>0</v>
      </c>
      <c r="CQ96" s="721">
        <f t="shared" ref="CQ96:CQ102" si="394">IF(CQ42="-","-",SUM(CQ42)-SUM(CP42))</f>
        <v>0</v>
      </c>
      <c r="CR96" s="721">
        <f t="shared" ref="CR96:CR102" si="395">IF(CR42="-","-",SUM(CR42)-SUM(CQ42))</f>
        <v>0</v>
      </c>
      <c r="CS96" s="966">
        <f t="shared" ref="CS96:CS102" si="396">SUM(CO96:CR96)</f>
        <v>0</v>
      </c>
      <c r="CT96" s="1255">
        <f t="shared" ref="CT96:CT102" si="397">CT42</f>
        <v>0</v>
      </c>
      <c r="CU96" s="721">
        <f t="shared" ref="CU96:CU102" si="398">IF(CU42="-","-",SUM(CU42)-SUM(CT42))</f>
        <v>0</v>
      </c>
      <c r="CV96" s="721">
        <f t="shared" ref="CV96:CV102" si="399">IF(CV42="-","-",SUM(CV42)-SUM(CU42))</f>
        <v>0</v>
      </c>
      <c r="CW96" s="721">
        <f t="shared" ref="CW96:CW102" si="400">IF(CW42="-","-",SUM(CW42)-SUM(CV42))</f>
        <v>0</v>
      </c>
      <c r="CX96" s="966">
        <f t="shared" ref="CX96:CX102" si="401">SUM(CT96:CW96)</f>
        <v>0</v>
      </c>
      <c r="CZ96" s="697"/>
      <c r="DA96" s="769"/>
      <c r="DB96" s="697"/>
      <c r="DC96" s="697"/>
    </row>
    <row r="97" spans="1:113" ht="10.5" customHeight="1">
      <c r="A97" s="699" t="s">
        <v>382</v>
      </c>
      <c r="B97" s="699"/>
      <c r="C97" s="715">
        <f>C43</f>
        <v>0</v>
      </c>
      <c r="D97" s="715">
        <f t="shared" si="341"/>
        <v>0</v>
      </c>
      <c r="E97" s="715">
        <f t="shared" si="341"/>
        <v>0</v>
      </c>
      <c r="F97" s="715">
        <f t="shared" si="341"/>
        <v>0</v>
      </c>
      <c r="G97" s="705">
        <f t="shared" si="342"/>
        <v>0</v>
      </c>
      <c r="H97" s="715">
        <f>H43</f>
        <v>0</v>
      </c>
      <c r="I97" s="715">
        <f t="shared" si="343"/>
        <v>0</v>
      </c>
      <c r="J97" s="715">
        <f t="shared" si="343"/>
        <v>0</v>
      </c>
      <c r="K97" s="715">
        <f t="shared" si="343"/>
        <v>0</v>
      </c>
      <c r="L97" s="705">
        <f t="shared" si="344"/>
        <v>0</v>
      </c>
      <c r="M97" s="715">
        <f>M43</f>
        <v>0</v>
      </c>
      <c r="N97" s="715">
        <f t="shared" si="345"/>
        <v>0</v>
      </c>
      <c r="O97" s="715">
        <f t="shared" si="345"/>
        <v>0</v>
      </c>
      <c r="P97" s="715">
        <f t="shared" si="345"/>
        <v>0</v>
      </c>
      <c r="Q97" s="705">
        <f t="shared" si="346"/>
        <v>0</v>
      </c>
      <c r="R97" s="715">
        <f>R43</f>
        <v>0</v>
      </c>
      <c r="S97" s="715">
        <f t="shared" si="347"/>
        <v>0</v>
      </c>
      <c r="T97" s="715">
        <f t="shared" si="347"/>
        <v>0</v>
      </c>
      <c r="U97" s="715">
        <f t="shared" si="347"/>
        <v>0</v>
      </c>
      <c r="V97" s="705">
        <f t="shared" si="348"/>
        <v>0</v>
      </c>
      <c r="W97" s="715">
        <f>W43</f>
        <v>0</v>
      </c>
      <c r="X97" s="715">
        <f t="shared" si="349"/>
        <v>0</v>
      </c>
      <c r="Y97" s="715">
        <f t="shared" si="349"/>
        <v>0</v>
      </c>
      <c r="Z97" s="715">
        <f t="shared" si="349"/>
        <v>0</v>
      </c>
      <c r="AA97" s="705">
        <f t="shared" si="350"/>
        <v>0</v>
      </c>
      <c r="AB97" s="715">
        <f>AB43</f>
        <v>0</v>
      </c>
      <c r="AC97" s="715">
        <f t="shared" si="351"/>
        <v>0</v>
      </c>
      <c r="AD97" s="715">
        <f t="shared" si="351"/>
        <v>0</v>
      </c>
      <c r="AE97" s="715">
        <f t="shared" si="351"/>
        <v>0</v>
      </c>
      <c r="AF97" s="705">
        <f t="shared" si="352"/>
        <v>0</v>
      </c>
      <c r="AG97" s="715">
        <f>AG43</f>
        <v>0</v>
      </c>
      <c r="AH97" s="715">
        <f t="shared" si="353"/>
        <v>0</v>
      </c>
      <c r="AI97" s="715">
        <f t="shared" si="353"/>
        <v>0</v>
      </c>
      <c r="AJ97" s="715">
        <f t="shared" si="353"/>
        <v>0</v>
      </c>
      <c r="AK97" s="705">
        <f t="shared" si="354"/>
        <v>0</v>
      </c>
      <c r="AL97" s="715">
        <f t="shared" si="355"/>
        <v>53.51</v>
      </c>
      <c r="AM97" s="715">
        <f t="shared" si="356"/>
        <v>108.95699999999999</v>
      </c>
      <c r="AN97" s="715">
        <f t="shared" si="356"/>
        <v>138.98699999999997</v>
      </c>
      <c r="AO97" s="715">
        <f t="shared" si="356"/>
        <v>17.71100000000007</v>
      </c>
      <c r="AP97" s="705">
        <f t="shared" si="357"/>
        <v>319.16500000000002</v>
      </c>
      <c r="AQ97" s="715">
        <f t="shared" si="358"/>
        <v>28.603999999999999</v>
      </c>
      <c r="AR97" s="715">
        <f t="shared" si="359"/>
        <v>20.215000000000003</v>
      </c>
      <c r="AS97" s="715">
        <f t="shared" si="359"/>
        <v>73.400000000000006</v>
      </c>
      <c r="AT97" s="715">
        <v>57.347000000000001</v>
      </c>
      <c r="AU97" s="705">
        <f t="shared" si="360"/>
        <v>179.566</v>
      </c>
      <c r="AV97" s="715">
        <f t="shared" si="361"/>
        <v>49.823999999999998</v>
      </c>
      <c r="AW97" s="715">
        <f t="shared" si="362"/>
        <v>34.236000000000004</v>
      </c>
      <c r="AX97" s="715">
        <f t="shared" si="362"/>
        <v>45.579999999999984</v>
      </c>
      <c r="AY97" s="715">
        <f t="shared" si="362"/>
        <v>0</v>
      </c>
      <c r="AZ97" s="705">
        <f t="shared" si="363"/>
        <v>129.63999999999999</v>
      </c>
      <c r="BA97" s="715">
        <f t="shared" si="364"/>
        <v>40.651000000000003</v>
      </c>
      <c r="BB97" s="1304">
        <f t="shared" si="365"/>
        <v>46.732000000000006</v>
      </c>
      <c r="BC97" s="715">
        <f t="shared" si="365"/>
        <v>56.180000000000007</v>
      </c>
      <c r="BD97" s="715">
        <f t="shared" si="365"/>
        <v>1.1910000000000025</v>
      </c>
      <c r="BE97" s="705">
        <f t="shared" si="366"/>
        <v>144.75400000000002</v>
      </c>
      <c r="BF97" s="715">
        <f t="shared" si="367"/>
        <v>13.366</v>
      </c>
      <c r="BG97" s="1304">
        <f t="shared" si="368"/>
        <v>0</v>
      </c>
      <c r="BH97" s="1372">
        <f t="shared" si="368"/>
        <v>0</v>
      </c>
      <c r="BI97" s="715">
        <f t="shared" si="368"/>
        <v>19.088999999999999</v>
      </c>
      <c r="BJ97" s="705">
        <f t="shared" si="369"/>
        <v>32.454999999999998</v>
      </c>
      <c r="BK97" s="715">
        <f t="shared" si="370"/>
        <v>88.566000000000003</v>
      </c>
      <c r="BL97" s="1304">
        <f t="shared" si="371"/>
        <v>184.655</v>
      </c>
      <c r="BM97" s="1372">
        <f t="shared" si="371"/>
        <v>162.66300000000001</v>
      </c>
      <c r="BN97" s="753">
        <f t="shared" si="371"/>
        <v>0</v>
      </c>
      <c r="BO97" s="705">
        <f t="shared" si="372"/>
        <v>435.88400000000001</v>
      </c>
      <c r="BP97" s="715">
        <f t="shared" si="373"/>
        <v>-53.776000000000003</v>
      </c>
      <c r="BQ97" s="1304">
        <f t="shared" si="374"/>
        <v>12.824000000000005</v>
      </c>
      <c r="BR97" s="1372">
        <f>IF(BR43="-","-",SUM(BR43)-SUM(BQ43))</f>
        <v>91.5</v>
      </c>
      <c r="BS97" s="1372">
        <f t="shared" si="374"/>
        <v>3.617999999999995</v>
      </c>
      <c r="BT97" s="705">
        <f t="shared" si="375"/>
        <v>54.165999999999997</v>
      </c>
      <c r="BU97" s="715">
        <f t="shared" si="376"/>
        <v>-93.697000000000003</v>
      </c>
      <c r="BV97" s="1304">
        <f t="shared" si="377"/>
        <v>2.9110000000000014</v>
      </c>
      <c r="BW97" s="1372">
        <f t="shared" si="378"/>
        <v>68.640999999999991</v>
      </c>
      <c r="BX97" s="1372">
        <f t="shared" si="379"/>
        <v>4.2000000000030013E-2</v>
      </c>
      <c r="BY97" s="705">
        <f t="shared" si="380"/>
        <v>-22.10299999999998</v>
      </c>
      <c r="BZ97" s="1372">
        <f t="shared" si="381"/>
        <v>0</v>
      </c>
      <c r="CA97" s="1304">
        <f t="shared" si="382"/>
        <v>0</v>
      </c>
      <c r="CB97" s="715">
        <f t="shared" si="383"/>
        <v>0</v>
      </c>
      <c r="CC97" s="715">
        <f>IF(CC43="-","-",SUM(CC43)-SUM(CB43))</f>
        <v>0</v>
      </c>
      <c r="CD97" s="1380">
        <f t="shared" si="384"/>
        <v>0</v>
      </c>
      <c r="CE97" s="1372">
        <v>0</v>
      </c>
      <c r="CF97" s="1304">
        <f t="shared" si="386"/>
        <v>0</v>
      </c>
      <c r="CG97" s="715">
        <f t="shared" si="387"/>
        <v>0</v>
      </c>
      <c r="CH97" s="715">
        <f t="shared" si="387"/>
        <v>0</v>
      </c>
      <c r="CI97" s="1380">
        <f t="shared" si="388"/>
        <v>0</v>
      </c>
      <c r="CJ97" s="1255">
        <f t="shared" si="389"/>
        <v>0</v>
      </c>
      <c r="CK97" s="721">
        <f t="shared" si="390"/>
        <v>50</v>
      </c>
      <c r="CL97" s="721">
        <f t="shared" si="390"/>
        <v>50</v>
      </c>
      <c r="CM97" s="721">
        <f t="shared" si="390"/>
        <v>50</v>
      </c>
      <c r="CN97" s="966">
        <f t="shared" si="391"/>
        <v>150</v>
      </c>
      <c r="CO97" s="1255">
        <f t="shared" si="392"/>
        <v>50</v>
      </c>
      <c r="CP97" s="721">
        <f t="shared" si="393"/>
        <v>50</v>
      </c>
      <c r="CQ97" s="721">
        <f t="shared" si="394"/>
        <v>50</v>
      </c>
      <c r="CR97" s="721">
        <f t="shared" si="395"/>
        <v>50</v>
      </c>
      <c r="CS97" s="966">
        <f t="shared" si="396"/>
        <v>200</v>
      </c>
      <c r="CT97" s="1255">
        <f t="shared" si="397"/>
        <v>50</v>
      </c>
      <c r="CU97" s="721">
        <f t="shared" si="398"/>
        <v>50</v>
      </c>
      <c r="CV97" s="721">
        <f t="shared" si="399"/>
        <v>50</v>
      </c>
      <c r="CW97" s="721">
        <f t="shared" si="400"/>
        <v>50</v>
      </c>
      <c r="CX97" s="966">
        <f t="shared" si="401"/>
        <v>200</v>
      </c>
      <c r="CZ97" s="697"/>
      <c r="DA97" s="769"/>
      <c r="DB97" s="697"/>
      <c r="DC97" s="697"/>
    </row>
    <row r="98" spans="1:113" ht="10.5" customHeight="1">
      <c r="A98" s="699" t="s">
        <v>48</v>
      </c>
      <c r="B98" s="699"/>
      <c r="C98" s="715"/>
      <c r="D98" s="715"/>
      <c r="E98" s="715"/>
      <c r="F98" s="715"/>
      <c r="G98" s="705"/>
      <c r="H98" s="715"/>
      <c r="I98" s="715"/>
      <c r="J98" s="715"/>
      <c r="K98" s="715"/>
      <c r="L98" s="705"/>
      <c r="M98" s="715"/>
      <c r="N98" s="715"/>
      <c r="O98" s="715"/>
      <c r="P98" s="715"/>
      <c r="Q98" s="705"/>
      <c r="R98" s="715"/>
      <c r="S98" s="715"/>
      <c r="T98" s="715"/>
      <c r="U98" s="715"/>
      <c r="V98" s="705"/>
      <c r="W98" s="715"/>
      <c r="X98" s="715"/>
      <c r="Y98" s="715"/>
      <c r="Z98" s="715"/>
      <c r="AA98" s="705"/>
      <c r="AB98" s="715"/>
      <c r="AC98" s="715"/>
      <c r="AD98" s="715"/>
      <c r="AE98" s="715"/>
      <c r="AF98" s="705"/>
      <c r="AG98" s="715"/>
      <c r="AH98" s="715"/>
      <c r="AI98" s="715"/>
      <c r="AJ98" s="715"/>
      <c r="AK98" s="705"/>
      <c r="AL98" s="715">
        <f t="shared" si="355"/>
        <v>450</v>
      </c>
      <c r="AM98" s="715">
        <f t="shared" si="356"/>
        <v>-100</v>
      </c>
      <c r="AN98" s="715">
        <f t="shared" si="356"/>
        <v>0</v>
      </c>
      <c r="AO98" s="715">
        <f t="shared" si="356"/>
        <v>0</v>
      </c>
      <c r="AP98" s="705">
        <f t="shared" si="357"/>
        <v>350</v>
      </c>
      <c r="AQ98" s="715">
        <f t="shared" si="358"/>
        <v>0</v>
      </c>
      <c r="AR98" s="715">
        <f t="shared" si="359"/>
        <v>0</v>
      </c>
      <c r="AS98" s="715">
        <f t="shared" si="359"/>
        <v>0</v>
      </c>
      <c r="AT98" s="715">
        <v>650</v>
      </c>
      <c r="AU98" s="705">
        <f t="shared" si="360"/>
        <v>650</v>
      </c>
      <c r="AV98" s="715">
        <f t="shared" si="361"/>
        <v>493.43900000000008</v>
      </c>
      <c r="AW98" s="715">
        <f t="shared" si="362"/>
        <v>0</v>
      </c>
      <c r="AX98" s="715">
        <f t="shared" si="362"/>
        <v>-1.5590000000000259</v>
      </c>
      <c r="AY98" s="715">
        <f t="shared" si="362"/>
        <v>0</v>
      </c>
      <c r="AZ98" s="705">
        <f t="shared" si="363"/>
        <v>491.88000000000005</v>
      </c>
      <c r="BA98" s="715">
        <f t="shared" si="364"/>
        <v>-2.169</v>
      </c>
      <c r="BB98" s="1304">
        <f t="shared" si="365"/>
        <v>-1.4550000000000001</v>
      </c>
      <c r="BC98" s="715">
        <f t="shared" si="365"/>
        <v>-4.1790000000000003</v>
      </c>
      <c r="BD98" s="715">
        <f t="shared" si="365"/>
        <v>-2.2430000000000003</v>
      </c>
      <c r="BE98" s="705">
        <f t="shared" si="366"/>
        <v>-10.046000000000001</v>
      </c>
      <c r="BF98" s="715">
        <f t="shared" si="367"/>
        <v>0</v>
      </c>
      <c r="BG98" s="1304">
        <f t="shared" si="368"/>
        <v>0</v>
      </c>
      <c r="BH98" s="1372">
        <f t="shared" si="368"/>
        <v>0.8360000000000003</v>
      </c>
      <c r="BI98" s="715">
        <f t="shared" si="368"/>
        <v>-2.9849999999999999</v>
      </c>
      <c r="BJ98" s="705">
        <f t="shared" si="369"/>
        <v>-2.1489999999999996</v>
      </c>
      <c r="BK98" s="715">
        <f t="shared" si="370"/>
        <v>22.838999999999999</v>
      </c>
      <c r="BL98" s="1304">
        <f t="shared" si="371"/>
        <v>0</v>
      </c>
      <c r="BM98" s="1372">
        <f t="shared" si="371"/>
        <v>-10.034000000000001</v>
      </c>
      <c r="BN98" s="753">
        <f t="shared" si="371"/>
        <v>-6.0410000000000004</v>
      </c>
      <c r="BO98" s="705">
        <f t="shared" si="372"/>
        <v>6.7639999999999976</v>
      </c>
      <c r="BP98" s="715">
        <f t="shared" si="373"/>
        <v>-4.4329999999999998</v>
      </c>
      <c r="BQ98" s="1304">
        <f t="shared" si="374"/>
        <v>0</v>
      </c>
      <c r="BR98" s="1372">
        <f t="shared" si="374"/>
        <v>0</v>
      </c>
      <c r="BS98" s="1372">
        <f t="shared" si="374"/>
        <v>0</v>
      </c>
      <c r="BT98" s="705">
        <f t="shared" si="375"/>
        <v>-4.4329999999999998</v>
      </c>
      <c r="BU98" s="715">
        <f t="shared" si="376"/>
        <v>379.37299999999999</v>
      </c>
      <c r="BV98" s="1304">
        <f t="shared" si="377"/>
        <v>-0.15299999999996317</v>
      </c>
      <c r="BW98" s="1372">
        <f t="shared" si="378"/>
        <v>-0.95699999999999363</v>
      </c>
      <c r="BX98" s="1372">
        <f t="shared" si="379"/>
        <v>8.8279999999999745</v>
      </c>
      <c r="BY98" s="705">
        <f t="shared" si="380"/>
        <v>387.09100000000001</v>
      </c>
      <c r="BZ98" s="1372">
        <f t="shared" si="381"/>
        <v>0</v>
      </c>
      <c r="CA98" s="1304">
        <f t="shared" si="382"/>
        <v>0</v>
      </c>
      <c r="CB98" s="715">
        <f t="shared" si="383"/>
        <v>0</v>
      </c>
      <c r="CC98" s="715">
        <f t="shared" si="383"/>
        <v>0</v>
      </c>
      <c r="CD98" s="1380">
        <f t="shared" si="384"/>
        <v>0</v>
      </c>
      <c r="CE98" s="1372">
        <f t="shared" si="385"/>
        <v>0</v>
      </c>
      <c r="CF98" s="1304">
        <f t="shared" si="386"/>
        <v>0</v>
      </c>
      <c r="CG98" s="715">
        <f t="shared" si="387"/>
        <v>0</v>
      </c>
      <c r="CH98" s="715">
        <f t="shared" si="387"/>
        <v>0</v>
      </c>
      <c r="CI98" s="1380">
        <f t="shared" si="388"/>
        <v>0</v>
      </c>
      <c r="CJ98" s="1255">
        <f t="shared" si="389"/>
        <v>0</v>
      </c>
      <c r="CK98" s="721">
        <f t="shared" si="390"/>
        <v>26.805999999999813</v>
      </c>
      <c r="CL98" s="721">
        <f t="shared" si="390"/>
        <v>0</v>
      </c>
      <c r="CM98" s="721">
        <f t="shared" si="390"/>
        <v>0</v>
      </c>
      <c r="CN98" s="966">
        <f t="shared" si="391"/>
        <v>26.805999999999813</v>
      </c>
      <c r="CO98" s="1255">
        <f t="shared" si="392"/>
        <v>0</v>
      </c>
      <c r="CP98" s="721">
        <f t="shared" si="393"/>
        <v>0</v>
      </c>
      <c r="CQ98" s="721">
        <f t="shared" si="394"/>
        <v>0</v>
      </c>
      <c r="CR98" s="721">
        <f t="shared" si="395"/>
        <v>0</v>
      </c>
      <c r="CS98" s="966">
        <f t="shared" si="396"/>
        <v>0</v>
      </c>
      <c r="CT98" s="1255">
        <f t="shared" si="397"/>
        <v>0</v>
      </c>
      <c r="CU98" s="721">
        <f t="shared" si="398"/>
        <v>0</v>
      </c>
      <c r="CV98" s="721">
        <f t="shared" si="399"/>
        <v>0</v>
      </c>
      <c r="CW98" s="721">
        <f t="shared" si="400"/>
        <v>0</v>
      </c>
      <c r="CX98" s="966">
        <f t="shared" si="401"/>
        <v>0</v>
      </c>
      <c r="CZ98" s="697"/>
      <c r="DA98" s="769"/>
      <c r="DB98" s="697"/>
      <c r="DC98" s="697"/>
    </row>
    <row r="99" spans="1:113" ht="10.5" customHeight="1">
      <c r="A99" s="699" t="s">
        <v>75</v>
      </c>
      <c r="B99" s="699"/>
      <c r="C99" s="715">
        <f>C45</f>
        <v>0</v>
      </c>
      <c r="D99" s="715">
        <f t="shared" ref="D99:F102" si="402">IF(D45="-","-",SUM(D45)-SUM(C45))</f>
        <v>0</v>
      </c>
      <c r="E99" s="715">
        <f t="shared" si="402"/>
        <v>0</v>
      </c>
      <c r="F99" s="715">
        <f t="shared" si="402"/>
        <v>0</v>
      </c>
      <c r="G99" s="705">
        <f t="shared" si="342"/>
        <v>0</v>
      </c>
      <c r="H99" s="715">
        <f>H45</f>
        <v>0</v>
      </c>
      <c r="I99" s="715">
        <f t="shared" ref="I99:K102" si="403">IF(I45="-","-",SUM(I45)-SUM(H45))</f>
        <v>0</v>
      </c>
      <c r="J99" s="715">
        <f t="shared" si="403"/>
        <v>0</v>
      </c>
      <c r="K99" s="715">
        <f t="shared" si="403"/>
        <v>0</v>
      </c>
      <c r="L99" s="705">
        <f t="shared" si="344"/>
        <v>0</v>
      </c>
      <c r="M99" s="715">
        <f>M45</f>
        <v>0</v>
      </c>
      <c r="N99" s="715">
        <f t="shared" ref="N99:P102" si="404">IF(N45="-","-",SUM(N45)-SUM(M45))</f>
        <v>0</v>
      </c>
      <c r="O99" s="715">
        <f t="shared" si="404"/>
        <v>0</v>
      </c>
      <c r="P99" s="715">
        <f t="shared" si="404"/>
        <v>0</v>
      </c>
      <c r="Q99" s="705">
        <f t="shared" si="346"/>
        <v>0</v>
      </c>
      <c r="R99" s="715">
        <f>R45</f>
        <v>0</v>
      </c>
      <c r="S99" s="715">
        <f t="shared" ref="S99:U102" si="405">IF(S45="-","-",SUM(S45)-SUM(R45))</f>
        <v>0</v>
      </c>
      <c r="T99" s="715">
        <f t="shared" si="405"/>
        <v>0</v>
      </c>
      <c r="U99" s="715">
        <f t="shared" si="405"/>
        <v>0</v>
      </c>
      <c r="V99" s="705">
        <f t="shared" si="348"/>
        <v>0</v>
      </c>
      <c r="W99" s="715">
        <f>W45</f>
        <v>0</v>
      </c>
      <c r="X99" s="715">
        <f t="shared" ref="X99:Z102" si="406">IF(X45="-","-",SUM(X45)-SUM(W45))</f>
        <v>0</v>
      </c>
      <c r="Y99" s="715">
        <f t="shared" si="406"/>
        <v>0</v>
      </c>
      <c r="Z99" s="715">
        <f t="shared" si="406"/>
        <v>0</v>
      </c>
      <c r="AA99" s="705">
        <f t="shared" si="350"/>
        <v>0</v>
      </c>
      <c r="AB99" s="715">
        <f>AB45</f>
        <v>23.42</v>
      </c>
      <c r="AC99" s="715">
        <f t="shared" ref="AC99:AE102" si="407">IF(AC45="-","-",SUM(AC45)-SUM(AB45))</f>
        <v>22.731999999999999</v>
      </c>
      <c r="AD99" s="715">
        <f t="shared" si="407"/>
        <v>35.435000000000002</v>
      </c>
      <c r="AE99" s="715">
        <f t="shared" si="407"/>
        <v>61.530999999999992</v>
      </c>
      <c r="AF99" s="705">
        <f t="shared" si="352"/>
        <v>143.11799999999999</v>
      </c>
      <c r="AG99" s="715">
        <f>AG45</f>
        <v>1.556</v>
      </c>
      <c r="AH99" s="715">
        <f t="shared" ref="AH99:AJ102" si="408">IF(AH45="-","-",SUM(AH45)-SUM(AG45))</f>
        <v>35.866</v>
      </c>
      <c r="AI99" s="715">
        <f t="shared" si="408"/>
        <v>16.974000000000004</v>
      </c>
      <c r="AJ99" s="715">
        <f t="shared" si="408"/>
        <v>30.653999999999996</v>
      </c>
      <c r="AK99" s="705">
        <f t="shared" si="354"/>
        <v>85.05</v>
      </c>
      <c r="AL99" s="715">
        <f t="shared" si="355"/>
        <v>0</v>
      </c>
      <c r="AM99" s="715">
        <f t="shared" si="356"/>
        <v>9.3290000000000006</v>
      </c>
      <c r="AN99" s="715">
        <f t="shared" si="356"/>
        <v>14.305999999999997</v>
      </c>
      <c r="AO99" s="715">
        <f t="shared" si="356"/>
        <v>8.3480000000000025</v>
      </c>
      <c r="AP99" s="705">
        <f t="shared" si="357"/>
        <v>31.983000000000001</v>
      </c>
      <c r="AQ99" s="715">
        <f t="shared" si="358"/>
        <v>8.4000000000000005E-2</v>
      </c>
      <c r="AR99" s="715">
        <f t="shared" si="359"/>
        <v>0</v>
      </c>
      <c r="AS99" s="715">
        <f t="shared" si="359"/>
        <v>0</v>
      </c>
      <c r="AT99" s="715">
        <v>11.896000000000001</v>
      </c>
      <c r="AU99" s="705">
        <f t="shared" si="360"/>
        <v>11.98</v>
      </c>
      <c r="AV99" s="715">
        <f t="shared" si="361"/>
        <v>7.0579999999999998</v>
      </c>
      <c r="AW99" s="715">
        <f t="shared" si="362"/>
        <v>1.4269999999999996</v>
      </c>
      <c r="AX99" s="715">
        <f t="shared" si="362"/>
        <v>1.6869999999999994</v>
      </c>
      <c r="AY99" s="715">
        <f t="shared" si="362"/>
        <v>4.1100000000000012</v>
      </c>
      <c r="AZ99" s="705">
        <f t="shared" si="363"/>
        <v>14.282</v>
      </c>
      <c r="BA99" s="715">
        <f t="shared" si="364"/>
        <v>0</v>
      </c>
      <c r="BB99" s="1304">
        <f t="shared" si="365"/>
        <v>0</v>
      </c>
      <c r="BC99" s="715">
        <f t="shared" si="365"/>
        <v>0.318</v>
      </c>
      <c r="BD99" s="715">
        <f t="shared" si="365"/>
        <v>0.85299999999999998</v>
      </c>
      <c r="BE99" s="705">
        <f t="shared" si="366"/>
        <v>1.171</v>
      </c>
      <c r="BF99" s="715">
        <f t="shared" si="367"/>
        <v>2.67</v>
      </c>
      <c r="BG99" s="1304">
        <f t="shared" si="368"/>
        <v>2.6840000000000002</v>
      </c>
      <c r="BH99" s="1372">
        <f t="shared" si="368"/>
        <v>1.1719999999999997</v>
      </c>
      <c r="BI99" s="715">
        <f t="shared" si="368"/>
        <v>3.4770000000000003</v>
      </c>
      <c r="BJ99" s="705">
        <f t="shared" si="369"/>
        <v>10.003</v>
      </c>
      <c r="BK99" s="715">
        <f t="shared" si="370"/>
        <v>0</v>
      </c>
      <c r="BL99" s="1304">
        <f t="shared" si="371"/>
        <v>0</v>
      </c>
      <c r="BM99" s="1372">
        <f t="shared" si="371"/>
        <v>0</v>
      </c>
      <c r="BN99" s="753">
        <f t="shared" si="371"/>
        <v>40.619</v>
      </c>
      <c r="BO99" s="705">
        <f t="shared" si="372"/>
        <v>40.619</v>
      </c>
      <c r="BP99" s="715">
        <f t="shared" si="373"/>
        <v>0</v>
      </c>
      <c r="BQ99" s="1304">
        <f t="shared" si="374"/>
        <v>4.875</v>
      </c>
      <c r="BR99" s="1372">
        <f>IF(BR45="-","-",SUM(BR45)-SUM(BQ45))</f>
        <v>27.077999999999999</v>
      </c>
      <c r="BS99" s="1372">
        <f>IF(BS45="-","-",SUM(BS45)-SUM(BR45))</f>
        <v>21.282</v>
      </c>
      <c r="BT99" s="705">
        <f t="shared" si="375"/>
        <v>53.234999999999999</v>
      </c>
      <c r="BU99" s="715">
        <f t="shared" si="376"/>
        <v>33.598999999999997</v>
      </c>
      <c r="BV99" s="1304">
        <f t="shared" si="377"/>
        <v>11.14</v>
      </c>
      <c r="BW99" s="1372">
        <f t="shared" si="378"/>
        <v>13.606000000000002</v>
      </c>
      <c r="BX99" s="1372">
        <f t="shared" si="379"/>
        <v>9.8079999999999927</v>
      </c>
      <c r="BY99" s="705">
        <f t="shared" si="380"/>
        <v>68.152999999999992</v>
      </c>
      <c r="BZ99" s="1372">
        <f t="shared" si="381"/>
        <v>14.859</v>
      </c>
      <c r="CA99" s="1304">
        <f t="shared" si="382"/>
        <v>50.43</v>
      </c>
      <c r="CB99" s="715">
        <f t="shared" si="383"/>
        <v>3.980000000000004</v>
      </c>
      <c r="CC99" s="715">
        <f t="shared" si="383"/>
        <v>5.8359999999999985</v>
      </c>
      <c r="CD99" s="1380">
        <f t="shared" si="384"/>
        <v>75.105000000000004</v>
      </c>
      <c r="CE99" s="1372">
        <f t="shared" si="385"/>
        <v>0</v>
      </c>
      <c r="CF99" s="1304">
        <f t="shared" si="386"/>
        <v>0</v>
      </c>
      <c r="CG99" s="715">
        <f t="shared" si="387"/>
        <v>-220.58</v>
      </c>
      <c r="CH99" s="715">
        <f t="shared" si="387"/>
        <v>-19.545999999999992</v>
      </c>
      <c r="CI99" s="1380">
        <f t="shared" si="388"/>
        <v>-240.126</v>
      </c>
      <c r="CJ99" s="1255">
        <f t="shared" si="389"/>
        <v>-240.96899999999999</v>
      </c>
      <c r="CK99" s="721">
        <f t="shared" si="390"/>
        <v>240.96899999999999</v>
      </c>
      <c r="CL99" s="721">
        <f t="shared" si="390"/>
        <v>0</v>
      </c>
      <c r="CM99" s="721">
        <f t="shared" si="390"/>
        <v>0</v>
      </c>
      <c r="CN99" s="966">
        <f t="shared" si="391"/>
        <v>0</v>
      </c>
      <c r="CO99" s="1255">
        <f t="shared" si="392"/>
        <v>0</v>
      </c>
      <c r="CP99" s="721">
        <f t="shared" si="393"/>
        <v>0</v>
      </c>
      <c r="CQ99" s="721">
        <f t="shared" si="394"/>
        <v>0</v>
      </c>
      <c r="CR99" s="721">
        <f t="shared" si="395"/>
        <v>0</v>
      </c>
      <c r="CS99" s="966">
        <f t="shared" si="396"/>
        <v>0</v>
      </c>
      <c r="CT99" s="1255">
        <f t="shared" si="397"/>
        <v>0</v>
      </c>
      <c r="CU99" s="721">
        <f t="shared" si="398"/>
        <v>0</v>
      </c>
      <c r="CV99" s="721">
        <f t="shared" si="399"/>
        <v>0</v>
      </c>
      <c r="CW99" s="721">
        <f t="shared" si="400"/>
        <v>0</v>
      </c>
      <c r="CX99" s="966">
        <f t="shared" si="401"/>
        <v>0</v>
      </c>
      <c r="CZ99" s="697"/>
      <c r="DA99" s="769"/>
      <c r="DB99" s="697"/>
      <c r="DC99" s="697"/>
    </row>
    <row r="100" spans="1:113" s="47" customFormat="1" ht="10.5" customHeight="1">
      <c r="A100" s="699" t="s">
        <v>473</v>
      </c>
      <c r="B100" s="699"/>
      <c r="C100" s="715">
        <f>C46</f>
        <v>0</v>
      </c>
      <c r="D100" s="715">
        <f t="shared" si="402"/>
        <v>0</v>
      </c>
      <c r="E100" s="715">
        <f t="shared" si="402"/>
        <v>0</v>
      </c>
      <c r="F100" s="715">
        <f t="shared" si="402"/>
        <v>-397.57900000000001</v>
      </c>
      <c r="G100" s="705">
        <f t="shared" si="342"/>
        <v>-397.57900000000001</v>
      </c>
      <c r="H100" s="715">
        <f>H46</f>
        <v>21.989000000000004</v>
      </c>
      <c r="I100" s="715">
        <f t="shared" si="403"/>
        <v>-9.6950000000000003</v>
      </c>
      <c r="J100" s="715">
        <f t="shared" si="403"/>
        <v>-93.509999999999991</v>
      </c>
      <c r="K100" s="715">
        <f t="shared" si="403"/>
        <v>-130.166</v>
      </c>
      <c r="L100" s="705">
        <f t="shared" si="344"/>
        <v>-211.38199999999998</v>
      </c>
      <c r="M100" s="715">
        <f>M46</f>
        <v>-31.478000000000002</v>
      </c>
      <c r="N100" s="715">
        <f t="shared" si="404"/>
        <v>36.088000000000001</v>
      </c>
      <c r="O100" s="715">
        <f t="shared" si="404"/>
        <v>-8.0470000000000113</v>
      </c>
      <c r="P100" s="715">
        <f t="shared" si="404"/>
        <v>3.4370000000000118</v>
      </c>
      <c r="Q100" s="705">
        <f t="shared" si="346"/>
        <v>0</v>
      </c>
      <c r="R100" s="715">
        <f>R46</f>
        <v>-15.250999999999998</v>
      </c>
      <c r="S100" s="715">
        <f t="shared" si="405"/>
        <v>-65.019000000000005</v>
      </c>
      <c r="T100" s="715">
        <f t="shared" si="405"/>
        <v>-153.43599999999998</v>
      </c>
      <c r="U100" s="715">
        <f t="shared" si="405"/>
        <v>21.129999999999967</v>
      </c>
      <c r="V100" s="705">
        <f t="shared" si="348"/>
        <v>-212.57600000000002</v>
      </c>
      <c r="W100" s="715">
        <f>W46</f>
        <v>25.899000000000001</v>
      </c>
      <c r="X100" s="715">
        <f t="shared" si="406"/>
        <v>71.375999999999991</v>
      </c>
      <c r="Y100" s="715">
        <f t="shared" si="406"/>
        <v>52.297999999999988</v>
      </c>
      <c r="Z100" s="715">
        <f t="shared" si="406"/>
        <v>-393.125</v>
      </c>
      <c r="AA100" s="705">
        <f t="shared" si="350"/>
        <v>-243.55200000000002</v>
      </c>
      <c r="AB100" s="715">
        <f>AB46</f>
        <v>-270.10400000000004</v>
      </c>
      <c r="AC100" s="715">
        <f t="shared" si="407"/>
        <v>-497.86</v>
      </c>
      <c r="AD100" s="715">
        <f t="shared" si="407"/>
        <v>-35.29099999999994</v>
      </c>
      <c r="AE100" s="715">
        <f t="shared" si="407"/>
        <v>-51.650999999999954</v>
      </c>
      <c r="AF100" s="705">
        <f t="shared" si="352"/>
        <v>-854.90599999999995</v>
      </c>
      <c r="AG100" s="715">
        <f>AG46</f>
        <v>-207.435</v>
      </c>
      <c r="AH100" s="715">
        <f t="shared" si="408"/>
        <v>-162.21300000000002</v>
      </c>
      <c r="AI100" s="715">
        <f t="shared" si="408"/>
        <v>-727.22500000000002</v>
      </c>
      <c r="AJ100" s="715">
        <f t="shared" si="408"/>
        <v>-338.37799999999993</v>
      </c>
      <c r="AK100" s="705">
        <f t="shared" si="354"/>
        <v>-1435.251</v>
      </c>
      <c r="AL100" s="715">
        <f t="shared" si="355"/>
        <v>-1150.0219999999999</v>
      </c>
      <c r="AM100" s="715">
        <f t="shared" si="356"/>
        <v>-150.16100000000006</v>
      </c>
      <c r="AN100" s="715">
        <f t="shared" si="356"/>
        <v>-122.55199999999991</v>
      </c>
      <c r="AO100" s="715">
        <f t="shared" si="356"/>
        <v>-299.98</v>
      </c>
      <c r="AP100" s="705">
        <f t="shared" si="357"/>
        <v>-1722.7149999999999</v>
      </c>
      <c r="AQ100" s="715">
        <f t="shared" si="358"/>
        <v>-1.2999999999999999E-2</v>
      </c>
      <c r="AR100" s="715">
        <f t="shared" si="359"/>
        <v>0</v>
      </c>
      <c r="AS100" s="715">
        <f t="shared" si="359"/>
        <v>-350</v>
      </c>
      <c r="AT100" s="715">
        <v>0</v>
      </c>
      <c r="AU100" s="705">
        <f t="shared" si="360"/>
        <v>-350.01299999999998</v>
      </c>
      <c r="AV100" s="715">
        <f t="shared" si="361"/>
        <v>-0.02</v>
      </c>
      <c r="AW100" s="715">
        <f t="shared" si="362"/>
        <v>-250</v>
      </c>
      <c r="AX100" s="715">
        <f t="shared" si="362"/>
        <v>-400</v>
      </c>
      <c r="AY100" s="715">
        <f t="shared" si="362"/>
        <v>-190.37199999999996</v>
      </c>
      <c r="AZ100" s="705">
        <f t="shared" si="363"/>
        <v>-840.39199999999994</v>
      </c>
      <c r="BA100" s="715">
        <f t="shared" si="364"/>
        <v>-125</v>
      </c>
      <c r="BB100" s="1304">
        <f t="shared" si="365"/>
        <v>-420.01499999999999</v>
      </c>
      <c r="BC100" s="715">
        <f t="shared" si="365"/>
        <v>-150</v>
      </c>
      <c r="BD100" s="715">
        <f t="shared" si="365"/>
        <v>0</v>
      </c>
      <c r="BE100" s="705">
        <f t="shared" si="366"/>
        <v>-695.01499999999999</v>
      </c>
      <c r="BF100" s="715">
        <f t="shared" si="367"/>
        <v>-80</v>
      </c>
      <c r="BG100" s="1304">
        <f t="shared" si="368"/>
        <v>-149.12900000000002</v>
      </c>
      <c r="BH100" s="1372">
        <f t="shared" si="368"/>
        <v>60.948000000000008</v>
      </c>
      <c r="BI100" s="715">
        <f t="shared" si="368"/>
        <v>-100.00000000000003</v>
      </c>
      <c r="BJ100" s="705">
        <f t="shared" si="369"/>
        <v>-268.18100000000004</v>
      </c>
      <c r="BK100" s="715">
        <f t="shared" si="370"/>
        <v>-100</v>
      </c>
      <c r="BL100" s="1304">
        <f t="shared" si="371"/>
        <v>-200</v>
      </c>
      <c r="BM100" s="1372">
        <f t="shared" si="371"/>
        <v>-400</v>
      </c>
      <c r="BN100" s="753">
        <f t="shared" si="371"/>
        <v>-335.10799999999995</v>
      </c>
      <c r="BO100" s="705">
        <f t="shared" si="372"/>
        <v>-1035.1079999999999</v>
      </c>
      <c r="BP100" s="715">
        <f t="shared" si="373"/>
        <v>-200</v>
      </c>
      <c r="BQ100" s="1304">
        <f t="shared" si="374"/>
        <v>-150</v>
      </c>
      <c r="BR100" s="1372">
        <f t="shared" si="374"/>
        <v>-125</v>
      </c>
      <c r="BS100" s="1372">
        <f t="shared" si="374"/>
        <v>-125</v>
      </c>
      <c r="BT100" s="705">
        <f t="shared" si="375"/>
        <v>-600</v>
      </c>
      <c r="BU100" s="715">
        <f t="shared" si="376"/>
        <v>-200</v>
      </c>
      <c r="BV100" s="1304">
        <f t="shared" si="377"/>
        <v>-200</v>
      </c>
      <c r="BW100" s="1372">
        <f t="shared" si="378"/>
        <v>-100</v>
      </c>
      <c r="BX100" s="1372">
        <f t="shared" si="379"/>
        <v>-125</v>
      </c>
      <c r="BY100" s="705">
        <f t="shared" si="380"/>
        <v>-625</v>
      </c>
      <c r="BZ100" s="1372">
        <f t="shared" si="381"/>
        <v>-299.25099999999998</v>
      </c>
      <c r="CA100" s="1304">
        <f t="shared" si="382"/>
        <v>-231.29700000000003</v>
      </c>
      <c r="CB100" s="715">
        <f t="shared" si="383"/>
        <v>-328.87200000000007</v>
      </c>
      <c r="CC100" s="715">
        <f t="shared" si="383"/>
        <v>-306.2829999999999</v>
      </c>
      <c r="CD100" s="1380">
        <f t="shared" si="384"/>
        <v>-1165.703</v>
      </c>
      <c r="CE100" s="1372">
        <f t="shared" si="385"/>
        <v>-331.22699999999998</v>
      </c>
      <c r="CF100" s="1304">
        <f t="shared" si="386"/>
        <v>-313.78800000000001</v>
      </c>
      <c r="CG100" s="715">
        <f t="shared" si="387"/>
        <v>2.6970000000000027</v>
      </c>
      <c r="CH100" s="715">
        <f t="shared" si="387"/>
        <v>-299.33100000000002</v>
      </c>
      <c r="CI100" s="1380">
        <f t="shared" si="388"/>
        <v>-941.649</v>
      </c>
      <c r="CJ100" s="1372">
        <f t="shared" si="389"/>
        <v>-300</v>
      </c>
      <c r="CK100" s="715">
        <f t="shared" si="390"/>
        <v>-348.38778710176302</v>
      </c>
      <c r="CL100" s="715">
        <f t="shared" si="390"/>
        <v>-360.48245746843281</v>
      </c>
      <c r="CM100" s="715">
        <f t="shared" si="390"/>
        <v>-372.99708208532661</v>
      </c>
      <c r="CN100" s="1380">
        <f t="shared" si="391"/>
        <v>-1381.8673266555224</v>
      </c>
      <c r="CO100" s="1372">
        <f t="shared" si="392"/>
        <v>-385.94624525555463</v>
      </c>
      <c r="CP100" s="715">
        <f t="shared" si="393"/>
        <v>-399.34503785755766</v>
      </c>
      <c r="CQ100" s="715">
        <f t="shared" si="394"/>
        <v>-413.20907494364337</v>
      </c>
      <c r="CR100" s="715">
        <f t="shared" si="395"/>
        <v>-427.55451395000568</v>
      </c>
      <c r="CS100" s="1380">
        <f t="shared" si="396"/>
        <v>-1626.0548720067613</v>
      </c>
      <c r="CT100" s="1372">
        <f t="shared" si="397"/>
        <v>-442.39807353936556</v>
      </c>
      <c r="CU100" s="715">
        <f t="shared" si="398"/>
        <v>-457.75705309849798</v>
      </c>
      <c r="CV100" s="715">
        <f t="shared" si="399"/>
        <v>-473.64935291303868</v>
      </c>
      <c r="CW100" s="715">
        <f t="shared" si="400"/>
        <v>-490.09349504349939</v>
      </c>
      <c r="CX100" s="1380">
        <f t="shared" si="401"/>
        <v>-1863.8979745944016</v>
      </c>
      <c r="CY100"/>
      <c r="CZ100" s="697"/>
      <c r="DA100" s="769"/>
      <c r="DB100" s="697"/>
      <c r="DC100" s="697"/>
      <c r="DD100"/>
      <c r="DE100"/>
      <c r="DF100"/>
      <c r="DG100"/>
      <c r="DH100"/>
      <c r="DI100"/>
    </row>
    <row r="101" spans="1:113" ht="10.5" customHeight="1">
      <c r="A101" s="699" t="s">
        <v>561</v>
      </c>
      <c r="B101" s="699"/>
      <c r="C101" s="715">
        <f>C47</f>
        <v>0</v>
      </c>
      <c r="D101" s="715">
        <f t="shared" si="402"/>
        <v>0</v>
      </c>
      <c r="E101" s="715">
        <f t="shared" si="402"/>
        <v>0</v>
      </c>
      <c r="F101" s="715">
        <f t="shared" si="402"/>
        <v>0</v>
      </c>
      <c r="G101" s="705">
        <f t="shared" si="342"/>
        <v>0</v>
      </c>
      <c r="H101" s="715">
        <f>H47</f>
        <v>0</v>
      </c>
      <c r="I101" s="715">
        <f t="shared" si="403"/>
        <v>0</v>
      </c>
      <c r="J101" s="715">
        <f t="shared" si="403"/>
        <v>0</v>
      </c>
      <c r="K101" s="715">
        <f t="shared" si="403"/>
        <v>0</v>
      </c>
      <c r="L101" s="705">
        <f t="shared" si="344"/>
        <v>0</v>
      </c>
      <c r="M101" s="715">
        <f>M47</f>
        <v>0</v>
      </c>
      <c r="N101" s="715">
        <f t="shared" si="404"/>
        <v>0</v>
      </c>
      <c r="O101" s="715">
        <f t="shared" si="404"/>
        <v>0</v>
      </c>
      <c r="P101" s="715">
        <f t="shared" si="404"/>
        <v>0</v>
      </c>
      <c r="Q101" s="705">
        <f t="shared" si="346"/>
        <v>0</v>
      </c>
      <c r="R101" s="715">
        <f>R47</f>
        <v>0</v>
      </c>
      <c r="S101" s="715">
        <f t="shared" si="405"/>
        <v>0</v>
      </c>
      <c r="T101" s="715">
        <f t="shared" si="405"/>
        <v>0</v>
      </c>
      <c r="U101" s="715">
        <f t="shared" si="405"/>
        <v>0</v>
      </c>
      <c r="V101" s="705">
        <f t="shared" si="348"/>
        <v>0</v>
      </c>
      <c r="W101" s="715">
        <f>W47</f>
        <v>0</v>
      </c>
      <c r="X101" s="715">
        <f t="shared" si="406"/>
        <v>0</v>
      </c>
      <c r="Y101" s="715">
        <f t="shared" si="406"/>
        <v>0</v>
      </c>
      <c r="Z101" s="715">
        <f t="shared" si="406"/>
        <v>0</v>
      </c>
      <c r="AA101" s="705">
        <f t="shared" si="350"/>
        <v>0</v>
      </c>
      <c r="AB101" s="715">
        <f>AB47</f>
        <v>0</v>
      </c>
      <c r="AC101" s="715">
        <f t="shared" si="407"/>
        <v>0</v>
      </c>
      <c r="AD101" s="715">
        <f t="shared" si="407"/>
        <v>0</v>
      </c>
      <c r="AE101" s="715">
        <f t="shared" si="407"/>
        <v>0</v>
      </c>
      <c r="AF101" s="705">
        <f t="shared" si="352"/>
        <v>0</v>
      </c>
      <c r="AG101" s="715">
        <f>AG47</f>
        <v>0</v>
      </c>
      <c r="AH101" s="715">
        <f t="shared" si="408"/>
        <v>0</v>
      </c>
      <c r="AI101" s="715">
        <f t="shared" si="408"/>
        <v>0</v>
      </c>
      <c r="AJ101" s="715">
        <f t="shared" si="408"/>
        <v>0</v>
      </c>
      <c r="AK101" s="705">
        <f t="shared" si="354"/>
        <v>0</v>
      </c>
      <c r="AL101" s="715">
        <f t="shared" si="355"/>
        <v>0</v>
      </c>
      <c r="AM101" s="715">
        <f t="shared" si="356"/>
        <v>0</v>
      </c>
      <c r="AN101" s="715">
        <f t="shared" si="356"/>
        <v>0</v>
      </c>
      <c r="AO101" s="715">
        <f t="shared" si="356"/>
        <v>0</v>
      </c>
      <c r="AP101" s="705">
        <f t="shared" si="357"/>
        <v>0</v>
      </c>
      <c r="AQ101" s="715">
        <f t="shared" si="358"/>
        <v>0</v>
      </c>
      <c r="AR101" s="715">
        <f t="shared" si="359"/>
        <v>0</v>
      </c>
      <c r="AS101" s="715">
        <f t="shared" si="359"/>
        <v>0</v>
      </c>
      <c r="AT101" s="715">
        <v>0</v>
      </c>
      <c r="AU101" s="705">
        <f t="shared" si="360"/>
        <v>0</v>
      </c>
      <c r="AV101" s="715">
        <f t="shared" si="361"/>
        <v>0</v>
      </c>
      <c r="AW101" s="715">
        <f t="shared" si="362"/>
        <v>0</v>
      </c>
      <c r="AX101" s="715">
        <f t="shared" si="362"/>
        <v>0</v>
      </c>
      <c r="AY101" s="715">
        <f t="shared" si="362"/>
        <v>0</v>
      </c>
      <c r="AZ101" s="705">
        <f t="shared" si="363"/>
        <v>0</v>
      </c>
      <c r="BA101" s="715">
        <f t="shared" si="364"/>
        <v>0</v>
      </c>
      <c r="BB101" s="1304">
        <f t="shared" si="365"/>
        <v>0</v>
      </c>
      <c r="BC101" s="715">
        <f t="shared" si="365"/>
        <v>0</v>
      </c>
      <c r="BD101" s="715">
        <f t="shared" si="365"/>
        <v>0</v>
      </c>
      <c r="BE101" s="705">
        <f t="shared" si="366"/>
        <v>0</v>
      </c>
      <c r="BF101" s="715">
        <f t="shared" si="367"/>
        <v>0</v>
      </c>
      <c r="BG101" s="1304">
        <f t="shared" si="368"/>
        <v>0</v>
      </c>
      <c r="BH101" s="1372">
        <f t="shared" si="368"/>
        <v>0</v>
      </c>
      <c r="BI101" s="715">
        <f t="shared" si="368"/>
        <v>0</v>
      </c>
      <c r="BJ101" s="705">
        <f t="shared" si="369"/>
        <v>0</v>
      </c>
      <c r="BK101" s="715">
        <f t="shared" si="370"/>
        <v>0</v>
      </c>
      <c r="BL101" s="1304">
        <f t="shared" si="371"/>
        <v>0</v>
      </c>
      <c r="BM101" s="1372">
        <f t="shared" si="371"/>
        <v>0</v>
      </c>
      <c r="BN101" s="753">
        <f t="shared" si="371"/>
        <v>0</v>
      </c>
      <c r="BO101" s="705">
        <f t="shared" si="372"/>
        <v>0</v>
      </c>
      <c r="BP101" s="715">
        <f t="shared" si="373"/>
        <v>0</v>
      </c>
      <c r="BQ101" s="1304">
        <f t="shared" si="374"/>
        <v>0</v>
      </c>
      <c r="BR101" s="1372">
        <f t="shared" si="374"/>
        <v>0</v>
      </c>
      <c r="BS101" s="1372">
        <f t="shared" si="374"/>
        <v>0</v>
      </c>
      <c r="BT101" s="705">
        <f t="shared" si="375"/>
        <v>0</v>
      </c>
      <c r="BU101" s="715">
        <f t="shared" si="376"/>
        <v>0</v>
      </c>
      <c r="BV101" s="1304">
        <f t="shared" si="377"/>
        <v>0</v>
      </c>
      <c r="BW101" s="1372">
        <f t="shared" si="378"/>
        <v>0</v>
      </c>
      <c r="BX101" s="1372">
        <f t="shared" si="379"/>
        <v>-8.8279999999999994</v>
      </c>
      <c r="BY101" s="705">
        <f t="shared" si="380"/>
        <v>-8.8279999999999994</v>
      </c>
      <c r="BZ101" s="1372">
        <f t="shared" si="381"/>
        <v>0</v>
      </c>
      <c r="CA101" s="1304">
        <f t="shared" si="382"/>
        <v>0</v>
      </c>
      <c r="CB101" s="715">
        <f t="shared" si="383"/>
        <v>0</v>
      </c>
      <c r="CC101" s="715">
        <f t="shared" si="383"/>
        <v>0</v>
      </c>
      <c r="CD101" s="1380">
        <f t="shared" si="384"/>
        <v>0</v>
      </c>
      <c r="CE101" s="1372">
        <f t="shared" si="385"/>
        <v>0</v>
      </c>
      <c r="CF101" s="1304">
        <f t="shared" si="386"/>
        <v>0</v>
      </c>
      <c r="CG101" s="715">
        <f t="shared" si="387"/>
        <v>0</v>
      </c>
      <c r="CH101" s="715">
        <f t="shared" si="387"/>
        <v>0</v>
      </c>
      <c r="CI101" s="1380">
        <f t="shared" si="388"/>
        <v>0</v>
      </c>
      <c r="CJ101" s="1255">
        <f t="shared" si="389"/>
        <v>0</v>
      </c>
      <c r="CK101" s="721">
        <f t="shared" si="390"/>
        <v>0</v>
      </c>
      <c r="CL101" s="721">
        <f t="shared" si="390"/>
        <v>0</v>
      </c>
      <c r="CM101" s="721">
        <f t="shared" si="390"/>
        <v>0</v>
      </c>
      <c r="CN101" s="966">
        <f t="shared" si="391"/>
        <v>0</v>
      </c>
      <c r="CO101" s="1255">
        <f t="shared" si="392"/>
        <v>0</v>
      </c>
      <c r="CP101" s="721">
        <f t="shared" si="393"/>
        <v>0</v>
      </c>
      <c r="CQ101" s="721">
        <f t="shared" si="394"/>
        <v>0</v>
      </c>
      <c r="CR101" s="721">
        <f t="shared" si="395"/>
        <v>0</v>
      </c>
      <c r="CS101" s="966">
        <f t="shared" si="396"/>
        <v>0</v>
      </c>
      <c r="CT101" s="1255">
        <f t="shared" si="397"/>
        <v>0</v>
      </c>
      <c r="CU101" s="721">
        <f t="shared" si="398"/>
        <v>0</v>
      </c>
      <c r="CV101" s="721">
        <f t="shared" si="399"/>
        <v>0</v>
      </c>
      <c r="CW101" s="721">
        <f t="shared" si="400"/>
        <v>0</v>
      </c>
      <c r="CX101" s="966">
        <f t="shared" si="401"/>
        <v>0</v>
      </c>
      <c r="CZ101" s="697"/>
      <c r="DA101" s="769"/>
      <c r="DB101" s="697"/>
      <c r="DC101" s="697"/>
    </row>
    <row r="102" spans="1:113" ht="10.5" customHeight="1">
      <c r="A102" s="699" t="s">
        <v>767</v>
      </c>
      <c r="B102" s="699"/>
      <c r="C102" s="715">
        <f>C48</f>
        <v>0</v>
      </c>
      <c r="D102" s="715">
        <f t="shared" si="402"/>
        <v>0</v>
      </c>
      <c r="E102" s="715">
        <f t="shared" si="402"/>
        <v>0</v>
      </c>
      <c r="F102" s="715">
        <f t="shared" si="402"/>
        <v>-12.007</v>
      </c>
      <c r="G102" s="705">
        <f t="shared" si="342"/>
        <v>-12.007</v>
      </c>
      <c r="H102" s="715">
        <f>H48</f>
        <v>-2.9609999999999999</v>
      </c>
      <c r="I102" s="715">
        <f t="shared" si="403"/>
        <v>-2.972</v>
      </c>
      <c r="J102" s="715">
        <f t="shared" si="403"/>
        <v>-2.9939999999999998</v>
      </c>
      <c r="K102" s="715">
        <f t="shared" si="403"/>
        <v>-2.9540000000000006</v>
      </c>
      <c r="L102" s="705">
        <f t="shared" si="344"/>
        <v>-11.881</v>
      </c>
      <c r="M102" s="715">
        <f>M48</f>
        <v>-2.887</v>
      </c>
      <c r="N102" s="715">
        <f t="shared" si="404"/>
        <v>-2.8980000000000001</v>
      </c>
      <c r="O102" s="715">
        <f t="shared" si="404"/>
        <v>-2.9160000000000004</v>
      </c>
      <c r="P102" s="715">
        <f t="shared" si="404"/>
        <v>-2.9249999999999989</v>
      </c>
      <c r="Q102" s="705">
        <f t="shared" si="346"/>
        <v>-11.625999999999999</v>
      </c>
      <c r="R102" s="715">
        <f>R48</f>
        <v>-2.9860000000000002</v>
      </c>
      <c r="S102" s="715">
        <f t="shared" si="405"/>
        <v>-2.9830000000000001</v>
      </c>
      <c r="T102" s="715">
        <f t="shared" si="405"/>
        <v>-2.9910000000000005</v>
      </c>
      <c r="U102" s="715">
        <f t="shared" si="405"/>
        <v>-2.9819999999999993</v>
      </c>
      <c r="V102" s="705">
        <f t="shared" si="348"/>
        <v>-11.942</v>
      </c>
      <c r="W102" s="715">
        <f>W48</f>
        <v>-3.032</v>
      </c>
      <c r="X102" s="715">
        <f t="shared" si="406"/>
        <v>-1.2000000000000011E-2</v>
      </c>
      <c r="Y102" s="715">
        <f t="shared" si="406"/>
        <v>0</v>
      </c>
      <c r="Z102" s="715">
        <f t="shared" si="406"/>
        <v>0</v>
      </c>
      <c r="AA102" s="705">
        <f t="shared" si="350"/>
        <v>-3.044</v>
      </c>
      <c r="AB102" s="715">
        <f>AB48</f>
        <v>0</v>
      </c>
      <c r="AC102" s="715">
        <f t="shared" si="407"/>
        <v>0</v>
      </c>
      <c r="AD102" s="715">
        <f t="shared" si="407"/>
        <v>0</v>
      </c>
      <c r="AE102" s="715">
        <f t="shared" si="407"/>
        <v>0</v>
      </c>
      <c r="AF102" s="705">
        <f t="shared" si="352"/>
        <v>0</v>
      </c>
      <c r="AG102" s="715">
        <f>AG48</f>
        <v>0</v>
      </c>
      <c r="AH102" s="715">
        <f t="shared" si="408"/>
        <v>0</v>
      </c>
      <c r="AI102" s="715">
        <f t="shared" si="408"/>
        <v>0</v>
      </c>
      <c r="AJ102" s="715">
        <f t="shared" si="408"/>
        <v>0</v>
      </c>
      <c r="AK102" s="705">
        <f t="shared" si="354"/>
        <v>0</v>
      </c>
      <c r="AL102" s="715">
        <f t="shared" si="355"/>
        <v>0</v>
      </c>
      <c r="AM102" s="715">
        <f t="shared" si="356"/>
        <v>0</v>
      </c>
      <c r="AN102" s="715">
        <f t="shared" si="356"/>
        <v>0</v>
      </c>
      <c r="AO102" s="715">
        <f t="shared" si="356"/>
        <v>0</v>
      </c>
      <c r="AP102" s="705">
        <f t="shared" si="357"/>
        <v>0</v>
      </c>
      <c r="AQ102" s="715">
        <f t="shared" si="358"/>
        <v>0</v>
      </c>
      <c r="AR102" s="715">
        <f t="shared" si="359"/>
        <v>0</v>
      </c>
      <c r="AS102" s="715">
        <f t="shared" si="359"/>
        <v>0</v>
      </c>
      <c r="AT102" s="715">
        <v>-13.875</v>
      </c>
      <c r="AU102" s="705">
        <f t="shared" si="360"/>
        <v>-13.875</v>
      </c>
      <c r="AV102" s="715">
        <f t="shared" si="361"/>
        <v>-10.141999999999999</v>
      </c>
      <c r="AW102" s="715">
        <f t="shared" si="362"/>
        <v>-0.51999999999999957</v>
      </c>
      <c r="AX102" s="715">
        <f t="shared" si="362"/>
        <v>0</v>
      </c>
      <c r="AY102" s="715">
        <f t="shared" si="362"/>
        <v>0</v>
      </c>
      <c r="AZ102" s="705">
        <f t="shared" si="363"/>
        <v>-10.661999999999999</v>
      </c>
      <c r="BA102" s="715">
        <f t="shared" si="364"/>
        <v>0</v>
      </c>
      <c r="BB102" s="1307">
        <f t="shared" si="365"/>
        <v>8.7780000000000005</v>
      </c>
      <c r="BC102" s="715">
        <f t="shared" si="365"/>
        <v>0</v>
      </c>
      <c r="BD102" s="715">
        <f t="shared" si="365"/>
        <v>0</v>
      </c>
      <c r="BE102" s="705">
        <f t="shared" si="366"/>
        <v>8.7780000000000005</v>
      </c>
      <c r="BF102" s="715">
        <f t="shared" si="367"/>
        <v>-4.5609999999999999</v>
      </c>
      <c r="BG102" s="1307">
        <f t="shared" si="368"/>
        <v>-2.29</v>
      </c>
      <c r="BH102" s="1372">
        <f t="shared" si="368"/>
        <v>0</v>
      </c>
      <c r="BI102" s="715">
        <f t="shared" si="368"/>
        <v>0</v>
      </c>
      <c r="BJ102" s="705">
        <f t="shared" si="369"/>
        <v>-6.851</v>
      </c>
      <c r="BK102" s="715">
        <f t="shared" si="370"/>
        <v>0</v>
      </c>
      <c r="BL102" s="1307">
        <f t="shared" si="371"/>
        <v>-7.2969999999999997</v>
      </c>
      <c r="BM102" s="715">
        <f t="shared" si="371"/>
        <v>0</v>
      </c>
      <c r="BN102" s="753">
        <f t="shared" si="371"/>
        <v>0</v>
      </c>
      <c r="BO102" s="705">
        <f t="shared" si="372"/>
        <v>-7.2969999999999997</v>
      </c>
      <c r="BP102" s="715">
        <f t="shared" si="373"/>
        <v>0</v>
      </c>
      <c r="BQ102" s="1307">
        <f t="shared" si="374"/>
        <v>-3.6259999999999999</v>
      </c>
      <c r="BR102" s="715">
        <f t="shared" si="374"/>
        <v>-3.3719999999999994</v>
      </c>
      <c r="BS102" s="715">
        <f t="shared" si="374"/>
        <v>-3.2530000000000001</v>
      </c>
      <c r="BT102" s="705">
        <f t="shared" si="375"/>
        <v>-10.250999999999999</v>
      </c>
      <c r="BU102" s="715">
        <f t="shared" si="376"/>
        <v>0</v>
      </c>
      <c r="BV102" s="1307">
        <f t="shared" si="377"/>
        <v>0</v>
      </c>
      <c r="BW102" s="715">
        <f t="shared" si="378"/>
        <v>0</v>
      </c>
      <c r="BX102" s="715">
        <f t="shared" si="379"/>
        <v>0</v>
      </c>
      <c r="BY102" s="705">
        <f t="shared" si="380"/>
        <v>0</v>
      </c>
      <c r="BZ102" s="715">
        <f t="shared" si="381"/>
        <v>0</v>
      </c>
      <c r="CA102" s="1307">
        <f t="shared" si="382"/>
        <v>-2.1000000000000001E-2</v>
      </c>
      <c r="CB102" s="715">
        <f t="shared" si="383"/>
        <v>-6.4999999999999988E-2</v>
      </c>
      <c r="CC102" s="715">
        <f t="shared" si="383"/>
        <v>-2.1999999999999992E-2</v>
      </c>
      <c r="CD102" s="1380">
        <f t="shared" si="384"/>
        <v>-0.10799999999999998</v>
      </c>
      <c r="CE102" s="715">
        <f t="shared" si="385"/>
        <v>-0.26800000000000002</v>
      </c>
      <c r="CF102" s="1307">
        <f t="shared" si="386"/>
        <v>-0.64400000000000002</v>
      </c>
      <c r="CG102" s="715">
        <f t="shared" si="387"/>
        <v>-0.41600000000000004</v>
      </c>
      <c r="CH102" s="715">
        <f t="shared" si="387"/>
        <v>-0.6319999999999999</v>
      </c>
      <c r="CI102" s="1380">
        <f t="shared" si="388"/>
        <v>-1.96</v>
      </c>
      <c r="CJ102" s="721">
        <f t="shared" si="389"/>
        <v>-0.30399999999999999</v>
      </c>
      <c r="CK102" s="721">
        <f t="shared" si="390"/>
        <v>-2.0539125955565396E-15</v>
      </c>
      <c r="CL102" s="721">
        <f t="shared" si="390"/>
        <v>0</v>
      </c>
      <c r="CM102" s="721">
        <f t="shared" si="390"/>
        <v>0</v>
      </c>
      <c r="CN102" s="966">
        <f t="shared" si="391"/>
        <v>-0.30400000000000205</v>
      </c>
      <c r="CO102" s="721">
        <f t="shared" si="392"/>
        <v>0</v>
      </c>
      <c r="CP102" s="721">
        <f t="shared" si="393"/>
        <v>0</v>
      </c>
      <c r="CQ102" s="721">
        <f t="shared" si="394"/>
        <v>0</v>
      </c>
      <c r="CR102" s="721">
        <f t="shared" si="395"/>
        <v>0</v>
      </c>
      <c r="CS102" s="966">
        <f t="shared" si="396"/>
        <v>0</v>
      </c>
      <c r="CT102" s="721">
        <f t="shared" si="397"/>
        <v>0</v>
      </c>
      <c r="CU102" s="721">
        <f t="shared" si="398"/>
        <v>0</v>
      </c>
      <c r="CV102" s="721">
        <f t="shared" si="399"/>
        <v>0</v>
      </c>
      <c r="CW102" s="721">
        <f t="shared" si="400"/>
        <v>0</v>
      </c>
      <c r="CX102" s="966">
        <f t="shared" si="401"/>
        <v>0</v>
      </c>
      <c r="CZ102" s="697"/>
      <c r="DA102" s="769"/>
      <c r="DB102" s="697"/>
      <c r="DC102" s="697"/>
    </row>
    <row r="103" spans="1:113" ht="10.5" customHeight="1">
      <c r="A103" s="706" t="s">
        <v>747</v>
      </c>
      <c r="B103" s="706"/>
      <c r="C103" s="707">
        <f t="shared" ref="C103:AH103" si="409">SUM(C96:C102)</f>
        <v>0</v>
      </c>
      <c r="D103" s="707">
        <f t="shared" si="409"/>
        <v>0</v>
      </c>
      <c r="E103" s="707">
        <f t="shared" si="409"/>
        <v>0</v>
      </c>
      <c r="F103" s="707">
        <f t="shared" si="409"/>
        <v>-409.58600000000001</v>
      </c>
      <c r="G103" s="708">
        <f t="shared" si="409"/>
        <v>-409.58600000000001</v>
      </c>
      <c r="H103" s="707">
        <f t="shared" si="409"/>
        <v>19.028000000000006</v>
      </c>
      <c r="I103" s="707">
        <f t="shared" si="409"/>
        <v>-12.667</v>
      </c>
      <c r="J103" s="707">
        <f t="shared" si="409"/>
        <v>-96.503999999999991</v>
      </c>
      <c r="K103" s="707">
        <f t="shared" si="409"/>
        <v>-133.12</v>
      </c>
      <c r="L103" s="708">
        <f t="shared" si="409"/>
        <v>-223.26299999999998</v>
      </c>
      <c r="M103" s="707">
        <f t="shared" si="409"/>
        <v>-34.365000000000002</v>
      </c>
      <c r="N103" s="707">
        <f t="shared" si="409"/>
        <v>33.19</v>
      </c>
      <c r="O103" s="707">
        <f t="shared" si="409"/>
        <v>-10.963000000000012</v>
      </c>
      <c r="P103" s="707">
        <f t="shared" si="409"/>
        <v>129.15600000000001</v>
      </c>
      <c r="Q103" s="708">
        <f t="shared" si="409"/>
        <v>117.018</v>
      </c>
      <c r="R103" s="707">
        <f t="shared" si="409"/>
        <v>-18.236999999999998</v>
      </c>
      <c r="S103" s="707">
        <f t="shared" si="409"/>
        <v>-68.00200000000001</v>
      </c>
      <c r="T103" s="707">
        <f t="shared" si="409"/>
        <v>-156.42699999999999</v>
      </c>
      <c r="U103" s="707">
        <f t="shared" si="409"/>
        <v>18.147999999999968</v>
      </c>
      <c r="V103" s="708">
        <f t="shared" si="409"/>
        <v>-224.51800000000003</v>
      </c>
      <c r="W103" s="707">
        <f t="shared" si="409"/>
        <v>22.867000000000001</v>
      </c>
      <c r="X103" s="707">
        <f t="shared" si="409"/>
        <v>71.36399999999999</v>
      </c>
      <c r="Y103" s="707">
        <f t="shared" si="409"/>
        <v>52.297999999999988</v>
      </c>
      <c r="Z103" s="707">
        <f t="shared" si="409"/>
        <v>-393.125</v>
      </c>
      <c r="AA103" s="708">
        <f t="shared" si="409"/>
        <v>-246.59600000000003</v>
      </c>
      <c r="AB103" s="707">
        <f t="shared" si="409"/>
        <v>-246.37800000000004</v>
      </c>
      <c r="AC103" s="707">
        <f t="shared" si="409"/>
        <v>-475.12800000000004</v>
      </c>
      <c r="AD103" s="707">
        <f t="shared" si="409"/>
        <v>0.1440000000000623</v>
      </c>
      <c r="AE103" s="707">
        <f t="shared" si="409"/>
        <v>9.8800000000000381</v>
      </c>
      <c r="AF103" s="708">
        <f t="shared" si="409"/>
        <v>-711.48199999999997</v>
      </c>
      <c r="AG103" s="707">
        <f t="shared" si="409"/>
        <v>-205.87899999999999</v>
      </c>
      <c r="AH103" s="707">
        <f t="shared" si="409"/>
        <v>-126.34700000000002</v>
      </c>
      <c r="AI103" s="707">
        <f t="shared" ref="AI103:BN103" si="410">SUM(AI96:AI102)</f>
        <v>-710.25099999999998</v>
      </c>
      <c r="AJ103" s="707">
        <f t="shared" si="410"/>
        <v>-307.72399999999993</v>
      </c>
      <c r="AK103" s="708">
        <f t="shared" si="410"/>
        <v>-1350.201</v>
      </c>
      <c r="AL103" s="707">
        <f t="shared" si="410"/>
        <v>-646.51199999999994</v>
      </c>
      <c r="AM103" s="707">
        <f t="shared" si="410"/>
        <v>-131.87500000000006</v>
      </c>
      <c r="AN103" s="707">
        <f t="shared" si="410"/>
        <v>30.741000000000042</v>
      </c>
      <c r="AO103" s="707">
        <f t="shared" si="410"/>
        <v>-273.92099999999994</v>
      </c>
      <c r="AP103" s="708">
        <f t="shared" si="410"/>
        <v>-1021.567</v>
      </c>
      <c r="AQ103" s="707">
        <f t="shared" si="410"/>
        <v>28.674999999999997</v>
      </c>
      <c r="AR103" s="707">
        <f t="shared" si="410"/>
        <v>20.215000000000003</v>
      </c>
      <c r="AS103" s="707">
        <f t="shared" si="410"/>
        <v>-276.60000000000002</v>
      </c>
      <c r="AT103" s="707">
        <f t="shared" si="410"/>
        <v>705.36799999999994</v>
      </c>
      <c r="AU103" s="708">
        <f t="shared" si="410"/>
        <v>477.65800000000007</v>
      </c>
      <c r="AV103" s="707">
        <f t="shared" si="410"/>
        <v>540.15899999999999</v>
      </c>
      <c r="AW103" s="707">
        <f t="shared" si="410"/>
        <v>-214.857</v>
      </c>
      <c r="AX103" s="707">
        <f t="shared" si="410"/>
        <v>-354.29200000000003</v>
      </c>
      <c r="AY103" s="707">
        <f t="shared" si="410"/>
        <v>-186.26199999999994</v>
      </c>
      <c r="AZ103" s="708">
        <f t="shared" si="410"/>
        <v>-215.25199999999992</v>
      </c>
      <c r="BA103" s="707">
        <f t="shared" si="410"/>
        <v>-86.518000000000001</v>
      </c>
      <c r="BB103" s="1011">
        <f t="shared" si="410"/>
        <v>-365.96</v>
      </c>
      <c r="BC103" s="707">
        <f t="shared" si="410"/>
        <v>-97.680999999999997</v>
      </c>
      <c r="BD103" s="707">
        <f t="shared" si="410"/>
        <v>-0.19899999999999785</v>
      </c>
      <c r="BE103" s="708">
        <f t="shared" si="410"/>
        <v>-550.35799999999995</v>
      </c>
      <c r="BF103" s="707">
        <f t="shared" si="410"/>
        <v>-68.525000000000006</v>
      </c>
      <c r="BG103" s="1011">
        <f t="shared" si="410"/>
        <v>-148.73500000000001</v>
      </c>
      <c r="BH103" s="1373">
        <f t="shared" si="410"/>
        <v>62.95600000000001</v>
      </c>
      <c r="BI103" s="707">
        <f t="shared" si="410"/>
        <v>-80.419000000000025</v>
      </c>
      <c r="BJ103" s="708">
        <f t="shared" si="410"/>
        <v>-234.72300000000004</v>
      </c>
      <c r="BK103" s="707">
        <f t="shared" si="410"/>
        <v>11.405000000000001</v>
      </c>
      <c r="BL103" s="1011">
        <f t="shared" si="410"/>
        <v>-22.641999999999999</v>
      </c>
      <c r="BM103" s="707">
        <f t="shared" si="410"/>
        <v>-247.37099999999998</v>
      </c>
      <c r="BN103" s="707">
        <f t="shared" si="410"/>
        <v>-300.52999999999997</v>
      </c>
      <c r="BO103" s="708">
        <f t="shared" ref="BO103:CN103" si="411">SUM(BO96:BO102)</f>
        <v>-559.13799999999992</v>
      </c>
      <c r="BP103" s="707">
        <f t="shared" si="411"/>
        <v>-258.209</v>
      </c>
      <c r="BQ103" s="1011">
        <f t="shared" si="411"/>
        <v>-135.92699999999999</v>
      </c>
      <c r="BR103" s="707">
        <f t="shared" si="411"/>
        <v>-9.7939999999999969</v>
      </c>
      <c r="BS103" s="707">
        <f t="shared" si="411"/>
        <v>-103.35300000000001</v>
      </c>
      <c r="BT103" s="708">
        <f t="shared" si="411"/>
        <v>-507.28300000000002</v>
      </c>
      <c r="BU103" s="707">
        <f t="shared" si="411"/>
        <v>119.27499999999998</v>
      </c>
      <c r="BV103" s="1011">
        <f>SUM(BV96:BV102)</f>
        <v>-186.10199999999998</v>
      </c>
      <c r="BW103" s="707">
        <f>SUM(BW96:BW102)</f>
        <v>-18.710000000000008</v>
      </c>
      <c r="BX103" s="707">
        <f t="shared" si="411"/>
        <v>-115.15</v>
      </c>
      <c r="BY103" s="708">
        <f t="shared" si="411"/>
        <v>-200.68699999999993</v>
      </c>
      <c r="BZ103" s="707">
        <f t="shared" si="411"/>
        <v>-284.392</v>
      </c>
      <c r="CA103" s="1011">
        <f>SUM(CA96:CA102)</f>
        <v>-180.88800000000001</v>
      </c>
      <c r="CB103" s="707">
        <f t="shared" si="411"/>
        <v>-324.95700000000005</v>
      </c>
      <c r="CC103" s="707">
        <f t="shared" si="411"/>
        <v>-300.46899999999988</v>
      </c>
      <c r="CD103" s="1381">
        <f t="shared" si="411"/>
        <v>-1090.7059999999999</v>
      </c>
      <c r="CE103" s="707">
        <f t="shared" si="411"/>
        <v>-331.49499999999995</v>
      </c>
      <c r="CF103" s="1011">
        <f>SUM(CF96:CF102)</f>
        <v>-314.43200000000002</v>
      </c>
      <c r="CG103" s="707">
        <f t="shared" si="411"/>
        <v>-218.29900000000001</v>
      </c>
      <c r="CH103" s="707">
        <f t="shared" si="411"/>
        <v>-319.50900000000001</v>
      </c>
      <c r="CI103" s="1381">
        <f t="shared" si="411"/>
        <v>-1183.7350000000001</v>
      </c>
      <c r="CJ103" s="709">
        <f t="shared" si="411"/>
        <v>-541.27300000000002</v>
      </c>
      <c r="CK103" s="709">
        <f t="shared" si="411"/>
        <v>-30.612787101763221</v>
      </c>
      <c r="CL103" s="709">
        <f t="shared" si="411"/>
        <v>-310.48245746843281</v>
      </c>
      <c r="CM103" s="709">
        <f t="shared" si="411"/>
        <v>-322.99708208532661</v>
      </c>
      <c r="CN103" s="967">
        <f t="shared" si="411"/>
        <v>-1205.3653266555227</v>
      </c>
      <c r="CO103" s="709">
        <f t="shared" ref="CO103:CX103" si="412">SUM(CO96:CO102)</f>
        <v>-335.94624525555463</v>
      </c>
      <c r="CP103" s="709">
        <f t="shared" si="412"/>
        <v>-349.34503785755766</v>
      </c>
      <c r="CQ103" s="709">
        <f t="shared" si="412"/>
        <v>-363.20907494364337</v>
      </c>
      <c r="CR103" s="709">
        <f t="shared" si="412"/>
        <v>-377.55451395000568</v>
      </c>
      <c r="CS103" s="967">
        <f t="shared" si="412"/>
        <v>-1426.0548720067613</v>
      </c>
      <c r="CT103" s="709">
        <f t="shared" si="412"/>
        <v>-392.39807353936556</v>
      </c>
      <c r="CU103" s="709">
        <f t="shared" si="412"/>
        <v>-407.75705309849798</v>
      </c>
      <c r="CV103" s="709">
        <f t="shared" si="412"/>
        <v>-423.64935291303868</v>
      </c>
      <c r="CW103" s="709">
        <f t="shared" si="412"/>
        <v>-440.09349504349939</v>
      </c>
      <c r="CX103" s="967">
        <f t="shared" si="412"/>
        <v>-1663.8979745944016</v>
      </c>
      <c r="CZ103" s="686"/>
      <c r="DA103" s="769"/>
      <c r="DB103" s="686"/>
      <c r="DC103" s="686"/>
    </row>
    <row r="104" spans="1:113" ht="10.5" customHeight="1">
      <c r="A104" s="699" t="s">
        <v>151</v>
      </c>
      <c r="B104" s="699"/>
      <c r="C104" s="715">
        <f>C50</f>
        <v>2.3E-2</v>
      </c>
      <c r="D104" s="715">
        <f>IF(D50="-","-",SUM(D50)-SUM(C50))</f>
        <v>-1.1359999999999999</v>
      </c>
      <c r="E104" s="715">
        <f>IF(E50="-","-",SUM(E50)-SUM(D50))</f>
        <v>0.77800000000000002</v>
      </c>
      <c r="F104" s="715">
        <f>IF(F50="-","-",SUM(F50)-SUM(E50))</f>
        <v>-0.56000000000000005</v>
      </c>
      <c r="G104" s="705">
        <f>SUM(C104:F104)</f>
        <v>-0.89500000000000002</v>
      </c>
      <c r="H104" s="715">
        <f>H50</f>
        <v>-0.56899999999999995</v>
      </c>
      <c r="I104" s="715">
        <f>IF(I50="-","-",SUM(I50)-SUM(H50))</f>
        <v>1.0389999999999999</v>
      </c>
      <c r="J104" s="715">
        <f>IF(J50="-","-",SUM(J50)-SUM(I50))</f>
        <v>0.65000000000000013</v>
      </c>
      <c r="K104" s="715">
        <f>IF(K50="-","-",SUM(K50)-SUM(J50))</f>
        <v>9.6999999999999975E-2</v>
      </c>
      <c r="L104" s="705">
        <f>SUM(H104:K104)</f>
        <v>1.2170000000000001</v>
      </c>
      <c r="M104" s="715">
        <f>M50</f>
        <v>1.569</v>
      </c>
      <c r="N104" s="715">
        <f>IF(N50="-","-",SUM(N50)-SUM(M50))</f>
        <v>1.3130000000000002</v>
      </c>
      <c r="O104" s="715">
        <f>IF(O50="-","-",SUM(O50)-SUM(N50))</f>
        <v>-0.68400000000000016</v>
      </c>
      <c r="P104" s="715">
        <f>IF(P50="-","-",SUM(P50)-SUM(O50))</f>
        <v>2.2730000000000001</v>
      </c>
      <c r="Q104" s="705">
        <f>SUM(M104:P104)</f>
        <v>4.4710000000000001</v>
      </c>
      <c r="R104" s="715">
        <f>R50</f>
        <v>0.33200000000000002</v>
      </c>
      <c r="S104" s="715">
        <f>IF(S50="-","-",SUM(S50)-SUM(R50))</f>
        <v>-0.48499999999999999</v>
      </c>
      <c r="T104" s="715">
        <f>IF(T50="-","-",SUM(T50)-SUM(S50))</f>
        <v>-1.3000000000000012E-2</v>
      </c>
      <c r="U104" s="715">
        <f>IF(U50="-","-",SUM(U50)-SUM(T50))</f>
        <v>3.7319999999999998</v>
      </c>
      <c r="V104" s="705">
        <f>SUM(R104:U104)</f>
        <v>3.5659999999999998</v>
      </c>
      <c r="W104" s="715">
        <f>W50</f>
        <v>-1.165</v>
      </c>
      <c r="X104" s="715">
        <f>IF(X50="-","-",SUM(X50)-SUM(W50))</f>
        <v>-2.085</v>
      </c>
      <c r="Y104" s="715">
        <f>IF(Y50="-","-",SUM(Y50)-SUM(X50))</f>
        <v>1.9730000000000001</v>
      </c>
      <c r="Z104" s="715">
        <f>IF(Z50="-","-",SUM(Z50)-SUM(Y50))</f>
        <v>-0.67600000000000016</v>
      </c>
      <c r="AA104" s="705">
        <f>SUM(W104:Z104)</f>
        <v>-1.9530000000000001</v>
      </c>
      <c r="AB104" s="715">
        <f>AB50</f>
        <v>0.96299999999999997</v>
      </c>
      <c r="AC104" s="715">
        <f>IF(AC50="-","-",SUM(AC50)-SUM(AB50))</f>
        <v>2.512</v>
      </c>
      <c r="AD104" s="715">
        <f>IF(AD50="-","-",SUM(AD50)-SUM(AC50))</f>
        <v>2.0000000000000018E-2</v>
      </c>
      <c r="AE104" s="715">
        <f>IF(AE50="-","-",SUM(AE50)-SUM(AD50))</f>
        <v>0.92900000000000027</v>
      </c>
      <c r="AF104" s="705">
        <f>SUM(AB104:AE104)</f>
        <v>4.4240000000000004</v>
      </c>
      <c r="AG104" s="715">
        <f>AG50</f>
        <v>-1.26</v>
      </c>
      <c r="AH104" s="715">
        <f>IF(AH50="-","-",SUM(AH50)-SUM(AG50))</f>
        <v>4.5279999999999996</v>
      </c>
      <c r="AI104" s="715">
        <f>IF(AI50="-","-",SUM(AI50)-SUM(AH50))</f>
        <v>-1.7479999999999998</v>
      </c>
      <c r="AJ104" s="715">
        <f>IF(AJ50="-","-",SUM(AJ50)-SUM(AI50))</f>
        <v>0.19500000000000006</v>
      </c>
      <c r="AK104" s="705">
        <f>SUM(AG104:AJ104)</f>
        <v>1.7150000000000001</v>
      </c>
      <c r="AL104" s="715">
        <f>AL50</f>
        <v>4.7519999999999998</v>
      </c>
      <c r="AM104" s="715">
        <f>IF(AM50="-","-",SUM(AM50)-SUM(AL50))</f>
        <v>-1.0940000000000003</v>
      </c>
      <c r="AN104" s="715">
        <f>IF(AN50="-","-",SUM(AN50)-SUM(AM50))</f>
        <v>-5.5140000000000002</v>
      </c>
      <c r="AO104" s="715">
        <f>IF(AO50="-","-",SUM(AO50)-SUM(AN50))</f>
        <v>-12.55</v>
      </c>
      <c r="AP104" s="705">
        <f>SUM(AL104:AO104)</f>
        <v>-14.406000000000002</v>
      </c>
      <c r="AQ104" s="715">
        <f>AQ50</f>
        <v>-0.38100000000000001</v>
      </c>
      <c r="AR104" s="715">
        <f>IF(AR50="-","-",SUM(AR50)-SUM(AQ50))</f>
        <v>13.863</v>
      </c>
      <c r="AS104" s="715">
        <f>IF(AS50="-","-",SUM(AS50)-SUM(AR50))</f>
        <v>1.1769999999999996</v>
      </c>
      <c r="AT104" s="715">
        <v>4.3999999999999997E-2</v>
      </c>
      <c r="AU104" s="705">
        <f>SUM(AQ104:AT104)</f>
        <v>14.702999999999999</v>
      </c>
      <c r="AV104" s="715">
        <f>AV50</f>
        <v>-1.288</v>
      </c>
      <c r="AW104" s="715">
        <f>IF(AW50="-","-",SUM(AW50)-SUM(AV50))</f>
        <v>-7.1660000000000004</v>
      </c>
      <c r="AX104" s="715">
        <f>IF(AX50="-","-",SUM(AX50)-SUM(AW50))</f>
        <v>6.032</v>
      </c>
      <c r="AY104" s="715">
        <f>IF(AY50="-","-",SUM(AY50)-SUM(AX50))</f>
        <v>14.387</v>
      </c>
      <c r="AZ104" s="705">
        <f>SUM(AV104:AY104)</f>
        <v>11.965</v>
      </c>
      <c r="BA104" s="715">
        <f>BA50</f>
        <v>-0.19400000000000001</v>
      </c>
      <c r="BB104" s="1307">
        <f>IF(BB50="-","-",SUM(BB50)-SUM(BA50))</f>
        <v>6.423</v>
      </c>
      <c r="BC104" s="715">
        <f>IF(BC50="-","-",SUM(BC50)-SUM(BB50))</f>
        <v>14.412000000000003</v>
      </c>
      <c r="BD104" s="715">
        <f>IF(BD50="-","-",SUM(BD50)-SUM(BC50))</f>
        <v>-16.585999999999999</v>
      </c>
      <c r="BE104" s="705">
        <f>SUM(BA104:BD104)</f>
        <v>4.0550000000000033</v>
      </c>
      <c r="BF104" s="715">
        <f>BF50</f>
        <v>3.6320000000000001</v>
      </c>
      <c r="BG104" s="1307">
        <f>IF(BG50="-","-",SUM(BG50)-SUM(BF50))</f>
        <v>-1.2479999999999998</v>
      </c>
      <c r="BH104" s="1372">
        <f>IF(BH50="-","-",SUM(BH50)-SUM(BG50))</f>
        <v>4.0659999999999998</v>
      </c>
      <c r="BI104" s="715">
        <f>IF(BI50="-","-",SUM(BI50)-SUM(BH50))</f>
        <v>-1.093</v>
      </c>
      <c r="BJ104" s="705">
        <f>SUM(BF104:BI104)</f>
        <v>5.3570000000000002</v>
      </c>
      <c r="BK104" s="715">
        <f>BK50</f>
        <v>-5.992</v>
      </c>
      <c r="BL104" s="1307">
        <f>IF(BL50="-","-",SUM(BL50)-SUM(BK50))</f>
        <v>-2.0390000000000006</v>
      </c>
      <c r="BM104" s="715">
        <f>IF(BM50="-","-",SUM(BM50)-SUM(BL50))</f>
        <v>1.7560000000000002</v>
      </c>
      <c r="BN104" s="753">
        <f>IF(BN50="-","-",SUM(BN50)-SUM(BM50))</f>
        <v>1.0339999999999998</v>
      </c>
      <c r="BO104" s="705">
        <f>SUM(BK104:BN104)</f>
        <v>-5.2410000000000005</v>
      </c>
      <c r="BP104" s="715">
        <f>BP50</f>
        <v>0.318</v>
      </c>
      <c r="BQ104" s="1307">
        <f>IF(BQ50="-","-",SUM(BQ50)-SUM(BP50))</f>
        <v>-0.57299999999999995</v>
      </c>
      <c r="BR104" s="715">
        <f>IF(BR50="-","-",SUM(BR50)-SUM(BQ50))</f>
        <v>-2.0230000000000001</v>
      </c>
      <c r="BS104" s="715">
        <f>IF(BS50="-","-",SUM(BS50)-SUM(BR50))</f>
        <v>-4.3699999999999992</v>
      </c>
      <c r="BT104" s="705">
        <f>SUM(BP104:BS104)</f>
        <v>-6.6479999999999997</v>
      </c>
      <c r="BU104" s="715">
        <f>BU50</f>
        <v>-8.4350000000000005</v>
      </c>
      <c r="BV104" s="1307">
        <f>IF(BV50="-","-",SUM(BV50)-SUM(BU50))</f>
        <v>-3.2099999999999991</v>
      </c>
      <c r="BW104" s="715">
        <f>IF(BW50="-","-",SUM(BW50)-SUM(BV50))</f>
        <v>-3.5419999999999998</v>
      </c>
      <c r="BX104" s="715">
        <f>IF(BX50="-","-",SUM(BX50)-SUM(BW50))</f>
        <v>-6.1100000000000012</v>
      </c>
      <c r="BY104" s="705">
        <f>SUM(BU104:BX104)</f>
        <v>-21.297000000000001</v>
      </c>
      <c r="BZ104" s="715">
        <f>BZ50</f>
        <v>-0.157</v>
      </c>
      <c r="CA104" s="1307">
        <f>IF(CA50="-","-",SUM(CA50)-SUM(BZ50))</f>
        <v>-0.63900000000000001</v>
      </c>
      <c r="CB104" s="715">
        <f>IF(CB50="-","-",SUM(CB50)-SUM(CA50))</f>
        <v>-5.0469999999999997</v>
      </c>
      <c r="CC104" s="715">
        <f>IF(CC50="-","-",SUM(CC50)-SUM(CB50))</f>
        <v>-8.391</v>
      </c>
      <c r="CD104" s="1380">
        <f>SUM(BZ104:CC104)</f>
        <v>-14.234</v>
      </c>
      <c r="CE104" s="715">
        <f>CE50</f>
        <v>-2.4119999999999999</v>
      </c>
      <c r="CF104" s="1307">
        <f>IF(CF50="-","-",SUM(CF50)-SUM(CE50))</f>
        <v>5.2059999999999995</v>
      </c>
      <c r="CG104" s="715">
        <f>IF(CG50="-","-",SUM(CG50)-SUM(CF50))</f>
        <v>8.2769999999999992</v>
      </c>
      <c r="CH104" s="715">
        <f>IF(CH50="-","-",SUM(CH50)-SUM(CG50))</f>
        <v>-2.5549999999999997</v>
      </c>
      <c r="CI104" s="1380">
        <f>SUM(CE104:CH104)</f>
        <v>8.5159999999999982</v>
      </c>
      <c r="CJ104" s="721">
        <f>CJ50</f>
        <v>6.343</v>
      </c>
      <c r="CK104" s="721">
        <f>IF(CK50="-","-",SUM(CK50)-SUM(CJ50))</f>
        <v>0</v>
      </c>
      <c r="CL104" s="721">
        <f>IF(CL50="-","-",SUM(CL50)-SUM(CK50))</f>
        <v>0</v>
      </c>
      <c r="CM104" s="721">
        <f>IF(CM50="-","-",SUM(CM50)-SUM(CL50))</f>
        <v>0</v>
      </c>
      <c r="CN104" s="966">
        <f>SUM(CJ104:CM104)</f>
        <v>6.343</v>
      </c>
      <c r="CO104" s="721">
        <f>CO50</f>
        <v>0</v>
      </c>
      <c r="CP104" s="721">
        <f>IF(CP50="-","-",SUM(CP50)-SUM(CO50))</f>
        <v>0</v>
      </c>
      <c r="CQ104" s="721">
        <f>IF(CQ50="-","-",SUM(CQ50)-SUM(CP50))</f>
        <v>0</v>
      </c>
      <c r="CR104" s="721">
        <f>IF(CR50="-","-",SUM(CR50)-SUM(CQ50))</f>
        <v>0</v>
      </c>
      <c r="CS104" s="966">
        <f>SUM(CO104:CR104)</f>
        <v>0</v>
      </c>
      <c r="CT104" s="721">
        <f>CT50</f>
        <v>0</v>
      </c>
      <c r="CU104" s="721">
        <f>IF(CU50="-","-",SUM(CU50)-SUM(CT50))</f>
        <v>0</v>
      </c>
      <c r="CV104" s="721">
        <f>IF(CV50="-","-",SUM(CV50)-SUM(CU50))</f>
        <v>0</v>
      </c>
      <c r="CW104" s="721">
        <f>IF(CW50="-","-",SUM(CW50)-SUM(CV50))</f>
        <v>0</v>
      </c>
      <c r="CX104" s="966">
        <f>SUM(CT104:CW104)</f>
        <v>0</v>
      </c>
      <c r="CZ104" s="697"/>
      <c r="DA104" s="769"/>
      <c r="DB104" s="697"/>
      <c r="DC104" s="697"/>
    </row>
    <row r="105" spans="1:113" ht="10.5" customHeight="1">
      <c r="A105" s="706" t="s">
        <v>309</v>
      </c>
      <c r="B105" s="706"/>
      <c r="C105" s="714">
        <f>C87+C94+C103+C104</f>
        <v>62.973999999999975</v>
      </c>
      <c r="D105" s="714">
        <f>D87+D94+D103+D104</f>
        <v>48.747000000000043</v>
      </c>
      <c r="E105" s="714">
        <f>E87+E94+E103+E104</f>
        <v>26.877000000000002</v>
      </c>
      <c r="F105" s="714">
        <f>F87+F94+F103+F104</f>
        <v>-196.32200000000012</v>
      </c>
      <c r="G105" s="764">
        <f>SUM(C105:F105)</f>
        <v>-57.724000000000103</v>
      </c>
      <c r="H105" s="714">
        <f>H87+H94+H103+H104</f>
        <v>2.0380000000000065</v>
      </c>
      <c r="I105" s="714">
        <f>I87+I94+I103+I104</f>
        <v>10.55200000000012</v>
      </c>
      <c r="J105" s="714">
        <f>J87+J94+J103+J104</f>
        <v>-89.898000000000025</v>
      </c>
      <c r="K105" s="714">
        <f>K87+K94+K103+K104</f>
        <v>42.330000000000005</v>
      </c>
      <c r="L105" s="764">
        <f>SUM(H105:K105)</f>
        <v>-34.977999999999888</v>
      </c>
      <c r="M105" s="714">
        <f>M87+M94+M103+M104</f>
        <v>-41.587000000000039</v>
      </c>
      <c r="N105" s="714">
        <f>N87+N94+N103+N104</f>
        <v>-0.26600000000006441</v>
      </c>
      <c r="O105" s="714">
        <f>O87+O94+O103+O104</f>
        <v>2.6300000000000319</v>
      </c>
      <c r="P105" s="714">
        <f>P87+P94+P103+P104</f>
        <v>45.455999999999854</v>
      </c>
      <c r="Q105" s="764">
        <f>SUM(M105:P105)</f>
        <v>6.2329999999997838</v>
      </c>
      <c r="R105" s="714">
        <f>R87+R94+R103+R104</f>
        <v>9.8419999999999312</v>
      </c>
      <c r="S105" s="714">
        <f>S87+S94+S103+S104</f>
        <v>18.90499999999993</v>
      </c>
      <c r="T105" s="714">
        <f>T87+T94+T103+T104</f>
        <v>-19.963999999999995</v>
      </c>
      <c r="U105" s="714">
        <f>U87+U94+U103+U104</f>
        <v>60.36099999999999</v>
      </c>
      <c r="V105" s="764">
        <f>SUM(R105:U105)</f>
        <v>69.143999999999863</v>
      </c>
      <c r="W105" s="714">
        <f>W87+W94+W103+W104</f>
        <v>-41.701000000000015</v>
      </c>
      <c r="X105" s="714">
        <f>X87+X94+X103+X104</f>
        <v>35.942000000000029</v>
      </c>
      <c r="Y105" s="714">
        <f>Y87+Y94+Y103+Y104</f>
        <v>200.86599999999993</v>
      </c>
      <c r="Z105" s="714">
        <f>Z87+Z94+Z103+Z104</f>
        <v>-33.666000000000011</v>
      </c>
      <c r="AA105" s="764">
        <f>SUM(W105:Z105)</f>
        <v>161.44099999999992</v>
      </c>
      <c r="AB105" s="714">
        <f>AB87+AB94+AB103+AB104</f>
        <v>214.36800000000008</v>
      </c>
      <c r="AC105" s="714">
        <f>AC87+AC94+AC103+AC104</f>
        <v>-209.79300000000001</v>
      </c>
      <c r="AD105" s="714">
        <f>AD87+AD94+AD103+AD104</f>
        <v>219.36100000000005</v>
      </c>
      <c r="AE105" s="714">
        <f>AE87+AE94+AE103+AE104</f>
        <v>127.74600000000008</v>
      </c>
      <c r="AF105" s="764">
        <f>SUM(AB105:AE105)</f>
        <v>351.68200000000019</v>
      </c>
      <c r="AG105" s="714">
        <f>AG87+AG94+AG103+AG104</f>
        <v>-246.46999999999983</v>
      </c>
      <c r="AH105" s="714">
        <f>AH87+AH94+AH103+AH104</f>
        <v>375.58699999999993</v>
      </c>
      <c r="AI105" s="714">
        <f>AI87+AI94+AI103+AI104</f>
        <v>-342.33399999999995</v>
      </c>
      <c r="AJ105" s="714">
        <f>AJ87+AJ94+AJ103+AJ104</f>
        <v>387.13899999999984</v>
      </c>
      <c r="AK105" s="764">
        <f>SUM(AG105:AJ105)</f>
        <v>173.922</v>
      </c>
      <c r="AL105" s="714">
        <f>AL87+AL94+AL103+AL104</f>
        <v>86.310999999999964</v>
      </c>
      <c r="AM105" s="714">
        <f>AM87+AM94+AM103+AM104</f>
        <v>129.71999999999991</v>
      </c>
      <c r="AN105" s="714">
        <f>AN87+AN94+AN103+AN104</f>
        <v>-28.190000000000044</v>
      </c>
      <c r="AO105" s="714">
        <f>AO87+AO94+AO103+AO104</f>
        <v>-247.81300000000027</v>
      </c>
      <c r="AP105" s="764">
        <f>SUM(AL105:AO105)</f>
        <v>-59.972000000000435</v>
      </c>
      <c r="AQ105" s="714">
        <f>AQ87+AQ94+AQ103+AQ104</f>
        <v>262.47499999999997</v>
      </c>
      <c r="AR105" s="714">
        <f>AR87+AR94+AR103+AR104</f>
        <v>77.855000000000075</v>
      </c>
      <c r="AS105" s="714">
        <f>AS87+AS94+AS103+AS104</f>
        <v>-94.635999999999882</v>
      </c>
      <c r="AT105" s="714">
        <f>AT87+AT94+AT103+AT104</f>
        <v>-132.65700000000024</v>
      </c>
      <c r="AU105" s="764">
        <f>SUM(AQ105:AT105)</f>
        <v>113.03699999999992</v>
      </c>
      <c r="AV105" s="714">
        <f>AV87+AV94+AV103+AV104</f>
        <v>632.54099999999994</v>
      </c>
      <c r="AW105" s="1243">
        <f>AW87+AW94+AW103+AW104</f>
        <v>-407.23600000000005</v>
      </c>
      <c r="AX105" s="1243">
        <f>AX87+AX94+AX103+AX104</f>
        <v>-306.8850000000001</v>
      </c>
      <c r="AY105" s="714">
        <f>AY87+AY94+AY103+AY104</f>
        <v>-58.66800000000012</v>
      </c>
      <c r="AZ105" s="764">
        <f>SUM(AV105:AY105)</f>
        <v>-140.24800000000033</v>
      </c>
      <c r="BA105" s="714">
        <f>BA87+BA94+BA103+BA104</f>
        <v>163.98599999999999</v>
      </c>
      <c r="BB105" s="1308">
        <f>BB87+BB94+BB103+BB104</f>
        <v>-34.051999999999964</v>
      </c>
      <c r="BC105" s="714">
        <f>BC87+BC94+BC103+BC104</f>
        <v>-56.902999999999949</v>
      </c>
      <c r="BD105" s="714">
        <f>BD87+BD94+BD103+BD104</f>
        <v>267.68699999999984</v>
      </c>
      <c r="BE105" s="764">
        <f>SUM(BA105:BD105)</f>
        <v>340.7179999999999</v>
      </c>
      <c r="BF105" s="714">
        <f>BF87+BF94+BF103+BF104</f>
        <v>-188.23700000000011</v>
      </c>
      <c r="BG105" s="1308">
        <f>BG87+BG94+BG103+BG104</f>
        <v>149.97499999999991</v>
      </c>
      <c r="BH105" s="1373">
        <f>BH87+BH94+BH103+BH104</f>
        <v>211.14200000000008</v>
      </c>
      <c r="BI105" s="714">
        <f>BI87+BI94+BI103+BI104</f>
        <v>262.67199999999997</v>
      </c>
      <c r="BJ105" s="764">
        <f>SUM(BF105:BI105)</f>
        <v>435.55199999999985</v>
      </c>
      <c r="BK105" s="714">
        <f>BK87+BK94+BK103+BK104</f>
        <v>-118.66999999999997</v>
      </c>
      <c r="BL105" s="1308">
        <f>BL87+BL94+BL103+BL104</f>
        <v>-59.971999999999937</v>
      </c>
      <c r="BM105" s="714">
        <f>BM87+BM94+BM103+BM104</f>
        <v>-427.32500000000005</v>
      </c>
      <c r="BN105" s="707">
        <f>BN87+BN94+BN103+BN104</f>
        <v>15.471000000000068</v>
      </c>
      <c r="BO105" s="764">
        <f>SUM(BK105:BN105)</f>
        <v>-590.49599999999987</v>
      </c>
      <c r="BP105" s="714">
        <f>BP87+BP94+BP103+BP104</f>
        <v>-100.64000000000003</v>
      </c>
      <c r="BQ105" s="1308">
        <f>BQ87+BQ94+BQ103+BQ104</f>
        <v>83.104000000000028</v>
      </c>
      <c r="BR105" s="714">
        <f>BR87+BR94+BR103+BR104</f>
        <v>86.30900000000004</v>
      </c>
      <c r="BS105" s="714">
        <f>BS87+BS94+BS103+BS104</f>
        <v>214.07099999999997</v>
      </c>
      <c r="BT105" s="764">
        <f>SUM(BP105:BS105)</f>
        <v>282.84399999999999</v>
      </c>
      <c r="BU105" s="714">
        <f>BU87+BU94+BU103+BU104</f>
        <v>-385.47200000000004</v>
      </c>
      <c r="BV105" s="1308">
        <f>BV87+BV94+BV103+BV104</f>
        <v>243.26300000000001</v>
      </c>
      <c r="BW105" s="714">
        <f>BW87+BW94+BW103+BW104</f>
        <v>-126.8549999999999</v>
      </c>
      <c r="BX105" s="714">
        <f>BX87+BX94+BX103+BX104</f>
        <v>47.268000000000015</v>
      </c>
      <c r="BY105" s="764">
        <f>SUM(BU105:BX105)</f>
        <v>-221.79599999999994</v>
      </c>
      <c r="BZ105" s="714">
        <f>BZ87+BZ94+BZ103+BZ104</f>
        <v>-45.863999999999876</v>
      </c>
      <c r="CA105" s="1308">
        <f>CA87+CA94+CA103+CA104</f>
        <v>55.683</v>
      </c>
      <c r="CB105" s="714">
        <f>CB87+CB94+CB103+CB104</f>
        <v>-118.70700000000014</v>
      </c>
      <c r="CC105" s="714">
        <f>CC87+CC94+CC103+CC104</f>
        <v>243.64300000000017</v>
      </c>
      <c r="CD105" s="1680">
        <f>SUM(BZ105:CC105)</f>
        <v>134.75500000000017</v>
      </c>
      <c r="CE105" s="714">
        <f>CE87+CE94+CE103+CE104</f>
        <v>57.581000000000166</v>
      </c>
      <c r="CF105" s="1308">
        <f>CF87+CF94+CF103+CF104</f>
        <v>248.05400000000006</v>
      </c>
      <c r="CG105" s="714">
        <f>CG87+CG94+CG103+CG104</f>
        <v>457.59999999999962</v>
      </c>
      <c r="CH105" s="714">
        <f>CH87+CH94+CH103+CH104</f>
        <v>531.52200000000028</v>
      </c>
      <c r="CI105" s="1680">
        <f>SUM(CE105:CH105)</f>
        <v>1294.7570000000001</v>
      </c>
      <c r="CJ105" s="727">
        <f>CJ87+CJ94+CJ103+CJ104</f>
        <v>360.90900000000039</v>
      </c>
      <c r="CK105" s="727">
        <f>CK87+CK94+CK103+CK104</f>
        <v>769.13354241907746</v>
      </c>
      <c r="CL105" s="727">
        <f>CL87+CL94+CL103+CL104</f>
        <v>540.45824636679527</v>
      </c>
      <c r="CM105" s="727">
        <f>CM87+CM94+CM103+CM104</f>
        <v>811.28498400049421</v>
      </c>
      <c r="CN105" s="975">
        <f>SUM(CJ105:CM105)</f>
        <v>2481.7857727863675</v>
      </c>
      <c r="CO105" s="727">
        <f>CO87+CO94+CO103+CO104</f>
        <v>601.39859494292045</v>
      </c>
      <c r="CP105" s="727">
        <f>CP87+CP94+CP103+CP104</f>
        <v>572.06972207406875</v>
      </c>
      <c r="CQ105" s="727">
        <f>CQ87+CQ94+CQ103+CQ104</f>
        <v>611.98903404889336</v>
      </c>
      <c r="CR105" s="727">
        <f>CR87+CR94+CR103+CR104</f>
        <v>922.58340371155828</v>
      </c>
      <c r="CS105" s="975">
        <f>SUM(CO105:CR105)</f>
        <v>2708.0407547774407</v>
      </c>
      <c r="CT105" s="727">
        <f>CT87+CT94+CT103+CT104</f>
        <v>763.04829094964418</v>
      </c>
      <c r="CU105" s="727">
        <f>CU87+CU94+CU103+CU104</f>
        <v>683.55951641636159</v>
      </c>
      <c r="CV105" s="727">
        <f>CV87+CV94+CV103+CV104</f>
        <v>721.39356358941473</v>
      </c>
      <c r="CW105" s="727">
        <f>CW87+CW94+CW103+CW104</f>
        <v>1068.7768285911025</v>
      </c>
      <c r="CX105" s="975">
        <f>SUM(CT105:CW105)</f>
        <v>3236.778199546523</v>
      </c>
      <c r="CZ105" s="686"/>
      <c r="DA105" s="769"/>
      <c r="DB105" s="686"/>
      <c r="DC105" s="686"/>
    </row>
    <row r="106" spans="1:113" ht="10.5" customHeight="1">
      <c r="A106" s="706" t="s">
        <v>310</v>
      </c>
      <c r="B106" s="706"/>
      <c r="C106" s="714">
        <f>C52</f>
        <v>236.86600000000001</v>
      </c>
      <c r="D106" s="714">
        <f>C107</f>
        <v>299.83999999999997</v>
      </c>
      <c r="E106" s="714">
        <f>D107</f>
        <v>348.58699999999999</v>
      </c>
      <c r="F106" s="714">
        <f>E107</f>
        <v>375.464</v>
      </c>
      <c r="G106" s="726">
        <f>C106</f>
        <v>236.86600000000001</v>
      </c>
      <c r="H106" s="714">
        <f>H52</f>
        <v>179.14199999999994</v>
      </c>
      <c r="I106" s="714">
        <f>H107</f>
        <v>181.17999999999995</v>
      </c>
      <c r="J106" s="714">
        <f>I107</f>
        <v>191.73200000000008</v>
      </c>
      <c r="K106" s="714">
        <f>J107</f>
        <v>101.83400000000006</v>
      </c>
      <c r="L106" s="726">
        <f>H106</f>
        <v>179.14199999999994</v>
      </c>
      <c r="M106" s="714">
        <f>M52</f>
        <v>144.16400000000004</v>
      </c>
      <c r="N106" s="714">
        <f>M107</f>
        <v>102.577</v>
      </c>
      <c r="O106" s="714">
        <f>N107</f>
        <v>102.31099999999994</v>
      </c>
      <c r="P106" s="714">
        <f>O107</f>
        <v>104.94099999999997</v>
      </c>
      <c r="Q106" s="726">
        <f>M106</f>
        <v>144.16400000000004</v>
      </c>
      <c r="R106" s="714">
        <f>R52</f>
        <v>150.39699999999985</v>
      </c>
      <c r="S106" s="714">
        <f>R107</f>
        <v>160.23899999999978</v>
      </c>
      <c r="T106" s="714">
        <f>S107</f>
        <v>179.14399999999972</v>
      </c>
      <c r="U106" s="714">
        <f>T107</f>
        <v>159.17999999999972</v>
      </c>
      <c r="V106" s="726">
        <f>R106</f>
        <v>150.39699999999985</v>
      </c>
      <c r="W106" s="714">
        <f>W52</f>
        <v>259.06099999999998</v>
      </c>
      <c r="X106" s="714">
        <f>W107</f>
        <v>217.35999999999996</v>
      </c>
      <c r="Y106" s="714">
        <f>X107</f>
        <v>253.30199999999999</v>
      </c>
      <c r="Z106" s="714">
        <f>Y107</f>
        <v>454.16799999999989</v>
      </c>
      <c r="AA106" s="726">
        <f>W106</f>
        <v>259.06099999999998</v>
      </c>
      <c r="AB106" s="714">
        <f>AB52</f>
        <v>420.81799999999987</v>
      </c>
      <c r="AC106" s="714">
        <f>AB107</f>
        <v>635.18599999999992</v>
      </c>
      <c r="AD106" s="714">
        <f>AC107</f>
        <v>425.39299999999992</v>
      </c>
      <c r="AE106" s="714">
        <f>AD107</f>
        <v>644.75399999999991</v>
      </c>
      <c r="AF106" s="726">
        <f>AB106</f>
        <v>420.81799999999987</v>
      </c>
      <c r="AG106" s="714">
        <f>AG52</f>
        <v>772.49999999999989</v>
      </c>
      <c r="AH106" s="714">
        <f>AG107</f>
        <v>526.03000000000009</v>
      </c>
      <c r="AI106" s="714">
        <f>AH107</f>
        <v>901.61699999999996</v>
      </c>
      <c r="AJ106" s="714">
        <f>AI107</f>
        <v>559.28300000000002</v>
      </c>
      <c r="AK106" s="726">
        <f>AG106</f>
        <v>772.49999999999989</v>
      </c>
      <c r="AL106" s="714">
        <f>AL52</f>
        <v>946.4219999999998</v>
      </c>
      <c r="AM106" s="714">
        <f>AL107</f>
        <v>1032.7329999999997</v>
      </c>
      <c r="AN106" s="714">
        <f>AM107</f>
        <v>1162.4529999999995</v>
      </c>
      <c r="AO106" s="714">
        <f>AN107</f>
        <v>1134.2629999999995</v>
      </c>
      <c r="AP106" s="726">
        <f>AL106</f>
        <v>946.4219999999998</v>
      </c>
      <c r="AQ106" s="714">
        <f>AQ52</f>
        <v>886.44999999999914</v>
      </c>
      <c r="AR106" s="714">
        <f>AQ107</f>
        <v>1148.924999999999</v>
      </c>
      <c r="AS106" s="714">
        <f>AR107</f>
        <v>1226.7799999999991</v>
      </c>
      <c r="AT106" s="714">
        <f>AS107</f>
        <v>1132.1439999999991</v>
      </c>
      <c r="AU106" s="726">
        <f>AQ106</f>
        <v>886.44999999999914</v>
      </c>
      <c r="AV106" s="714">
        <f>AV52</f>
        <v>999.4869999999994</v>
      </c>
      <c r="AW106" s="714">
        <f>AV107</f>
        <v>1632.0279999999993</v>
      </c>
      <c r="AX106" s="714">
        <f>AW107</f>
        <v>1224.7919999999992</v>
      </c>
      <c r="AY106" s="714">
        <f>AX107</f>
        <v>917.90699999999913</v>
      </c>
      <c r="AZ106" s="726">
        <f>AV106</f>
        <v>999.4869999999994</v>
      </c>
      <c r="BA106" s="714">
        <f>BA52</f>
        <v>749.89099999999928</v>
      </c>
      <c r="BB106" s="1308">
        <f>BA107</f>
        <v>913.87699999999927</v>
      </c>
      <c r="BC106" s="714">
        <f>BB107</f>
        <v>879.82499999999936</v>
      </c>
      <c r="BD106" s="714">
        <f>BC107</f>
        <v>822.92199999999946</v>
      </c>
      <c r="BE106" s="726">
        <f>BA106</f>
        <v>749.89099999999928</v>
      </c>
      <c r="BF106" s="714">
        <f>BF52</f>
        <v>989.49999999999932</v>
      </c>
      <c r="BG106" s="1308">
        <f>BF107</f>
        <v>801.26299999999924</v>
      </c>
      <c r="BH106" s="1373">
        <f>BG107</f>
        <v>951.23799999999915</v>
      </c>
      <c r="BI106" s="714">
        <f>BH107</f>
        <v>1162.3799999999992</v>
      </c>
      <c r="BJ106" s="726">
        <f>BF106</f>
        <v>989.49999999999932</v>
      </c>
      <c r="BK106" s="714">
        <f>BK52</f>
        <v>1425.051999999999</v>
      </c>
      <c r="BL106" s="1308">
        <f>BK107</f>
        <v>1306.3819999999989</v>
      </c>
      <c r="BM106" s="714">
        <f>BL107</f>
        <v>1246.4099999999989</v>
      </c>
      <c r="BN106" s="714">
        <f>BM107</f>
        <v>819.0849999999989</v>
      </c>
      <c r="BO106" s="726">
        <f>BK106</f>
        <v>1425.051999999999</v>
      </c>
      <c r="BP106" s="714">
        <f>BP52</f>
        <v>834.5559999999989</v>
      </c>
      <c r="BQ106" s="1308">
        <f>BP107</f>
        <v>733.91599999999892</v>
      </c>
      <c r="BR106" s="714">
        <f>BQ107</f>
        <v>817.01999999999896</v>
      </c>
      <c r="BS106" s="714">
        <f>BR107</f>
        <v>903.32899999999904</v>
      </c>
      <c r="BT106" s="726">
        <f>BP106</f>
        <v>834.5559999999989</v>
      </c>
      <c r="BU106" s="714">
        <f>BU52</f>
        <v>1117.3999999999987</v>
      </c>
      <c r="BV106" s="1308">
        <f>BU107</f>
        <v>731.92799999999875</v>
      </c>
      <c r="BW106" s="714">
        <f>BV107</f>
        <v>975.19099999999878</v>
      </c>
      <c r="BX106" s="714">
        <f>BW107</f>
        <v>848.33599999999888</v>
      </c>
      <c r="BY106" s="726">
        <f>BU106</f>
        <v>1117.3999999999987</v>
      </c>
      <c r="BZ106" s="714">
        <f>BZ52</f>
        <v>876.55999999999904</v>
      </c>
      <c r="CA106" s="1308">
        <f>BZ107</f>
        <v>830.69599999999912</v>
      </c>
      <c r="CB106" s="714">
        <f>CA107</f>
        <v>886.37899999999911</v>
      </c>
      <c r="CC106" s="714">
        <f>CB107</f>
        <v>767.671999999999</v>
      </c>
      <c r="CD106" s="1386">
        <f>BZ106</f>
        <v>876.55999999999904</v>
      </c>
      <c r="CE106" s="714">
        <f>CE52</f>
        <v>1011.3149999999993</v>
      </c>
      <c r="CF106" s="1308">
        <f>CE107</f>
        <v>1068.8959999999995</v>
      </c>
      <c r="CG106" s="714">
        <f>CF107</f>
        <v>1316.9499999999996</v>
      </c>
      <c r="CH106" s="714">
        <f>CG107</f>
        <v>1774.5499999999993</v>
      </c>
      <c r="CI106" s="1386">
        <f>CE106</f>
        <v>1011.3149999999993</v>
      </c>
      <c r="CJ106" s="727">
        <f>CJ52</f>
        <v>2306.0719999999992</v>
      </c>
      <c r="CK106" s="727">
        <f>CJ107</f>
        <v>2666.9809999999998</v>
      </c>
      <c r="CL106" s="727">
        <f>CK107</f>
        <v>3436.1145424190772</v>
      </c>
      <c r="CM106" s="727">
        <f>CL107</f>
        <v>3976.5727887858725</v>
      </c>
      <c r="CN106" s="969">
        <f>CJ106</f>
        <v>2306.0719999999992</v>
      </c>
      <c r="CO106" s="727">
        <f>CO52</f>
        <v>4787.8577727863667</v>
      </c>
      <c r="CP106" s="727">
        <f>CO107</f>
        <v>5389.2563677292874</v>
      </c>
      <c r="CQ106" s="727">
        <f>CP107</f>
        <v>5961.3260898033559</v>
      </c>
      <c r="CR106" s="727">
        <f>CQ107</f>
        <v>6573.3151238522496</v>
      </c>
      <c r="CS106" s="969">
        <f>CO106</f>
        <v>4787.8577727863667</v>
      </c>
      <c r="CT106" s="727">
        <f>CT52</f>
        <v>7495.8985275638079</v>
      </c>
      <c r="CU106" s="727">
        <f>CT107</f>
        <v>8258.9468185134519</v>
      </c>
      <c r="CV106" s="727">
        <f>CU107</f>
        <v>8942.5063349298143</v>
      </c>
      <c r="CW106" s="727">
        <f>CV107</f>
        <v>9663.8998985192284</v>
      </c>
      <c r="CX106" s="969">
        <f>CT106</f>
        <v>7495.8985275638079</v>
      </c>
      <c r="CZ106" s="686"/>
      <c r="DA106" s="769"/>
      <c r="DB106" s="686"/>
      <c r="DC106" s="686"/>
    </row>
    <row r="107" spans="1:113" ht="10.5" customHeight="1">
      <c r="A107" s="1298" t="s">
        <v>673</v>
      </c>
      <c r="B107" s="1298"/>
      <c r="C107" s="1299">
        <f t="shared" ref="C107:AH107" si="413">C105+C106</f>
        <v>299.83999999999997</v>
      </c>
      <c r="D107" s="1299">
        <f t="shared" si="413"/>
        <v>348.58699999999999</v>
      </c>
      <c r="E107" s="1299">
        <f t="shared" si="413"/>
        <v>375.464</v>
      </c>
      <c r="F107" s="1299">
        <f t="shared" si="413"/>
        <v>179.14199999999988</v>
      </c>
      <c r="G107" s="708">
        <f t="shared" si="413"/>
        <v>179.14199999999991</v>
      </c>
      <c r="H107" s="1299">
        <f t="shared" si="413"/>
        <v>181.17999999999995</v>
      </c>
      <c r="I107" s="1299">
        <f t="shared" si="413"/>
        <v>191.73200000000008</v>
      </c>
      <c r="J107" s="1299">
        <f t="shared" si="413"/>
        <v>101.83400000000006</v>
      </c>
      <c r="K107" s="1299">
        <f t="shared" si="413"/>
        <v>144.16400000000007</v>
      </c>
      <c r="L107" s="708">
        <f t="shared" si="413"/>
        <v>144.16400000000004</v>
      </c>
      <c r="M107" s="1299">
        <f t="shared" si="413"/>
        <v>102.577</v>
      </c>
      <c r="N107" s="1299">
        <f t="shared" si="413"/>
        <v>102.31099999999994</v>
      </c>
      <c r="O107" s="1299">
        <f t="shared" si="413"/>
        <v>104.94099999999997</v>
      </c>
      <c r="P107" s="1299">
        <f t="shared" si="413"/>
        <v>150.39699999999982</v>
      </c>
      <c r="Q107" s="708">
        <f t="shared" si="413"/>
        <v>150.39699999999982</v>
      </c>
      <c r="R107" s="1299">
        <f t="shared" si="413"/>
        <v>160.23899999999978</v>
      </c>
      <c r="S107" s="1299">
        <f t="shared" si="413"/>
        <v>179.14399999999972</v>
      </c>
      <c r="T107" s="1299">
        <f t="shared" si="413"/>
        <v>159.17999999999972</v>
      </c>
      <c r="U107" s="1299">
        <f t="shared" si="413"/>
        <v>219.54099999999971</v>
      </c>
      <c r="V107" s="708">
        <f t="shared" si="413"/>
        <v>219.54099999999971</v>
      </c>
      <c r="W107" s="1299">
        <f t="shared" si="413"/>
        <v>217.35999999999996</v>
      </c>
      <c r="X107" s="1299">
        <f t="shared" si="413"/>
        <v>253.30199999999999</v>
      </c>
      <c r="Y107" s="1299">
        <f t="shared" si="413"/>
        <v>454.16799999999989</v>
      </c>
      <c r="Z107" s="1299">
        <f t="shared" si="413"/>
        <v>420.5019999999999</v>
      </c>
      <c r="AA107" s="708">
        <f t="shared" si="413"/>
        <v>420.5019999999999</v>
      </c>
      <c r="AB107" s="1299">
        <f t="shared" si="413"/>
        <v>635.18599999999992</v>
      </c>
      <c r="AC107" s="1299">
        <f t="shared" si="413"/>
        <v>425.39299999999992</v>
      </c>
      <c r="AD107" s="1299">
        <f t="shared" si="413"/>
        <v>644.75399999999991</v>
      </c>
      <c r="AE107" s="1299">
        <f t="shared" si="413"/>
        <v>772.5</v>
      </c>
      <c r="AF107" s="708">
        <f t="shared" si="413"/>
        <v>772.5</v>
      </c>
      <c r="AG107" s="1299">
        <f t="shared" si="413"/>
        <v>526.03000000000009</v>
      </c>
      <c r="AH107" s="1299">
        <f t="shared" si="413"/>
        <v>901.61699999999996</v>
      </c>
      <c r="AI107" s="1299">
        <f t="shared" ref="AI107:BA107" si="414">AI105+AI106</f>
        <v>559.28300000000002</v>
      </c>
      <c r="AJ107" s="1299">
        <f t="shared" si="414"/>
        <v>946.4219999999998</v>
      </c>
      <c r="AK107" s="708">
        <f t="shared" si="414"/>
        <v>946.42199999999991</v>
      </c>
      <c r="AL107" s="1299">
        <f t="shared" si="414"/>
        <v>1032.7329999999997</v>
      </c>
      <c r="AM107" s="1299">
        <f t="shared" si="414"/>
        <v>1162.4529999999995</v>
      </c>
      <c r="AN107" s="1299">
        <f t="shared" si="414"/>
        <v>1134.2629999999995</v>
      </c>
      <c r="AO107" s="1299">
        <f t="shared" si="414"/>
        <v>886.44999999999914</v>
      </c>
      <c r="AP107" s="708">
        <f t="shared" si="414"/>
        <v>886.44999999999936</v>
      </c>
      <c r="AQ107" s="1299">
        <f t="shared" si="414"/>
        <v>1148.924999999999</v>
      </c>
      <c r="AR107" s="1299">
        <f t="shared" si="414"/>
        <v>1226.7799999999991</v>
      </c>
      <c r="AS107" s="1299">
        <f t="shared" si="414"/>
        <v>1132.1439999999991</v>
      </c>
      <c r="AT107" s="1299">
        <f t="shared" si="414"/>
        <v>999.48699999999883</v>
      </c>
      <c r="AU107" s="708">
        <f t="shared" si="414"/>
        <v>999.48699999999906</v>
      </c>
      <c r="AV107" s="1299">
        <f t="shared" si="414"/>
        <v>1632.0279999999993</v>
      </c>
      <c r="AW107" s="1299">
        <f t="shared" si="414"/>
        <v>1224.7919999999992</v>
      </c>
      <c r="AX107" s="1299">
        <f t="shared" si="414"/>
        <v>917.90699999999913</v>
      </c>
      <c r="AY107" s="1299">
        <f t="shared" si="414"/>
        <v>859.23899999999901</v>
      </c>
      <c r="AZ107" s="708">
        <f t="shared" si="414"/>
        <v>859.23899999999912</v>
      </c>
      <c r="BA107" s="1299">
        <f t="shared" si="414"/>
        <v>913.87699999999927</v>
      </c>
      <c r="BB107" s="1309">
        <f t="shared" ref="BB107:BJ107" si="415">BB105+BB106</f>
        <v>879.82499999999936</v>
      </c>
      <c r="BC107" s="1299">
        <f t="shared" si="415"/>
        <v>822.92199999999946</v>
      </c>
      <c r="BD107" s="1299">
        <f>BD105+BD106</f>
        <v>1090.6089999999992</v>
      </c>
      <c r="BE107" s="708">
        <f t="shared" si="415"/>
        <v>1090.6089999999992</v>
      </c>
      <c r="BF107" s="1299">
        <f t="shared" si="415"/>
        <v>801.26299999999924</v>
      </c>
      <c r="BG107" s="1309">
        <f t="shared" si="415"/>
        <v>951.23799999999915</v>
      </c>
      <c r="BH107" s="1374">
        <f t="shared" si="415"/>
        <v>1162.3799999999992</v>
      </c>
      <c r="BI107" s="1479">
        <f t="shared" si="415"/>
        <v>1425.0519999999992</v>
      </c>
      <c r="BJ107" s="1480">
        <f t="shared" si="415"/>
        <v>1425.0519999999992</v>
      </c>
      <c r="BK107" s="1478">
        <f t="shared" ref="BK107:BT107" si="416">BK105+BK106</f>
        <v>1306.3819999999989</v>
      </c>
      <c r="BL107" s="1479">
        <f t="shared" si="416"/>
        <v>1246.4099999999989</v>
      </c>
      <c r="BM107" s="1479">
        <f t="shared" si="416"/>
        <v>819.0849999999989</v>
      </c>
      <c r="BN107" s="1479">
        <f t="shared" si="416"/>
        <v>834.55599999999902</v>
      </c>
      <c r="BO107" s="1480">
        <f t="shared" si="416"/>
        <v>834.55599999999913</v>
      </c>
      <c r="BP107" s="1479">
        <f t="shared" si="416"/>
        <v>733.91599999999892</v>
      </c>
      <c r="BQ107" s="1479">
        <f t="shared" si="416"/>
        <v>817.01999999999896</v>
      </c>
      <c r="BR107" s="1479">
        <f>BR105+BR106</f>
        <v>903.32899999999904</v>
      </c>
      <c r="BS107" s="1479">
        <f t="shared" si="416"/>
        <v>1117.399999999999</v>
      </c>
      <c r="BT107" s="1480">
        <f t="shared" si="416"/>
        <v>1117.399999999999</v>
      </c>
      <c r="BU107" s="1479">
        <f t="shared" ref="BU107:CD107" si="417">BU105+BU106</f>
        <v>731.92799999999875</v>
      </c>
      <c r="BV107" s="1479">
        <f t="shared" si="417"/>
        <v>975.19099999999878</v>
      </c>
      <c r="BW107" s="1479">
        <f>BW105+BW106</f>
        <v>848.33599999999888</v>
      </c>
      <c r="BX107" s="1479">
        <f>BX105+BX106</f>
        <v>895.6039999999989</v>
      </c>
      <c r="BY107" s="1480">
        <f t="shared" si="417"/>
        <v>895.60399999999879</v>
      </c>
      <c r="BZ107" s="1659">
        <f t="shared" si="417"/>
        <v>830.69599999999912</v>
      </c>
      <c r="CA107" s="1479">
        <f>CA105+CA106</f>
        <v>886.37899999999911</v>
      </c>
      <c r="CB107" s="1659">
        <f t="shared" si="417"/>
        <v>767.671999999999</v>
      </c>
      <c r="CC107" s="1659">
        <f t="shared" si="417"/>
        <v>1011.3149999999991</v>
      </c>
      <c r="CD107" s="1686">
        <f t="shared" si="417"/>
        <v>1011.3149999999991</v>
      </c>
      <c r="CE107" s="1659">
        <f t="shared" ref="CE107:CN107" si="418">CE105+CE106</f>
        <v>1068.8959999999995</v>
      </c>
      <c r="CF107" s="1479">
        <f>CF105+CF106</f>
        <v>1316.9499999999996</v>
      </c>
      <c r="CG107" s="1659">
        <f t="shared" si="418"/>
        <v>1774.5499999999993</v>
      </c>
      <c r="CH107" s="1659">
        <f t="shared" si="418"/>
        <v>2306.0719999999997</v>
      </c>
      <c r="CI107" s="1686">
        <f t="shared" si="418"/>
        <v>2306.0719999999992</v>
      </c>
      <c r="CJ107" s="1060">
        <f t="shared" si="418"/>
        <v>2666.9809999999998</v>
      </c>
      <c r="CK107" s="1060">
        <f t="shared" si="418"/>
        <v>3436.1145424190772</v>
      </c>
      <c r="CL107" s="1060">
        <f t="shared" si="418"/>
        <v>3976.5727887858725</v>
      </c>
      <c r="CM107" s="1060">
        <f t="shared" si="418"/>
        <v>4787.8577727863667</v>
      </c>
      <c r="CN107" s="1061">
        <f t="shared" si="418"/>
        <v>4787.8577727863667</v>
      </c>
      <c r="CO107" s="1060">
        <f t="shared" ref="CO107:CX107" si="419">CO105+CO106</f>
        <v>5389.2563677292874</v>
      </c>
      <c r="CP107" s="1060">
        <f t="shared" si="419"/>
        <v>5961.3260898033559</v>
      </c>
      <c r="CQ107" s="1060">
        <f t="shared" si="419"/>
        <v>6573.3151238522496</v>
      </c>
      <c r="CR107" s="1060">
        <f t="shared" si="419"/>
        <v>7495.8985275638079</v>
      </c>
      <c r="CS107" s="1061">
        <f t="shared" si="419"/>
        <v>7495.8985275638079</v>
      </c>
      <c r="CT107" s="1060">
        <f t="shared" si="419"/>
        <v>8258.9468185134519</v>
      </c>
      <c r="CU107" s="1060">
        <f t="shared" si="419"/>
        <v>8942.5063349298143</v>
      </c>
      <c r="CV107" s="1060">
        <f t="shared" si="419"/>
        <v>9663.8998985192284</v>
      </c>
      <c r="CW107" s="1060">
        <f t="shared" si="419"/>
        <v>10732.676727110331</v>
      </c>
      <c r="CX107" s="1061">
        <f t="shared" si="419"/>
        <v>10732.676727110331</v>
      </c>
      <c r="CZ107" s="778"/>
      <c r="DA107" s="769"/>
      <c r="DB107" s="778"/>
      <c r="DC107" s="778"/>
    </row>
    <row r="108" spans="1:113">
      <c r="A108" s="743" t="s">
        <v>539</v>
      </c>
      <c r="B108" s="743"/>
      <c r="C108" s="715">
        <f>IF(C53=C107,"",C53-C107)</f>
        <v>-123.57799999999995</v>
      </c>
      <c r="D108" s="715">
        <f>IF(D53=D107,"",D53-D107)</f>
        <v>-138.85299999999998</v>
      </c>
      <c r="E108" s="715">
        <f>IF(E53=E107,"",E53-E107)</f>
        <v>-82.645000000000039</v>
      </c>
      <c r="F108" s="715" t="str">
        <f>IF(F53=F107,"",F53-F107)</f>
        <v/>
      </c>
      <c r="G108" s="715" t="str">
        <f>IF(F107=G107,"",F107-G107)</f>
        <v/>
      </c>
      <c r="H108" s="715" t="str">
        <f>IF(H53=H107,"",H53-H107)</f>
        <v/>
      </c>
      <c r="I108" s="715" t="str">
        <f>IF(I53=I107,"",I53-I107)</f>
        <v/>
      </c>
      <c r="J108" s="715" t="str">
        <f>IF(J53=J107,"",J53-J107)</f>
        <v/>
      </c>
      <c r="K108" s="715" t="str">
        <f>IF(K53=K107,"",K53-K107)</f>
        <v/>
      </c>
      <c r="L108" s="715" t="str">
        <f>IF(K107=L107,"",K107-L107)</f>
        <v/>
      </c>
      <c r="M108" s="715" t="str">
        <f>IF(M53=M107,"",M53-M107)</f>
        <v/>
      </c>
      <c r="N108" s="715" t="str">
        <f>IF(N53=N107,"",N53-N107)</f>
        <v/>
      </c>
      <c r="O108" s="715" t="str">
        <f>IF(O53=O107,"",O53-O107)</f>
        <v/>
      </c>
      <c r="P108" s="715" t="str">
        <f>IF(P53=P107,"",P53-P107)</f>
        <v/>
      </c>
      <c r="Q108" s="715" t="str">
        <f>IF(P107=Q107,"",P107-Q107)</f>
        <v/>
      </c>
      <c r="R108" s="715" t="str">
        <f>IF(R53=R107,"",R53-R107)</f>
        <v/>
      </c>
      <c r="S108" s="715" t="str">
        <f>IF(S53=S107,"",S53-S107)</f>
        <v/>
      </c>
      <c r="T108" s="715" t="str">
        <f>IF(T53=T107,"",T53-T107)</f>
        <v/>
      </c>
      <c r="U108" s="715">
        <f>IF(U53=U107,"",U53-U107)</f>
        <v>-0.14000000000010004</v>
      </c>
      <c r="V108" s="715"/>
      <c r="W108" s="715" t="str">
        <f t="shared" ref="W108:AK108" si="420">IF(W53=W107,"",W53-W107)</f>
        <v/>
      </c>
      <c r="X108" s="715" t="str">
        <f t="shared" si="420"/>
        <v/>
      </c>
      <c r="Y108" s="715" t="str">
        <f t="shared" si="420"/>
        <v/>
      </c>
      <c r="Z108" s="715">
        <f t="shared" si="420"/>
        <v>0.31599999999997408</v>
      </c>
      <c r="AA108" s="715">
        <f t="shared" si="420"/>
        <v>0.31599999999997408</v>
      </c>
      <c r="AB108" s="715" t="str">
        <f t="shared" si="420"/>
        <v/>
      </c>
      <c r="AC108" s="715" t="str">
        <f t="shared" si="420"/>
        <v/>
      </c>
      <c r="AD108" s="715" t="str">
        <f t="shared" si="420"/>
        <v/>
      </c>
      <c r="AE108" s="715" t="str">
        <f t="shared" si="420"/>
        <v/>
      </c>
      <c r="AF108" s="715" t="str">
        <f t="shared" si="420"/>
        <v/>
      </c>
      <c r="AG108" s="715" t="str">
        <f t="shared" si="420"/>
        <v/>
      </c>
      <c r="AH108" s="715" t="str">
        <f t="shared" si="420"/>
        <v/>
      </c>
      <c r="AI108" s="715" t="str">
        <f t="shared" si="420"/>
        <v/>
      </c>
      <c r="AJ108" s="715" t="str">
        <f t="shared" si="420"/>
        <v/>
      </c>
      <c r="AK108" s="715" t="str">
        <f t="shared" si="420"/>
        <v/>
      </c>
      <c r="AL108" s="715"/>
      <c r="AM108" s="715"/>
      <c r="AN108" s="715"/>
      <c r="AO108" s="715"/>
      <c r="AP108" s="715"/>
      <c r="AQ108" s="715"/>
      <c r="AR108" s="420"/>
      <c r="AS108" s="419"/>
      <c r="AT108" s="420"/>
      <c r="AU108" s="420"/>
      <c r="AV108" s="715"/>
      <c r="AW108" s="715"/>
      <c r="AX108" s="715"/>
      <c r="AY108" s="420"/>
      <c r="AZ108" s="420"/>
      <c r="BA108" s="715"/>
      <c r="BB108" s="419"/>
      <c r="BC108" s="419"/>
      <c r="BD108" s="420"/>
      <c r="BE108" s="420"/>
      <c r="BF108" s="715"/>
      <c r="BG108" s="419"/>
      <c r="BH108" s="420"/>
      <c r="BI108" s="420"/>
      <c r="BJ108" s="420"/>
      <c r="BK108" s="715"/>
      <c r="BL108" s="419"/>
      <c r="BM108" s="1412"/>
      <c r="BN108" s="420"/>
      <c r="BO108" s="420"/>
      <c r="BP108" s="420"/>
      <c r="BQ108" s="419"/>
      <c r="BR108" s="1412"/>
      <c r="BS108" s="1412"/>
      <c r="BT108" s="420"/>
      <c r="BU108" s="420">
        <f>712.884-BU107</f>
        <v>-19.043999999998732</v>
      </c>
      <c r="BV108" s="419"/>
      <c r="BW108" s="1412"/>
      <c r="BX108" s="1412"/>
      <c r="BY108" s="420"/>
      <c r="BZ108" s="419"/>
      <c r="CC108" s="47"/>
      <c r="CD108" s="47"/>
      <c r="CF108" s="47"/>
      <c r="CG108" s="47"/>
      <c r="CH108" s="47"/>
      <c r="CI108" s="47"/>
      <c r="CZ108" s="753"/>
      <c r="DA108" s="780"/>
      <c r="DB108" s="753"/>
      <c r="DC108" s="753"/>
    </row>
    <row r="109" spans="1:113">
      <c r="A109" s="743" t="s">
        <v>658</v>
      </c>
      <c r="B109" s="743"/>
      <c r="C109" s="687"/>
      <c r="D109" s="687"/>
      <c r="E109" s="687"/>
      <c r="F109" s="687"/>
      <c r="G109" s="687"/>
      <c r="H109" s="687"/>
      <c r="I109" s="687"/>
      <c r="J109" s="687"/>
      <c r="K109" s="687"/>
      <c r="L109" s="687"/>
      <c r="M109" s="687"/>
      <c r="N109" s="687"/>
      <c r="O109" s="687"/>
      <c r="P109" s="687"/>
      <c r="Q109" s="687"/>
      <c r="R109" s="687"/>
      <c r="S109" s="687"/>
      <c r="T109" s="687"/>
      <c r="U109" s="687"/>
      <c r="V109" s="687"/>
      <c r="W109" s="687"/>
      <c r="X109" s="687"/>
      <c r="Y109" s="687"/>
      <c r="Z109" s="687"/>
      <c r="AA109" s="687"/>
      <c r="AB109" s="687"/>
      <c r="AC109" s="687"/>
      <c r="AD109" s="687"/>
      <c r="AE109" s="687"/>
      <c r="AF109" s="687"/>
      <c r="AG109" s="687"/>
      <c r="AH109" s="710"/>
      <c r="AI109" s="710"/>
      <c r="AJ109" s="710"/>
      <c r="AK109" s="710"/>
      <c r="AL109" s="710"/>
      <c r="AM109" s="710"/>
      <c r="AN109" s="710"/>
      <c r="AO109" s="710"/>
      <c r="AP109" s="710"/>
      <c r="AQ109" s="710"/>
      <c r="AR109" s="744"/>
      <c r="AS109" s="710"/>
      <c r="AT109" s="744"/>
      <c r="AU109" s="744"/>
      <c r="AV109" s="710"/>
      <c r="AW109" s="710"/>
      <c r="AX109" s="710"/>
      <c r="AY109" s="744"/>
      <c r="AZ109" s="744"/>
      <c r="BA109" s="710"/>
      <c r="BB109" s="710"/>
      <c r="BC109" s="710"/>
      <c r="BD109" s="744"/>
      <c r="BE109" s="744"/>
      <c r="BF109" s="710"/>
      <c r="BG109" s="710"/>
      <c r="BH109" s="744"/>
      <c r="BI109" s="744"/>
      <c r="BJ109" s="744"/>
      <c r="BK109" s="744"/>
      <c r="BL109" s="710"/>
      <c r="BM109" s="710"/>
      <c r="BN109" s="744"/>
      <c r="BO109" s="744"/>
      <c r="BP109" s="744"/>
      <c r="BQ109" s="710"/>
      <c r="BR109" s="710"/>
      <c r="BS109" s="710"/>
      <c r="BT109" s="744"/>
      <c r="BU109" s="744"/>
      <c r="BV109" s="710"/>
      <c r="BW109" s="710"/>
      <c r="BX109" s="710"/>
      <c r="BY109" s="744"/>
      <c r="BZ109" s="710"/>
      <c r="CC109" s="47"/>
      <c r="CD109" s="47"/>
      <c r="CF109" s="47"/>
      <c r="CG109" s="47"/>
      <c r="CH109" s="47"/>
      <c r="CI109" s="47"/>
      <c r="CZ109" s="710"/>
      <c r="DA109" s="750"/>
      <c r="DB109" s="710"/>
      <c r="DC109" s="710"/>
    </row>
    <row r="110" spans="1:113">
      <c r="A110" s="743" t="s">
        <v>657</v>
      </c>
      <c r="B110" s="743"/>
      <c r="C110" s="687"/>
      <c r="D110" s="687"/>
      <c r="E110" s="687"/>
      <c r="F110" s="687"/>
      <c r="G110" s="687"/>
      <c r="H110" s="687"/>
      <c r="I110" s="687"/>
      <c r="J110" s="687"/>
      <c r="K110" s="687"/>
      <c r="L110" s="687"/>
      <c r="M110" s="687"/>
      <c r="N110" s="687"/>
      <c r="O110" s="687"/>
      <c r="P110" s="687"/>
      <c r="Q110" s="687"/>
      <c r="R110" s="687"/>
      <c r="S110" s="687"/>
      <c r="T110" s="687"/>
      <c r="U110" s="687"/>
      <c r="V110" s="687"/>
      <c r="W110" s="687"/>
      <c r="X110" s="687"/>
      <c r="Y110" s="687"/>
      <c r="Z110" s="687"/>
      <c r="AA110" s="687"/>
      <c r="AB110" s="687"/>
      <c r="AC110" s="687"/>
      <c r="AD110" s="687"/>
      <c r="AE110" s="687"/>
      <c r="AF110" s="687"/>
      <c r="AG110" s="687"/>
      <c r="AH110" s="710"/>
      <c r="AI110" s="710"/>
      <c r="AJ110" s="710"/>
      <c r="AK110" s="710"/>
      <c r="AL110" s="710"/>
      <c r="AM110" s="710"/>
      <c r="AN110" s="710"/>
      <c r="AO110" s="710"/>
      <c r="AP110" s="710"/>
      <c r="AQ110" s="710"/>
      <c r="AR110" s="744"/>
      <c r="AS110" s="710"/>
      <c r="AT110" s="744"/>
      <c r="AU110" s="744"/>
      <c r="AV110" s="710"/>
      <c r="AW110" s="710"/>
      <c r="AX110" s="710"/>
      <c r="AY110" s="744"/>
      <c r="AZ110" s="744"/>
      <c r="BA110" s="710"/>
      <c r="BB110" s="710"/>
      <c r="BC110" s="710"/>
      <c r="BD110" s="744"/>
      <c r="BE110" s="744"/>
      <c r="BF110" s="710"/>
      <c r="BG110" s="710"/>
      <c r="BH110" s="744"/>
      <c r="BI110" s="744"/>
      <c r="BJ110" s="744"/>
      <c r="BK110" s="744"/>
      <c r="BL110" s="710"/>
      <c r="BM110" s="710"/>
      <c r="BN110" s="744"/>
      <c r="BO110" s="744"/>
      <c r="BP110" s="744"/>
      <c r="BQ110" s="710"/>
      <c r="BR110" s="710"/>
      <c r="BS110" s="710"/>
      <c r="BT110" s="744"/>
      <c r="BU110" s="744"/>
      <c r="BV110" s="710"/>
      <c r="BW110" s="710"/>
      <c r="BX110" s="710"/>
      <c r="BY110" s="744"/>
      <c r="BZ110" s="710"/>
      <c r="CC110" s="47"/>
      <c r="CD110" s="47"/>
      <c r="CF110" s="47"/>
      <c r="CG110" s="47"/>
      <c r="CH110" s="47"/>
      <c r="CI110" s="47"/>
      <c r="CZ110" s="710"/>
      <c r="DA110" s="750"/>
      <c r="DB110" s="710"/>
      <c r="DC110" s="710"/>
    </row>
    <row r="111" spans="1:113">
      <c r="A111" s="687"/>
      <c r="B111" s="687"/>
      <c r="C111" s="687"/>
      <c r="D111" s="687"/>
      <c r="E111" s="687"/>
      <c r="F111" s="687"/>
      <c r="G111" s="687"/>
      <c r="H111" s="687"/>
      <c r="I111" s="687"/>
      <c r="J111" s="687"/>
      <c r="K111" s="687"/>
      <c r="L111" s="687"/>
      <c r="M111" s="687"/>
      <c r="N111" s="687"/>
      <c r="O111" s="687"/>
      <c r="P111" s="687"/>
      <c r="Q111" s="687"/>
      <c r="R111" s="687"/>
      <c r="S111" s="687"/>
      <c r="T111" s="687"/>
      <c r="U111" s="687"/>
      <c r="V111" s="687"/>
      <c r="W111" s="687"/>
      <c r="X111" s="687"/>
      <c r="Y111" s="687"/>
      <c r="Z111" s="687"/>
      <c r="AA111" s="687"/>
      <c r="AB111" s="687"/>
      <c r="AC111" s="687"/>
      <c r="AD111" s="687"/>
      <c r="AE111" s="687"/>
      <c r="AF111" s="687"/>
      <c r="AG111" s="687"/>
      <c r="AH111" s="687"/>
      <c r="AI111" s="687"/>
      <c r="AJ111" s="687"/>
      <c r="AK111" s="687"/>
      <c r="AL111" s="687"/>
      <c r="AM111" s="687"/>
      <c r="AN111" s="687"/>
      <c r="AO111" s="687"/>
      <c r="AP111" s="687"/>
      <c r="AQ111" s="687"/>
      <c r="AR111" s="745"/>
      <c r="AS111" s="687"/>
      <c r="AT111" s="745"/>
      <c r="AU111" s="745"/>
      <c r="AV111" s="687"/>
      <c r="AW111" s="687"/>
      <c r="AX111" s="687"/>
      <c r="AY111" s="745"/>
      <c r="AZ111" s="745"/>
      <c r="BA111" s="687"/>
      <c r="BB111" s="687"/>
      <c r="BC111" s="687"/>
      <c r="BD111" s="745"/>
      <c r="BE111" s="745"/>
      <c r="BF111" s="687"/>
      <c r="BG111" s="687"/>
      <c r="BH111" s="745"/>
      <c r="BI111" s="745"/>
      <c r="BJ111" s="745"/>
      <c r="BK111" s="745"/>
      <c r="BL111" s="687"/>
      <c r="BM111" s="687"/>
      <c r="BN111" s="745"/>
      <c r="BO111" s="745"/>
      <c r="BP111" s="745"/>
      <c r="BQ111" s="687"/>
      <c r="BR111" s="687"/>
      <c r="BS111" s="687"/>
      <c r="BT111" s="745"/>
      <c r="BU111" s="745"/>
      <c r="BV111" s="687"/>
      <c r="BW111" s="687"/>
      <c r="BX111" s="687"/>
      <c r="BY111" s="745"/>
      <c r="BZ111" s="687"/>
      <c r="CC111" s="47"/>
      <c r="CD111" s="47"/>
      <c r="CF111" s="47"/>
      <c r="CG111" s="47"/>
      <c r="CH111" s="47"/>
      <c r="CI111" s="47"/>
      <c r="CZ111" s="687"/>
      <c r="DA111" s="687"/>
      <c r="DB111" s="687"/>
      <c r="DC111" s="687"/>
    </row>
    <row r="112" spans="1:113">
      <c r="A112" s="1050" t="s">
        <v>654</v>
      </c>
      <c r="B112" s="1050"/>
      <c r="C112" s="1050"/>
      <c r="D112" s="1050"/>
      <c r="E112" s="1050"/>
      <c r="F112" s="1050"/>
      <c r="G112" s="1050"/>
      <c r="H112" s="1050">
        <f t="shared" ref="H112:AM112" si="421">H87+H89</f>
        <v>32.33400000000001</v>
      </c>
      <c r="I112" s="1050">
        <f t="shared" si="421"/>
        <v>101.50900000000006</v>
      </c>
      <c r="J112" s="1050">
        <f t="shared" si="421"/>
        <v>39.301000000000037</v>
      </c>
      <c r="K112" s="1050">
        <f t="shared" si="421"/>
        <v>124.60899999999995</v>
      </c>
      <c r="L112" s="1050">
        <f t="shared" si="421"/>
        <v>297.7530000000001</v>
      </c>
      <c r="M112" s="1050">
        <f t="shared" si="421"/>
        <v>71.856999999999957</v>
      </c>
      <c r="N112" s="1050">
        <f t="shared" si="421"/>
        <v>116.39899999999996</v>
      </c>
      <c r="O112" s="1050">
        <f t="shared" si="421"/>
        <v>89.400999999999968</v>
      </c>
      <c r="P112" s="1050">
        <f t="shared" si="421"/>
        <v>116.02499999999998</v>
      </c>
      <c r="Q112" s="1050">
        <f t="shared" si="421"/>
        <v>393.68199999999979</v>
      </c>
      <c r="R112" s="1050">
        <f t="shared" si="421"/>
        <v>171.01699999999994</v>
      </c>
      <c r="S112" s="1050">
        <f t="shared" si="421"/>
        <v>134.50899999999996</v>
      </c>
      <c r="T112" s="1050">
        <f t="shared" si="421"/>
        <v>146.02899999999997</v>
      </c>
      <c r="U112" s="1050">
        <f t="shared" si="421"/>
        <v>168.96299999999999</v>
      </c>
      <c r="V112" s="1050">
        <f t="shared" si="421"/>
        <v>620.5179999999998</v>
      </c>
      <c r="W112" s="1050">
        <f t="shared" si="421"/>
        <v>152.58500000000001</v>
      </c>
      <c r="X112" s="1050">
        <f t="shared" si="421"/>
        <v>161.85799999999986</v>
      </c>
      <c r="Y112" s="1050">
        <f t="shared" si="421"/>
        <v>155.55099999999993</v>
      </c>
      <c r="Z112" s="1050">
        <f t="shared" si="421"/>
        <v>211.48400000000004</v>
      </c>
      <c r="AA112" s="1050">
        <f t="shared" si="421"/>
        <v>681.47799999999984</v>
      </c>
      <c r="AB112" s="1050">
        <f t="shared" si="421"/>
        <v>166.16700000000009</v>
      </c>
      <c r="AC112" s="1050">
        <f t="shared" si="421"/>
        <v>221.58300000000003</v>
      </c>
      <c r="AD112" s="1050">
        <f t="shared" si="421"/>
        <v>161.33899999999997</v>
      </c>
      <c r="AE112" s="1050">
        <f t="shared" si="421"/>
        <v>213.13499999999999</v>
      </c>
      <c r="AF112" s="1050">
        <f t="shared" si="421"/>
        <v>762.22399999999971</v>
      </c>
      <c r="AG112" s="1050">
        <f t="shared" si="421"/>
        <v>222.21800000000013</v>
      </c>
      <c r="AH112" s="1050">
        <f t="shared" si="421"/>
        <v>321.91499999999996</v>
      </c>
      <c r="AI112" s="1050">
        <f t="shared" si="421"/>
        <v>393.00999999999988</v>
      </c>
      <c r="AJ112" s="1050">
        <f t="shared" si="421"/>
        <v>369.89599999999979</v>
      </c>
      <c r="AK112" s="1050">
        <f t="shared" si="421"/>
        <v>1307.0389999999998</v>
      </c>
      <c r="AL112" s="1050">
        <f t="shared" si="421"/>
        <v>373.03200000000004</v>
      </c>
      <c r="AM112" s="1050">
        <f t="shared" si="421"/>
        <v>309.38799999999998</v>
      </c>
      <c r="AN112" s="1050">
        <f t="shared" ref="AN112:BS112" si="422">AN87+AN89</f>
        <v>171.9609999999999</v>
      </c>
      <c r="AO112" s="1050">
        <f t="shared" si="422"/>
        <v>314.5089999999999</v>
      </c>
      <c r="AP112" s="1050">
        <f t="shared" si="422"/>
        <v>1168.8899999999999</v>
      </c>
      <c r="AQ112" s="1050">
        <f t="shared" si="422"/>
        <v>349.82699999999994</v>
      </c>
      <c r="AR112" s="1050">
        <f t="shared" si="422"/>
        <v>251.21700000000004</v>
      </c>
      <c r="AS112" s="1050">
        <f t="shared" si="422"/>
        <v>178.25000000000014</v>
      </c>
      <c r="AT112" s="1050">
        <f t="shared" si="422"/>
        <v>218.88600000000002</v>
      </c>
      <c r="AU112" s="1050">
        <f t="shared" si="422"/>
        <v>998.18000000000018</v>
      </c>
      <c r="AV112" s="1050">
        <f t="shared" si="422"/>
        <v>276.84199999999993</v>
      </c>
      <c r="AW112" s="1050">
        <f t="shared" si="422"/>
        <v>246.06200000000001</v>
      </c>
      <c r="AX112" s="1050">
        <f t="shared" si="422"/>
        <v>301.15399999999994</v>
      </c>
      <c r="AY112" s="1050">
        <f t="shared" si="422"/>
        <v>260.78399999999976</v>
      </c>
      <c r="AZ112" s="1050">
        <f t="shared" si="422"/>
        <v>975.49399999999969</v>
      </c>
      <c r="BA112" s="1050">
        <f t="shared" si="422"/>
        <v>313.40199999999999</v>
      </c>
      <c r="BB112" s="1050">
        <f t="shared" si="422"/>
        <v>390.459</v>
      </c>
      <c r="BC112" s="1050">
        <f t="shared" si="422"/>
        <v>261.01300000000003</v>
      </c>
      <c r="BD112" s="1050">
        <f t="shared" si="422"/>
        <v>469.25499999999994</v>
      </c>
      <c r="BE112" s="1050">
        <f t="shared" si="422"/>
        <v>1333.02</v>
      </c>
      <c r="BF112" s="1050">
        <f t="shared" si="422"/>
        <v>263.27499999999992</v>
      </c>
      <c r="BG112" s="1050">
        <f t="shared" si="422"/>
        <v>387.45099999999991</v>
      </c>
      <c r="BH112" s="1050">
        <f t="shared" si="422"/>
        <v>185.90800000000002</v>
      </c>
      <c r="BI112" s="1050">
        <f t="shared" si="422"/>
        <v>391.87</v>
      </c>
      <c r="BJ112" s="1050">
        <f t="shared" si="422"/>
        <v>1228.5039999999997</v>
      </c>
      <c r="BK112" s="1050">
        <f t="shared" si="422"/>
        <v>261.84100000000001</v>
      </c>
      <c r="BL112" s="1050">
        <f t="shared" si="422"/>
        <v>252.89900000000003</v>
      </c>
      <c r="BM112" s="1050">
        <f t="shared" si="422"/>
        <v>168.72699999999992</v>
      </c>
      <c r="BN112" s="1050">
        <f t="shared" si="422"/>
        <v>279.86099999999999</v>
      </c>
      <c r="BO112" s="1050">
        <f t="shared" si="422"/>
        <v>963.3280000000002</v>
      </c>
      <c r="BP112" s="1050">
        <f t="shared" si="422"/>
        <v>222.27999999999997</v>
      </c>
      <c r="BQ112" s="1050">
        <f t="shared" si="422"/>
        <v>340.33800000000002</v>
      </c>
      <c r="BR112" s="1050">
        <f t="shared" si="422"/>
        <v>213.55400000000003</v>
      </c>
      <c r="BS112" s="1050">
        <f t="shared" si="422"/>
        <v>362.97800000000001</v>
      </c>
      <c r="BT112" s="1050">
        <f t="shared" ref="BT112:CN112" si="423">BT87+BT89</f>
        <v>1139.1500000000001</v>
      </c>
      <c r="BU112" s="1050">
        <f t="shared" si="423"/>
        <v>166.51300000000009</v>
      </c>
      <c r="BV112" s="1050">
        <f t="shared" si="423"/>
        <v>435.75399999999991</v>
      </c>
      <c r="BW112" s="1050">
        <f t="shared" si="423"/>
        <v>311.50400000000008</v>
      </c>
      <c r="BX112" s="1050">
        <f t="shared" si="423"/>
        <v>389.83900000000006</v>
      </c>
      <c r="BY112" s="1050">
        <f t="shared" si="423"/>
        <v>1284.566</v>
      </c>
      <c r="BZ112" s="1050">
        <f>BZ87+BZ89</f>
        <v>451.32700000000011</v>
      </c>
      <c r="CA112" s="1050">
        <f t="shared" si="423"/>
        <v>434.9559999999999</v>
      </c>
      <c r="CB112" s="1050">
        <f t="shared" si="423"/>
        <v>462.67200000000003</v>
      </c>
      <c r="CC112" s="1050">
        <f t="shared" si="423"/>
        <v>646.96799999999996</v>
      </c>
      <c r="CD112" s="1050">
        <f>CD87+CD89</f>
        <v>1995.923</v>
      </c>
      <c r="CE112" s="1050">
        <f>CE87+CE89</f>
        <v>699.4670000000001</v>
      </c>
      <c r="CF112" s="1050">
        <f>CF87+CF89</f>
        <v>589.53</v>
      </c>
      <c r="CG112" s="1050">
        <f>CG87+CG89</f>
        <v>650.19799999999987</v>
      </c>
      <c r="CH112" s="1050">
        <f t="shared" si="423"/>
        <v>795.53600000000006</v>
      </c>
      <c r="CI112" s="1050">
        <f t="shared" si="423"/>
        <v>2734.7310000000002</v>
      </c>
      <c r="CJ112" s="1050">
        <f t="shared" si="423"/>
        <v>894.45900000000029</v>
      </c>
      <c r="CK112" s="1050">
        <f t="shared" si="423"/>
        <v>799.74632952084073</v>
      </c>
      <c r="CL112" s="1050">
        <f>CL87+CL89</f>
        <v>850.94070383522808</v>
      </c>
      <c r="CM112" s="1050">
        <f t="shared" si="423"/>
        <v>1134.2820660858208</v>
      </c>
      <c r="CN112" s="1050">
        <f t="shared" si="423"/>
        <v>3679.4280994418905</v>
      </c>
      <c r="CO112" s="1050">
        <f t="shared" ref="CO112:CX112" si="424">CO87+CO89</f>
        <v>937.34484019847514</v>
      </c>
      <c r="CP112" s="1050">
        <f t="shared" si="424"/>
        <v>921.41475993162646</v>
      </c>
      <c r="CQ112" s="1050">
        <f t="shared" si="424"/>
        <v>975.19810899253673</v>
      </c>
      <c r="CR112" s="1050">
        <f t="shared" si="424"/>
        <v>1300.137917661564</v>
      </c>
      <c r="CS112" s="1050">
        <f t="shared" si="424"/>
        <v>4134.0956267842021</v>
      </c>
      <c r="CT112" s="1050">
        <f t="shared" si="424"/>
        <v>1155.4463644890097</v>
      </c>
      <c r="CU112" s="1050">
        <f t="shared" si="424"/>
        <v>1091.3165695148596</v>
      </c>
      <c r="CV112" s="1050">
        <f t="shared" si="424"/>
        <v>1145.0429165024534</v>
      </c>
      <c r="CW112" s="1050">
        <f t="shared" si="424"/>
        <v>1508.8703236346018</v>
      </c>
      <c r="CX112" s="1050">
        <f t="shared" si="424"/>
        <v>4900.6761741409246</v>
      </c>
      <c r="CY112" s="1050"/>
      <c r="CZ112" s="1050"/>
      <c r="DA112" s="1050"/>
      <c r="DB112" s="1050"/>
      <c r="DC112" s="1050"/>
    </row>
    <row r="113" spans="1:107">
      <c r="A113" s="687"/>
      <c r="B113" s="687"/>
      <c r="C113" s="687"/>
      <c r="D113" s="687"/>
      <c r="E113" s="687"/>
      <c r="F113" s="687"/>
      <c r="G113" s="687"/>
      <c r="H113" s="687"/>
      <c r="I113" s="687"/>
      <c r="J113" s="687"/>
      <c r="K113" s="687"/>
      <c r="L113" s="687"/>
      <c r="M113" s="687"/>
      <c r="N113" s="687"/>
      <c r="O113" s="687"/>
      <c r="P113" s="687"/>
      <c r="Q113" s="687"/>
      <c r="R113" s="687"/>
      <c r="S113" s="687"/>
      <c r="T113" s="687"/>
      <c r="U113" s="687"/>
      <c r="V113" s="687"/>
      <c r="W113" s="687"/>
      <c r="X113" s="687"/>
      <c r="Y113" s="687"/>
      <c r="Z113" s="687"/>
      <c r="AA113" s="687"/>
      <c r="AB113" s="687"/>
      <c r="AC113" s="687"/>
      <c r="AD113" s="687"/>
      <c r="AE113" s="687"/>
      <c r="AF113" s="687"/>
      <c r="AG113" s="687"/>
      <c r="AH113" s="687"/>
      <c r="AI113" s="687"/>
      <c r="AJ113" s="687"/>
      <c r="AK113" s="687"/>
      <c r="AL113" s="687"/>
      <c r="AM113" s="687"/>
      <c r="AN113" s="687"/>
      <c r="AO113" s="687"/>
      <c r="AP113" s="687"/>
      <c r="AQ113" s="687"/>
      <c r="AR113" s="745"/>
      <c r="AS113" s="687"/>
      <c r="AT113" s="745"/>
      <c r="AU113" s="745"/>
      <c r="AV113" s="687"/>
      <c r="AW113" s="687"/>
      <c r="AX113" s="687"/>
      <c r="AY113" s="745"/>
      <c r="AZ113" s="745"/>
      <c r="BA113" s="687"/>
      <c r="BB113" s="687"/>
      <c r="BC113" s="745"/>
      <c r="BD113" s="745"/>
      <c r="BE113" s="745"/>
      <c r="BF113" s="687"/>
      <c r="BG113" s="687"/>
      <c r="BH113" s="745"/>
      <c r="BI113" s="745"/>
      <c r="BJ113" s="745"/>
      <c r="BK113" s="745"/>
      <c r="BL113" s="687"/>
      <c r="BM113" s="687"/>
      <c r="BN113" s="745"/>
      <c r="BO113" s="745"/>
      <c r="BP113" s="745"/>
      <c r="BQ113" s="687"/>
      <c r="BR113" s="687"/>
      <c r="BS113" s="687"/>
      <c r="BT113" s="745"/>
      <c r="BU113" s="745"/>
      <c r="BV113" s="687"/>
      <c r="BW113" s="687"/>
      <c r="BX113" s="687"/>
      <c r="BY113" s="745"/>
      <c r="BZ113" s="687"/>
      <c r="CA113" s="687"/>
      <c r="CB113" s="745"/>
      <c r="CC113" s="687"/>
      <c r="CD113" s="687"/>
      <c r="CE113" s="745"/>
      <c r="CF113" s="687"/>
      <c r="CG113" s="687"/>
      <c r="CH113" s="687"/>
      <c r="CI113" s="687"/>
      <c r="CJ113" s="745"/>
      <c r="CK113" s="745"/>
      <c r="CL113" s="745"/>
      <c r="CM113" s="745"/>
      <c r="CN113" s="745"/>
      <c r="CO113" s="745"/>
      <c r="CP113" s="745"/>
      <c r="CQ113" s="745"/>
      <c r="CR113" s="745"/>
      <c r="CS113" s="745"/>
      <c r="CT113" s="745"/>
      <c r="CU113" s="745"/>
      <c r="CV113" s="745"/>
      <c r="CW113" s="745"/>
      <c r="CX113" s="745"/>
      <c r="CY113" s="745"/>
      <c r="CZ113" s="687"/>
      <c r="DA113" s="687"/>
      <c r="DB113" s="687"/>
      <c r="DC113" s="687"/>
    </row>
    <row r="114" spans="1:107">
      <c r="A114" s="828" t="s">
        <v>647</v>
      </c>
      <c r="B114" s="828"/>
      <c r="C114" s="828"/>
      <c r="D114" s="828"/>
      <c r="E114" s="828"/>
      <c r="F114" s="828"/>
      <c r="G114" s="828"/>
      <c r="H114" s="1051">
        <f>H112-Model!H76*(1-Model!H82)</f>
        <v>28.982249516839754</v>
      </c>
      <c r="I114" s="1051">
        <f>I112-Model!I76*(1-Model!I82)</f>
        <v>99.649186757986314</v>
      </c>
      <c r="J114" s="1051">
        <f>J112-Model!J76*(1-Model!J82)</f>
        <v>36.485139322376646</v>
      </c>
      <c r="K114" s="1051">
        <f>K112-Model!K76*(1-Model!K82)</f>
        <v>122.54044420267326</v>
      </c>
      <c r="L114" s="1051">
        <f>L112-Model!L76*(1-Model!L82)</f>
        <v>287.65701908652335</v>
      </c>
      <c r="M114" s="1051">
        <f>M112-Model!M76*(1-Model!M82)</f>
        <v>69.505834618629422</v>
      </c>
      <c r="N114" s="1051">
        <f>N112-Model!N76*(1-Model!N82)</f>
        <v>113.78121099993703</v>
      </c>
      <c r="O114" s="1051">
        <f>O112-Model!O76*(1-Model!O82)</f>
        <v>87.399992653112889</v>
      </c>
      <c r="P114" s="1051">
        <f>P112-Model!P76*(1-Model!P82)</f>
        <v>113.61864147538493</v>
      </c>
      <c r="Q114" s="1051">
        <f>Q112-Model!Q76*(1-Model!Q82)</f>
        <v>384.26316250830507</v>
      </c>
      <c r="R114" s="1051">
        <f>R112-Model!R76*(1-Model!R82)</f>
        <v>168.03330939543551</v>
      </c>
      <c r="S114" s="1051">
        <f>S112-Model!S76*(1-Model!S82)</f>
        <v>130.7150144183008</v>
      </c>
      <c r="T114" s="1051">
        <f>T112-Model!T76*(1-Model!T82)</f>
        <v>144.29516653231173</v>
      </c>
      <c r="U114" s="1051">
        <f>U112-Model!U76*(1-Model!U82)</f>
        <v>166.85918533460213</v>
      </c>
      <c r="V114" s="1051">
        <f>V112-Model!V76*(1-Model!V82)</f>
        <v>609.90267302054463</v>
      </c>
      <c r="W114" s="1051">
        <f>W112-Model!W76*(1-Model!W82)</f>
        <v>146.86476069171636</v>
      </c>
      <c r="X114" s="1051">
        <f>X112-Model!X76*(1-Model!X82)</f>
        <v>155.62923910156462</v>
      </c>
      <c r="Y114" s="1051">
        <f>Y112-Model!Y76*(1-Model!Y82)</f>
        <v>146.27167436023012</v>
      </c>
      <c r="Z114" s="1051">
        <f>Z112-Model!Z76*(1-Model!Z82)</f>
        <v>203.77550813219204</v>
      </c>
      <c r="AA114" s="1051">
        <f>AA112-Model!AA76*(1-Model!AA82)</f>
        <v>652.53377200333193</v>
      </c>
      <c r="AB114" s="1051">
        <f>AB112-Model!AB76*(1-Model!AB82)</f>
        <v>154.65848493522884</v>
      </c>
      <c r="AC114" s="1051">
        <f>AC112-Model!AC76*(1-Model!AC82)</f>
        <v>211.31730412772285</v>
      </c>
      <c r="AD114" s="1051">
        <f>AD112-Model!AD76*(1-Model!AD82)</f>
        <v>147.57062678784595</v>
      </c>
      <c r="AE114" s="1051">
        <f>AE112-Model!AE76*(1-Model!AE82)</f>
        <v>199.00712557430617</v>
      </c>
      <c r="AF114" s="1051">
        <f>AF112-Model!AF76*(1-Model!AF82)</f>
        <v>712.59746095057051</v>
      </c>
      <c r="AG114" s="1051">
        <f>AG112-Model!AG76*(1-Model!AG82)</f>
        <v>205.50064090224473</v>
      </c>
      <c r="AH114" s="1051">
        <f>AH112-Model!AH76*(1-Model!AH82)</f>
        <v>306.7474117779239</v>
      </c>
      <c r="AI114" s="1051">
        <f>AI112-Model!AI76*(1-Model!AI82)</f>
        <v>376.21597980309241</v>
      </c>
      <c r="AJ114" s="1051">
        <f>AJ112-Model!AJ76*(1-Model!AJ82)</f>
        <v>357.0727313766414</v>
      </c>
      <c r="AK114" s="1051">
        <f>AK112-Model!AK76*(1-Model!AK82)</f>
        <v>1245.3815554980231</v>
      </c>
      <c r="AL114" s="1051">
        <f>AL112-Model!AL76*(1-Model!AL82)</f>
        <v>364.63020975803386</v>
      </c>
      <c r="AM114" s="1051">
        <f>AM112-Model!AM76*(1-Model!AM82)</f>
        <v>303.04725808262953</v>
      </c>
      <c r="AN114" s="1051">
        <f>AN112-Model!AN76*(1-Model!AN82)</f>
        <v>166.75085672129219</v>
      </c>
      <c r="AO114" s="1051">
        <f>AO112-Model!AO76*(1-Model!AO82)</f>
        <v>308.56290437765085</v>
      </c>
      <c r="AP114" s="1051">
        <f>AP112-Model!AP76*(1-Model!AP82)</f>
        <v>1142.8019314134367</v>
      </c>
      <c r="AQ114" s="1051">
        <f>AQ112-Model!AQ76*(1-Model!AQ82)</f>
        <v>340.20814334221228</v>
      </c>
      <c r="AR114" s="1051">
        <f>AR112-Model!AR76*(1-Model!AR82)</f>
        <v>248.01776429439639</v>
      </c>
      <c r="AS114" s="1051">
        <f>AS112-Model!AS76*(1-Model!AS82)</f>
        <v>173.50165622533882</v>
      </c>
      <c r="AT114" s="1051">
        <f>AT112-Model!AT76*(1-Model!AT82)</f>
        <v>214.99061378284583</v>
      </c>
      <c r="AU114" s="1051">
        <f>AU112-Model!AU76*(1-Model!AU82)</f>
        <v>976.74018014260741</v>
      </c>
      <c r="AV114" s="1051">
        <f>AV112-Model!AV76*(1-Model!AV82)</f>
        <v>282.15499999999992</v>
      </c>
      <c r="AW114" s="1051">
        <f>AW112-Model!AW76*(1-Model!AW82)</f>
        <v>262.85374999999999</v>
      </c>
      <c r="AX114" s="1051">
        <f>AX112-Model!AX76*(1-Model!AX82)</f>
        <v>307.78794100257335</v>
      </c>
      <c r="AY114" s="1051">
        <f>AY112-Model!AY76*(1-Model!AY82)</f>
        <v>264.97632742899708</v>
      </c>
      <c r="AZ114" s="1051">
        <f>AZ112-Model!AZ76*(1-Model!AZ82)</f>
        <v>1008.4761622610738</v>
      </c>
      <c r="BA114" s="1051">
        <f>BA112-Model!BA76*(1-Model!BA82)</f>
        <v>327.31486279962223</v>
      </c>
      <c r="BB114" s="1051">
        <f>BB112-Model!BB76*(1-Model!BB82)</f>
        <v>404.16293136118418</v>
      </c>
      <c r="BC114" s="1051">
        <f>BC112-Model!BC76*(1-Model!BC82)</f>
        <v>273.80301235330455</v>
      </c>
      <c r="BD114" s="1051">
        <f>BD112-Model!BD76*(1-Model!BD82)</f>
        <v>483.37558302830485</v>
      </c>
      <c r="BE114" s="1051">
        <f>BE112-Model!BE76*(1-Model!BE82)</f>
        <v>1387.5474735313423</v>
      </c>
      <c r="BF114" s="1051">
        <f>BF112-Model!BF76*(1-Model!BF82)</f>
        <v>278.46880134774625</v>
      </c>
      <c r="BG114" s="1051">
        <f>BG112-Model!BG76*(1-Model!BG82)</f>
        <v>401.21198603207438</v>
      </c>
      <c r="BH114" s="1051">
        <f>BH112-Model!BH76*(1-Model!BH82)</f>
        <v>198.3356408891064</v>
      </c>
      <c r="BI114" s="1051">
        <f>BI112-Model!BI76*(1-Model!BI82)</f>
        <v>405.42284768111853</v>
      </c>
      <c r="BJ114" s="1051">
        <f>BJ112-Model!BJ76*(1-Model!BJ82)</f>
        <v>1283.4388559533195</v>
      </c>
      <c r="BK114" s="1051">
        <f>BK112-Model!BK76*(1-Model!BK82)</f>
        <v>274.16010268930188</v>
      </c>
      <c r="BL114" s="1051">
        <f>BL112-Model!BL76*(1-Model!BL82)</f>
        <v>264.77910371193144</v>
      </c>
      <c r="BM114" s="1051">
        <f>BM112-Model!BM76*(1-Model!BM82)</f>
        <v>180.59480656885171</v>
      </c>
      <c r="BN114" s="1051">
        <f>BN112-Model!BN76*(1-Model!BN82)</f>
        <v>292.5189471016788</v>
      </c>
      <c r="BO114" s="1051">
        <f>BO112-Model!BO76*(1-Model!BO82)</f>
        <v>1012.0548607142491</v>
      </c>
      <c r="BP114" s="1051">
        <f>BP112-Model!BP76*(1-Model!BP82)</f>
        <v>232.90283892729587</v>
      </c>
      <c r="BQ114" s="1051">
        <f>BQ112-Model!BQ76*(1-Model!BQ82)</f>
        <v>351.82483677969844</v>
      </c>
      <c r="BR114" s="1051">
        <f>BR112-Model!BR76*(1-Model!BR82)</f>
        <v>222.96115753632475</v>
      </c>
      <c r="BS114" s="1051">
        <f>BS112-Model!BS76*(1-Model!BS82)</f>
        <v>372.91106075509907</v>
      </c>
      <c r="BT114" s="1051">
        <f>BT112-Model!BT76*(1-Model!BT82)</f>
        <v>1180.5997843122434</v>
      </c>
      <c r="BU114" s="1051">
        <f>BU112-Model!BU76*(1-Model!BU82)</f>
        <v>175.36765289052465</v>
      </c>
      <c r="BV114" s="1051">
        <f>BV112-Model!BV76*(1-Model!BV82)</f>
        <v>445.91838617410997</v>
      </c>
      <c r="BW114" s="1051">
        <f>BW112-Model!BW76*(1-Model!BW82)</f>
        <v>321.05217851119249</v>
      </c>
      <c r="BX114" s="1051">
        <f>BX112-Model!BX76*(1-Model!BX82)</f>
        <v>402.10878671004428</v>
      </c>
      <c r="BY114" s="1051">
        <f>BY112-Model!BY76*(1-Model!BY82)</f>
        <v>1325.4029888857476</v>
      </c>
      <c r="BZ114" s="1051">
        <f>BZ112-Model!BZ76*(1-Model!BZ82)</f>
        <v>462.61048248074474</v>
      </c>
      <c r="CA114" s="1051">
        <f>CA112-Model!CA76*(1-Model!CA82)</f>
        <v>443.7183638161834</v>
      </c>
      <c r="CB114" s="1051">
        <f>CB112-Model!CB76*(1-Model!CB82)</f>
        <v>474.17125313324232</v>
      </c>
      <c r="CC114" s="1051">
        <f>CC112-Model!CC76*(1-Model!CC82)</f>
        <v>660.38805102931667</v>
      </c>
      <c r="CD114" s="1051">
        <f>CD112-Model!CD76*(1-Model!CD82)</f>
        <v>2040.8881551967763</v>
      </c>
      <c r="CE114" s="1051">
        <f>CE112-Model!CE76*(1-Model!CE82)</f>
        <v>708.09689834584663</v>
      </c>
      <c r="CF114" s="1051">
        <f>CF112-Model!CF76*(1-Model!CF82)</f>
        <v>599.95277408828667</v>
      </c>
      <c r="CG114" s="1051">
        <f>CG112-Model!CG76*(1-Model!CG82)</f>
        <v>654.3613054593169</v>
      </c>
      <c r="CH114" s="1051">
        <f>CH112-Model!CH76*(1-Model!CH82)</f>
        <v>802.34659164654659</v>
      </c>
      <c r="CI114" s="1051">
        <f>CI112-Model!CI76*(1-Model!CI82)</f>
        <v>2764.7577177838698</v>
      </c>
      <c r="CJ114" s="1051">
        <f>CJ112-Model!CJ76*(1-Model!CJ82)</f>
        <v>897.33443492336755</v>
      </c>
      <c r="CK114" s="1051">
        <f>CK112-Model!CK76*(1-Model!CK82)</f>
        <v>802.00604534534011</v>
      </c>
      <c r="CL114" s="1051">
        <f>CL112-Model!CL76*(1-Model!CL82)</f>
        <v>852.51206117121956</v>
      </c>
      <c r="CM114" s="1051">
        <f>CM112-Model!CM76*(1-Model!CM82)</f>
        <v>1139.412974648631</v>
      </c>
      <c r="CN114" s="1051">
        <f>CN112-Model!CN76*(1-Model!CN82)</f>
        <v>3691.2655160885588</v>
      </c>
      <c r="CO114" s="1051">
        <f>CO112-Model!CO76*(1-Model!CO82)</f>
        <v>946.72494584479034</v>
      </c>
      <c r="CP114" s="1051">
        <f>CP112-Model!CP76*(1-Model!CP82)</f>
        <v>930.3017187300884</v>
      </c>
      <c r="CQ114" s="1051">
        <f>CQ112-Model!CQ76*(1-Model!CQ82)</f>
        <v>983.61597061889802</v>
      </c>
      <c r="CR114" s="1051">
        <f>CR112-Model!CR76*(1-Model!CR82)</f>
        <v>1308.0539482800052</v>
      </c>
      <c r="CS114" s="1051">
        <f>CS112-Model!CS76*(1-Model!CS82)</f>
        <v>4168.6965834737821</v>
      </c>
      <c r="CT114" s="1051">
        <f>CT112-Model!CT76*(1-Model!CT82)</f>
        <v>1162.6058767164075</v>
      </c>
      <c r="CU114" s="1051">
        <f>CU112-Model!CU76*(1-Model!CU82)</f>
        <v>1097.8503821436786</v>
      </c>
      <c r="CV114" s="1051">
        <f>CV112-Model!CV76*(1-Model!CV82)</f>
        <v>1151.016210327811</v>
      </c>
      <c r="CW114" s="1051">
        <f>CW112-Model!CW76*(1-Model!CW82)</f>
        <v>1514.252074737816</v>
      </c>
      <c r="CX114" s="1051">
        <f>CX112-Model!CX76*(1-Model!CX82)</f>
        <v>4925.7245439257131</v>
      </c>
      <c r="CY114" s="1051"/>
      <c r="CZ114" s="828"/>
      <c r="DA114" s="828"/>
      <c r="DB114" s="828"/>
      <c r="DC114" s="828"/>
    </row>
    <row r="115" spans="1:107">
      <c r="A115" s="113" t="s">
        <v>648</v>
      </c>
      <c r="B115" s="113"/>
      <c r="C115" s="113"/>
      <c r="D115" s="113"/>
      <c r="E115" s="113"/>
      <c r="F115" s="113"/>
      <c r="G115" s="113"/>
      <c r="H115" s="113"/>
      <c r="I115" s="113"/>
      <c r="J115" s="113"/>
      <c r="K115" s="113"/>
      <c r="L115" s="113"/>
      <c r="M115" s="826">
        <f>M114/H114-1</f>
        <v>1.3982208343849902</v>
      </c>
      <c r="N115" s="826">
        <f t="shared" ref="N115:AW115" si="425">N114/I114-1</f>
        <v>0.14181775789372519</v>
      </c>
      <c r="O115" s="826">
        <f t="shared" si="425"/>
        <v>1.3954956531989926</v>
      </c>
      <c r="P115" s="826">
        <f t="shared" si="425"/>
        <v>-7.2807004947136433E-2</v>
      </c>
      <c r="Q115" s="826">
        <f t="shared" si="425"/>
        <v>0.33583794940433531</v>
      </c>
      <c r="R115" s="826">
        <f t="shared" si="425"/>
        <v>1.4175425029771254</v>
      </c>
      <c r="S115" s="826">
        <f t="shared" si="425"/>
        <v>0.14882776575803125</v>
      </c>
      <c r="T115" s="826">
        <f t="shared" si="425"/>
        <v>0.65097458423152887</v>
      </c>
      <c r="U115" s="826">
        <f t="shared" si="425"/>
        <v>0.46858986490127652</v>
      </c>
      <c r="V115" s="826">
        <f t="shared" si="425"/>
        <v>0.58720047229966466</v>
      </c>
      <c r="W115" s="826">
        <f t="shared" si="425"/>
        <v>-0.12597828835176283</v>
      </c>
      <c r="X115" s="826">
        <f t="shared" si="425"/>
        <v>0.19059956344063034</v>
      </c>
      <c r="Y115" s="826">
        <f t="shared" si="425"/>
        <v>1.3697671761415453E-2</v>
      </c>
      <c r="Z115" s="826">
        <f t="shared" si="425"/>
        <v>0.22124237705920557</v>
      </c>
      <c r="AA115" s="826">
        <f t="shared" si="425"/>
        <v>6.9898199940093164E-2</v>
      </c>
      <c r="AB115" s="826">
        <f t="shared" si="425"/>
        <v>5.3067353984747045E-2</v>
      </c>
      <c r="AC115" s="826">
        <f t="shared" si="425"/>
        <v>0.35782520911649418</v>
      </c>
      <c r="AD115" s="826">
        <f t="shared" si="425"/>
        <v>8.8804099173489526E-3</v>
      </c>
      <c r="AE115" s="826">
        <f t="shared" si="425"/>
        <v>-2.3400175033756021E-2</v>
      </c>
      <c r="AF115" s="826">
        <f t="shared" si="425"/>
        <v>9.2046866421699791E-2</v>
      </c>
      <c r="AG115" s="826">
        <f t="shared" si="425"/>
        <v>0.32873822595836644</v>
      </c>
      <c r="AH115" s="826">
        <f t="shared" si="425"/>
        <v>0.45159627624494902</v>
      </c>
      <c r="AI115" s="826">
        <f t="shared" si="425"/>
        <v>1.5493960959043505</v>
      </c>
      <c r="AJ115" s="826">
        <f t="shared" si="425"/>
        <v>0.79427108625472798</v>
      </c>
      <c r="AK115" s="826">
        <f t="shared" si="425"/>
        <v>0.74766487918262348</v>
      </c>
      <c r="AL115" s="826">
        <f t="shared" si="425"/>
        <v>0.77435071811521006</v>
      </c>
      <c r="AM115" s="826">
        <f t="shared" si="425"/>
        <v>-1.2062542512903618E-2</v>
      </c>
      <c r="AN115" s="826">
        <f t="shared" si="425"/>
        <v>-0.55676827760328551</v>
      </c>
      <c r="AO115" s="826">
        <f t="shared" si="425"/>
        <v>-0.13585419085901085</v>
      </c>
      <c r="AP115" s="826">
        <f t="shared" si="425"/>
        <v>-8.2368029004223686E-2</v>
      </c>
      <c r="AQ115" s="826">
        <f t="shared" si="425"/>
        <v>-6.6977627640967818E-2</v>
      </c>
      <c r="AR115" s="826">
        <f t="shared" si="425"/>
        <v>-0.18158716939530495</v>
      </c>
      <c r="AS115" s="826">
        <f t="shared" si="425"/>
        <v>4.0484346748094646E-2</v>
      </c>
      <c r="AT115" s="826">
        <f t="shared" si="425"/>
        <v>-0.303251911578722</v>
      </c>
      <c r="AU115" s="826">
        <f t="shared" si="425"/>
        <v>-0.14531105234083852</v>
      </c>
      <c r="AV115" s="826">
        <f t="shared" si="425"/>
        <v>-0.17064007572510465</v>
      </c>
      <c r="AW115" s="826">
        <f t="shared" si="425"/>
        <v>5.981823821294241E-2</v>
      </c>
      <c r="AX115" s="826">
        <f t="shared" ref="AX115:BO115" si="426">AX114/AS114-1</f>
        <v>0.77397696194223919</v>
      </c>
      <c r="AY115" s="826">
        <f t="shared" si="426"/>
        <v>0.23250184166942289</v>
      </c>
      <c r="AZ115" s="826">
        <f t="shared" si="426"/>
        <v>3.2491733998117001E-2</v>
      </c>
      <c r="BA115" s="826">
        <f t="shared" si="426"/>
        <v>0.1600533848403265</v>
      </c>
      <c r="BB115" s="826">
        <f t="shared" si="426"/>
        <v>0.53759621599914098</v>
      </c>
      <c r="BC115" s="826">
        <f t="shared" si="426"/>
        <v>-0.11041669968799928</v>
      </c>
      <c r="BD115" s="826">
        <f t="shared" si="426"/>
        <v>0.8242217624434014</v>
      </c>
      <c r="BE115" s="826">
        <f t="shared" si="426"/>
        <v>0.37588524692578185</v>
      </c>
      <c r="BF115" s="826">
        <f t="shared" si="426"/>
        <v>-0.14923264111528867</v>
      </c>
      <c r="BG115" s="826">
        <f t="shared" si="426"/>
        <v>-7.3013755100480582E-3</v>
      </c>
      <c r="BH115" s="826">
        <f t="shared" si="426"/>
        <v>-0.27562652001365873</v>
      </c>
      <c r="BI115" s="826">
        <f t="shared" si="426"/>
        <v>-0.1612674245124659</v>
      </c>
      <c r="BJ115" s="826">
        <f t="shared" si="426"/>
        <v>-7.5030670707838087E-2</v>
      </c>
      <c r="BK115" s="826">
        <f t="shared" si="426"/>
        <v>-1.547282366136149E-2</v>
      </c>
      <c r="BL115" s="826">
        <f t="shared" si="426"/>
        <v>-0.34005186053747649</v>
      </c>
      <c r="BM115" s="826">
        <f t="shared" si="426"/>
        <v>-8.9448544097901039E-2</v>
      </c>
      <c r="BN115" s="826">
        <f t="shared" si="426"/>
        <v>-0.27848430650914668</v>
      </c>
      <c r="BO115" s="826">
        <f t="shared" si="426"/>
        <v>-0.21145066161916248</v>
      </c>
      <c r="BP115" s="826">
        <f t="shared" ref="BP115:BW115" si="427">BP114/BK114-1</f>
        <v>-0.15048602388642129</v>
      </c>
      <c r="BQ115" s="826">
        <f t="shared" si="427"/>
        <v>0.32874849958880858</v>
      </c>
      <c r="BR115" s="826">
        <f t="shared" si="427"/>
        <v>0.23459340704418818</v>
      </c>
      <c r="BS115" s="826">
        <f t="shared" si="427"/>
        <v>0.27482703069307912</v>
      </c>
      <c r="BT115" s="826">
        <f t="shared" si="427"/>
        <v>0.16653733917057134</v>
      </c>
      <c r="BU115" s="826">
        <f t="shared" si="427"/>
        <v>-0.24703514264474769</v>
      </c>
      <c r="BV115" s="826">
        <f t="shared" si="427"/>
        <v>0.26744430625098237</v>
      </c>
      <c r="BW115" s="826">
        <f t="shared" si="427"/>
        <v>0.43994667976589952</v>
      </c>
      <c r="BX115" s="826">
        <f>BX114/BS114-1</f>
        <v>7.8296754984481742E-2</v>
      </c>
      <c r="BY115" s="826">
        <f>BY114/BT114-1</f>
        <v>0.12265223702192962</v>
      </c>
      <c r="BZ115" s="826">
        <f>BZ114/BU114-1</f>
        <v>1.6379464790438569</v>
      </c>
      <c r="CA115" s="826">
        <f>CA114/BV114-1</f>
        <v>-4.9336883746874394E-3</v>
      </c>
      <c r="CB115" s="826">
        <f>CB114/BW114-1</f>
        <v>0.47692893825578508</v>
      </c>
      <c r="CC115" s="826">
        <f t="shared" ref="CC115:CN115" si="428">CC114/BX114-1</f>
        <v>0.64231191372973995</v>
      </c>
      <c r="CD115" s="826">
        <f t="shared" si="428"/>
        <v>0.53982462112336838</v>
      </c>
      <c r="CE115" s="826">
        <f t="shared" si="428"/>
        <v>0.53065467636764962</v>
      </c>
      <c r="CF115" s="826">
        <f t="shared" si="428"/>
        <v>0.3521026466617585</v>
      </c>
      <c r="CG115" s="826">
        <f t="shared" si="428"/>
        <v>0.38001049438448575</v>
      </c>
      <c r="CH115" s="826">
        <f t="shared" si="428"/>
        <v>0.21496230950267137</v>
      </c>
      <c r="CI115" s="826">
        <f t="shared" si="428"/>
        <v>0.35468360220714801</v>
      </c>
      <c r="CJ115" s="826">
        <f t="shared" si="428"/>
        <v>0.26724808005739087</v>
      </c>
      <c r="CK115" s="826">
        <f t="shared" si="428"/>
        <v>0.33678196015361705</v>
      </c>
      <c r="CL115" s="826">
        <f t="shared" si="428"/>
        <v>0.30281551500484039</v>
      </c>
      <c r="CM115" s="826">
        <f t="shared" si="428"/>
        <v>0.42010072269437693</v>
      </c>
      <c r="CN115" s="826">
        <f t="shared" si="428"/>
        <v>0.33511355890068528</v>
      </c>
      <c r="CO115" s="826">
        <f t="shared" ref="CO115:CX115" si="429">CO114/CJ114-1</f>
        <v>5.5041363620065287E-2</v>
      </c>
      <c r="CP115" s="826">
        <f t="shared" si="429"/>
        <v>0.15996846174582724</v>
      </c>
      <c r="CQ115" s="826">
        <f t="shared" si="429"/>
        <v>0.15378540130864771</v>
      </c>
      <c r="CR115" s="826">
        <f t="shared" si="429"/>
        <v>0.14800689248196353</v>
      </c>
      <c r="CS115" s="826">
        <f t="shared" si="429"/>
        <v>0.12934075462854588</v>
      </c>
      <c r="CT115" s="826">
        <f t="shared" si="429"/>
        <v>0.22802919878590533</v>
      </c>
      <c r="CU115" s="826">
        <f t="shared" si="429"/>
        <v>0.18010142305477328</v>
      </c>
      <c r="CV115" s="826">
        <f t="shared" si="429"/>
        <v>0.17018861497702553</v>
      </c>
      <c r="CW115" s="826">
        <f t="shared" si="429"/>
        <v>0.15763732583732204</v>
      </c>
      <c r="CX115" s="826">
        <f t="shared" si="429"/>
        <v>0.18159823947203613</v>
      </c>
      <c r="CY115" s="826"/>
      <c r="CZ115" s="113"/>
      <c r="DA115" s="113"/>
      <c r="DB115" s="113"/>
      <c r="DC115" s="113"/>
    </row>
    <row r="116" spans="1:107">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450"/>
      <c r="AS116" s="90"/>
      <c r="AT116" s="450"/>
      <c r="AU116" s="450"/>
      <c r="AV116" s="90"/>
      <c r="AW116" s="90"/>
      <c r="AX116" s="90"/>
      <c r="AY116" s="450"/>
      <c r="AZ116" s="450"/>
      <c r="BA116" s="90"/>
      <c r="BB116" s="90"/>
      <c r="BC116" s="450"/>
      <c r="BD116" s="450"/>
      <c r="BE116" s="450"/>
      <c r="BF116" s="90"/>
      <c r="BG116" s="90"/>
      <c r="BH116" s="450"/>
      <c r="BI116" s="450"/>
      <c r="BJ116" s="450"/>
      <c r="BK116" s="450"/>
      <c r="BL116" s="90"/>
      <c r="BM116" s="687"/>
      <c r="BN116" s="450"/>
      <c r="BO116" s="450"/>
      <c r="BP116" s="450"/>
      <c r="BQ116" s="90"/>
      <c r="BR116" s="687"/>
      <c r="BS116" s="687"/>
      <c r="BT116" s="450"/>
      <c r="BU116" s="450"/>
      <c r="BV116" s="90"/>
      <c r="BW116" s="687"/>
      <c r="BX116" s="687"/>
      <c r="BY116" s="450"/>
      <c r="BZ116" s="90"/>
      <c r="CA116" s="90"/>
      <c r="CB116" s="450"/>
      <c r="CC116" s="90"/>
      <c r="CD116" s="90"/>
      <c r="CE116" s="450"/>
      <c r="CF116" s="90"/>
      <c r="CG116" s="90"/>
      <c r="CH116" s="90"/>
      <c r="CI116" s="90"/>
      <c r="CJ116" s="450"/>
      <c r="CK116" s="450"/>
      <c r="CL116" s="450"/>
      <c r="CM116" s="450"/>
      <c r="CN116" s="450"/>
      <c r="CO116" s="450"/>
      <c r="CP116" s="450"/>
      <c r="CQ116" s="450"/>
      <c r="CR116" s="450"/>
      <c r="CS116" s="450"/>
      <c r="CT116" s="450"/>
      <c r="CU116" s="450"/>
      <c r="CV116" s="450"/>
      <c r="CW116" s="450"/>
      <c r="CX116" s="450"/>
      <c r="CY116" s="450"/>
      <c r="CZ116" s="90"/>
      <c r="DA116" s="90"/>
      <c r="DB116" s="90"/>
      <c r="DC116" s="90"/>
    </row>
    <row r="117" spans="1:107">
      <c r="A117" s="828" t="s">
        <v>649</v>
      </c>
      <c r="B117" s="828"/>
      <c r="C117" s="828"/>
      <c r="D117" s="828"/>
      <c r="E117" s="828"/>
      <c r="F117" s="828"/>
      <c r="G117" s="828"/>
      <c r="H117" s="1051">
        <f t="shared" ref="H117:AM117" si="430">H114+H100</f>
        <v>50.971249516839762</v>
      </c>
      <c r="I117" s="1051">
        <f t="shared" si="430"/>
        <v>89.954186757986321</v>
      </c>
      <c r="J117" s="1051">
        <f t="shared" si="430"/>
        <v>-57.024860677623344</v>
      </c>
      <c r="K117" s="1052">
        <f t="shared" si="430"/>
        <v>-7.62555579732674</v>
      </c>
      <c r="L117" s="1051">
        <f t="shared" si="430"/>
        <v>76.275019086523372</v>
      </c>
      <c r="M117" s="1051">
        <f t="shared" si="430"/>
        <v>38.02783461862942</v>
      </c>
      <c r="N117" s="1051">
        <f t="shared" si="430"/>
        <v>149.86921099993702</v>
      </c>
      <c r="O117" s="1051">
        <f t="shared" si="430"/>
        <v>79.352992653112878</v>
      </c>
      <c r="P117" s="1051">
        <f t="shared" si="430"/>
        <v>117.05564147538495</v>
      </c>
      <c r="Q117" s="1051">
        <f t="shared" si="430"/>
        <v>384.26316250830507</v>
      </c>
      <c r="R117" s="1051">
        <f t="shared" si="430"/>
        <v>152.7823093954355</v>
      </c>
      <c r="S117" s="1051">
        <f t="shared" si="430"/>
        <v>65.696014418300791</v>
      </c>
      <c r="T117" s="1051">
        <f t="shared" si="430"/>
        <v>-9.1408334676882532</v>
      </c>
      <c r="U117" s="1051">
        <f t="shared" si="430"/>
        <v>187.9891853346021</v>
      </c>
      <c r="V117" s="1051">
        <f t="shared" si="430"/>
        <v>397.3266730205446</v>
      </c>
      <c r="W117" s="1051">
        <f t="shared" si="430"/>
        <v>172.76376069171636</v>
      </c>
      <c r="X117" s="1051">
        <f t="shared" si="430"/>
        <v>227.0052391015646</v>
      </c>
      <c r="Y117" s="1051">
        <f t="shared" si="430"/>
        <v>198.56967436023012</v>
      </c>
      <c r="Z117" s="1051">
        <f t="shared" si="430"/>
        <v>-189.34949186780796</v>
      </c>
      <c r="AA117" s="1051">
        <f t="shared" si="430"/>
        <v>408.98177200333191</v>
      </c>
      <c r="AB117" s="1051">
        <f t="shared" si="430"/>
        <v>-115.4455150647712</v>
      </c>
      <c r="AC117" s="1051">
        <f t="shared" si="430"/>
        <v>-286.54269587227714</v>
      </c>
      <c r="AD117" s="1051">
        <f t="shared" si="430"/>
        <v>112.27962678784601</v>
      </c>
      <c r="AE117" s="1051">
        <f t="shared" si="430"/>
        <v>147.35612557430622</v>
      </c>
      <c r="AF117" s="1051">
        <f t="shared" si="430"/>
        <v>-142.30853904942944</v>
      </c>
      <c r="AG117" s="1051">
        <f t="shared" si="430"/>
        <v>-1.9343590977552765</v>
      </c>
      <c r="AH117" s="1051">
        <f t="shared" si="430"/>
        <v>144.53441177792388</v>
      </c>
      <c r="AI117" s="1051">
        <f t="shared" si="430"/>
        <v>-351.00902019690761</v>
      </c>
      <c r="AJ117" s="1051">
        <f t="shared" si="430"/>
        <v>18.694731376641471</v>
      </c>
      <c r="AK117" s="1051">
        <f t="shared" si="430"/>
        <v>-189.86944450197689</v>
      </c>
      <c r="AL117" s="1051">
        <f t="shared" si="430"/>
        <v>-785.39179024196608</v>
      </c>
      <c r="AM117" s="1051">
        <f t="shared" si="430"/>
        <v>152.88625808262947</v>
      </c>
      <c r="AN117" s="1051">
        <f t="shared" ref="AN117:BS117" si="431">AN114+AN100</f>
        <v>44.198856721292287</v>
      </c>
      <c r="AO117" s="1051">
        <f t="shared" si="431"/>
        <v>8.5829043776508342</v>
      </c>
      <c r="AP117" s="1051">
        <f t="shared" si="431"/>
        <v>-579.91306858656321</v>
      </c>
      <c r="AQ117" s="1051">
        <f t="shared" si="431"/>
        <v>340.1951433422123</v>
      </c>
      <c r="AR117" s="1051">
        <f t="shared" si="431"/>
        <v>248.01776429439639</v>
      </c>
      <c r="AS117" s="1051">
        <f t="shared" si="431"/>
        <v>-176.49834377466118</v>
      </c>
      <c r="AT117" s="1051">
        <f t="shared" si="431"/>
        <v>214.99061378284583</v>
      </c>
      <c r="AU117" s="1051">
        <f t="shared" si="431"/>
        <v>626.72718014260749</v>
      </c>
      <c r="AV117" s="1051">
        <f t="shared" si="431"/>
        <v>282.13499999999993</v>
      </c>
      <c r="AW117" s="1051">
        <f t="shared" si="431"/>
        <v>12.853749999999991</v>
      </c>
      <c r="AX117" s="1051">
        <f t="shared" si="431"/>
        <v>-92.212058997426652</v>
      </c>
      <c r="AY117" s="1051">
        <f t="shared" si="431"/>
        <v>74.604327428997124</v>
      </c>
      <c r="AZ117" s="1051">
        <f t="shared" si="431"/>
        <v>168.08416226107386</v>
      </c>
      <c r="BA117" s="1051">
        <f t="shared" si="431"/>
        <v>202.31486279962223</v>
      </c>
      <c r="BB117" s="1051">
        <f t="shared" si="431"/>
        <v>-15.852068638815808</v>
      </c>
      <c r="BC117" s="1051">
        <f t="shared" si="431"/>
        <v>123.80301235330455</v>
      </c>
      <c r="BD117" s="1051">
        <f t="shared" si="431"/>
        <v>483.37558302830485</v>
      </c>
      <c r="BE117" s="1051">
        <f t="shared" si="431"/>
        <v>692.53247353134236</v>
      </c>
      <c r="BF117" s="1051">
        <f t="shared" si="431"/>
        <v>198.46880134774625</v>
      </c>
      <c r="BG117" s="1051">
        <f t="shared" si="431"/>
        <v>252.08298603207436</v>
      </c>
      <c r="BH117" s="1051">
        <f t="shared" si="431"/>
        <v>259.28364088910644</v>
      </c>
      <c r="BI117" s="1051">
        <f t="shared" si="431"/>
        <v>305.42284768111847</v>
      </c>
      <c r="BJ117" s="1051">
        <f t="shared" si="431"/>
        <v>1015.2578559533194</v>
      </c>
      <c r="BK117" s="1051">
        <f t="shared" si="431"/>
        <v>174.16010268930188</v>
      </c>
      <c r="BL117" s="1051">
        <f t="shared" si="431"/>
        <v>64.779103711931441</v>
      </c>
      <c r="BM117" s="1051">
        <f t="shared" si="431"/>
        <v>-219.40519343114829</v>
      </c>
      <c r="BN117" s="1051">
        <f t="shared" si="431"/>
        <v>-42.589052898321142</v>
      </c>
      <c r="BO117" s="1051">
        <f t="shared" si="431"/>
        <v>-23.053139285750831</v>
      </c>
      <c r="BP117" s="1051">
        <f t="shared" si="431"/>
        <v>32.902838927295875</v>
      </c>
      <c r="BQ117" s="1051">
        <f t="shared" si="431"/>
        <v>201.82483677969844</v>
      </c>
      <c r="BR117" s="1051">
        <f t="shared" si="431"/>
        <v>97.961157536324748</v>
      </c>
      <c r="BS117" s="1051">
        <f t="shared" si="431"/>
        <v>247.91106075509907</v>
      </c>
      <c r="BT117" s="1051">
        <f t="shared" ref="BT117:CN117" si="432">BT114+BT100</f>
        <v>580.5997843122434</v>
      </c>
      <c r="BU117" s="1051">
        <f t="shared" si="432"/>
        <v>-24.632347109475347</v>
      </c>
      <c r="BV117" s="1051">
        <f t="shared" si="432"/>
        <v>245.91838617410997</v>
      </c>
      <c r="BW117" s="1051">
        <f t="shared" si="432"/>
        <v>221.05217851119249</v>
      </c>
      <c r="BX117" s="1051">
        <f t="shared" si="432"/>
        <v>277.10878671004428</v>
      </c>
      <c r="BY117" s="1051">
        <f t="shared" si="432"/>
        <v>700.40298888574762</v>
      </c>
      <c r="BZ117" s="1051">
        <f>BZ114+BZ100</f>
        <v>163.35948248074476</v>
      </c>
      <c r="CA117" s="1051">
        <f t="shared" si="432"/>
        <v>212.42136381618337</v>
      </c>
      <c r="CB117" s="1051">
        <f t="shared" si="432"/>
        <v>145.29925313324225</v>
      </c>
      <c r="CC117" s="1051">
        <f t="shared" si="432"/>
        <v>354.10505102931677</v>
      </c>
      <c r="CD117" s="1051">
        <f t="shared" si="432"/>
        <v>875.18515519677635</v>
      </c>
      <c r="CE117" s="1051">
        <f t="shared" si="432"/>
        <v>376.86989834584665</v>
      </c>
      <c r="CF117" s="1051">
        <f t="shared" si="432"/>
        <v>286.16477408828666</v>
      </c>
      <c r="CG117" s="1051">
        <f t="shared" si="432"/>
        <v>657.0583054593169</v>
      </c>
      <c r="CH117" s="1051">
        <f t="shared" si="432"/>
        <v>503.01559164654657</v>
      </c>
      <c r="CI117" s="1051">
        <f t="shared" si="432"/>
        <v>1823.1087177838699</v>
      </c>
      <c r="CJ117" s="1051">
        <f t="shared" si="432"/>
        <v>597.33443492336755</v>
      </c>
      <c r="CK117" s="1051">
        <f t="shared" si="432"/>
        <v>453.61825824357709</v>
      </c>
      <c r="CL117" s="1051">
        <f t="shared" si="432"/>
        <v>492.02960370278674</v>
      </c>
      <c r="CM117" s="1051">
        <f t="shared" si="432"/>
        <v>766.4158925633044</v>
      </c>
      <c r="CN117" s="1051">
        <f t="shared" si="432"/>
        <v>2309.3981894330364</v>
      </c>
      <c r="CO117" s="1051">
        <f t="shared" ref="CO117:CX117" si="433">CO114+CO100</f>
        <v>560.77870058923577</v>
      </c>
      <c r="CP117" s="1051">
        <f t="shared" si="433"/>
        <v>530.9566808725308</v>
      </c>
      <c r="CQ117" s="1051">
        <f t="shared" si="433"/>
        <v>570.40689567525465</v>
      </c>
      <c r="CR117" s="1051">
        <f t="shared" si="433"/>
        <v>880.49943432999953</v>
      </c>
      <c r="CS117" s="1051">
        <f t="shared" si="433"/>
        <v>2542.6417114670207</v>
      </c>
      <c r="CT117" s="1051">
        <f t="shared" si="433"/>
        <v>720.20780317704191</v>
      </c>
      <c r="CU117" s="1051">
        <f t="shared" si="433"/>
        <v>640.09332904518067</v>
      </c>
      <c r="CV117" s="1051">
        <f t="shared" si="433"/>
        <v>677.36685741477231</v>
      </c>
      <c r="CW117" s="1051">
        <f t="shared" si="433"/>
        <v>1024.1585796943166</v>
      </c>
      <c r="CX117" s="1051">
        <f t="shared" si="433"/>
        <v>3061.8265693313115</v>
      </c>
      <c r="CY117" s="1051"/>
      <c r="CZ117" s="1051"/>
      <c r="DA117" s="828"/>
      <c r="DB117" s="828"/>
      <c r="DC117" s="828"/>
    </row>
    <row r="118" spans="1:107">
      <c r="A118" s="113" t="s">
        <v>648</v>
      </c>
      <c r="B118" s="113"/>
      <c r="C118" s="113"/>
      <c r="D118" s="113"/>
      <c r="E118" s="113"/>
      <c r="F118" s="113"/>
      <c r="G118" s="113"/>
      <c r="H118" s="810"/>
      <c r="I118" s="810"/>
      <c r="J118" s="810"/>
      <c r="K118" s="810"/>
      <c r="L118" s="810"/>
      <c r="M118" s="813">
        <f>IF(OR(M117&lt;0, H117&lt;0),"--",M117/H117-1)</f>
        <v>-0.25393560136158966</v>
      </c>
      <c r="N118" s="813">
        <f t="shared" ref="N118:AW118" si="434">IF(OR(N117&lt;0, I117&lt;0),"--",N117/I117-1)</f>
        <v>0.66606154089466352</v>
      </c>
      <c r="O118" s="813" t="str">
        <f t="shared" si="434"/>
        <v>--</v>
      </c>
      <c r="P118" s="813" t="str">
        <f t="shared" si="434"/>
        <v>--</v>
      </c>
      <c r="Q118" s="813">
        <f t="shared" si="434"/>
        <v>4.0378638656571439</v>
      </c>
      <c r="R118" s="813">
        <f t="shared" si="434"/>
        <v>3.0176442052945376</v>
      </c>
      <c r="S118" s="813">
        <f t="shared" si="434"/>
        <v>-0.56164435656948641</v>
      </c>
      <c r="T118" s="813" t="str">
        <f t="shared" si="434"/>
        <v>--</v>
      </c>
      <c r="U118" s="813">
        <f t="shared" si="434"/>
        <v>0.60598142016191003</v>
      </c>
      <c r="V118" s="813">
        <f t="shared" si="434"/>
        <v>3.3996260341393469E-2</v>
      </c>
      <c r="W118" s="813">
        <f t="shared" si="434"/>
        <v>0.1307838019686185</v>
      </c>
      <c r="X118" s="813">
        <f t="shared" si="434"/>
        <v>2.4553882927535442</v>
      </c>
      <c r="Y118" s="813" t="str">
        <f t="shared" si="434"/>
        <v>--</v>
      </c>
      <c r="Z118" s="813" t="str">
        <f t="shared" si="434"/>
        <v>--</v>
      </c>
      <c r="AA118" s="813">
        <f t="shared" si="434"/>
        <v>2.9333794517703238E-2</v>
      </c>
      <c r="AB118" s="813" t="str">
        <f t="shared" si="434"/>
        <v>--</v>
      </c>
      <c r="AC118" s="813" t="str">
        <f t="shared" si="434"/>
        <v>--</v>
      </c>
      <c r="AD118" s="813">
        <f t="shared" si="434"/>
        <v>-0.4345580353616495</v>
      </c>
      <c r="AE118" s="813" t="str">
        <f t="shared" si="434"/>
        <v>--</v>
      </c>
      <c r="AF118" s="813" t="str">
        <f t="shared" si="434"/>
        <v>--</v>
      </c>
      <c r="AG118" s="813" t="str">
        <f t="shared" si="434"/>
        <v>--</v>
      </c>
      <c r="AH118" s="813" t="str">
        <f t="shared" si="434"/>
        <v>--</v>
      </c>
      <c r="AI118" s="813" t="str">
        <f t="shared" si="434"/>
        <v>--</v>
      </c>
      <c r="AJ118" s="813">
        <f t="shared" si="434"/>
        <v>-0.87313230920139517</v>
      </c>
      <c r="AK118" s="813" t="str">
        <f t="shared" si="434"/>
        <v>--</v>
      </c>
      <c r="AL118" s="813" t="str">
        <f t="shared" si="434"/>
        <v>--</v>
      </c>
      <c r="AM118" s="813">
        <f t="shared" si="434"/>
        <v>5.7784483307256496E-2</v>
      </c>
      <c r="AN118" s="813" t="str">
        <f t="shared" si="434"/>
        <v>--</v>
      </c>
      <c r="AO118" s="813">
        <f t="shared" si="434"/>
        <v>-0.54089180503684975</v>
      </c>
      <c r="AP118" s="813" t="str">
        <f t="shared" si="434"/>
        <v>--</v>
      </c>
      <c r="AQ118" s="813" t="str">
        <f t="shared" si="434"/>
        <v>--</v>
      </c>
      <c r="AR118" s="813">
        <f t="shared" si="434"/>
        <v>0.62223712846939971</v>
      </c>
      <c r="AS118" s="813" t="str">
        <f t="shared" si="434"/>
        <v>--</v>
      </c>
      <c r="AT118" s="813">
        <f t="shared" si="434"/>
        <v>24.048701968842089</v>
      </c>
      <c r="AU118" s="813" t="str">
        <f t="shared" si="434"/>
        <v>--</v>
      </c>
      <c r="AV118" s="813">
        <f t="shared" si="434"/>
        <v>-0.17066717288144229</v>
      </c>
      <c r="AW118" s="813">
        <f t="shared" si="434"/>
        <v>-0.94817407520558639</v>
      </c>
      <c r="AX118" s="813" t="str">
        <f t="shared" ref="AX118:BO118" si="435">IF(OR(AX117&lt;0, AS117&lt;0),"--",AX117/AS117-1)</f>
        <v>--</v>
      </c>
      <c r="AY118" s="813">
        <f t="shared" si="435"/>
        <v>-0.65298797879449644</v>
      </c>
      <c r="AZ118" s="813">
        <f t="shared" si="435"/>
        <v>-0.73180648999006648</v>
      </c>
      <c r="BA118" s="813">
        <f t="shared" si="435"/>
        <v>-0.28291469403079272</v>
      </c>
      <c r="BB118" s="813" t="str">
        <f t="shared" si="435"/>
        <v>--</v>
      </c>
      <c r="BC118" s="813" t="str">
        <f t="shared" si="435"/>
        <v>--</v>
      </c>
      <c r="BD118" s="813">
        <f t="shared" si="435"/>
        <v>5.4791896085162879</v>
      </c>
      <c r="BE118" s="813">
        <f t="shared" si="435"/>
        <v>3.1201530484215292</v>
      </c>
      <c r="BF118" s="813">
        <f t="shared" si="435"/>
        <v>-1.9010276351694499E-2</v>
      </c>
      <c r="BG118" s="813" t="str">
        <f t="shared" si="435"/>
        <v>--</v>
      </c>
      <c r="BH118" s="813">
        <f t="shared" si="435"/>
        <v>1.0943241683746123</v>
      </c>
      <c r="BI118" s="813">
        <f t="shared" si="435"/>
        <v>-0.36814589233557971</v>
      </c>
      <c r="BJ118" s="813">
        <f t="shared" si="435"/>
        <v>0.46600758052015201</v>
      </c>
      <c r="BK118" s="813">
        <f t="shared" si="435"/>
        <v>-0.12248120859989475</v>
      </c>
      <c r="BL118" s="813">
        <f t="shared" si="435"/>
        <v>-0.7430246890851685</v>
      </c>
      <c r="BM118" s="813" t="str">
        <f t="shared" si="435"/>
        <v>--</v>
      </c>
      <c r="BN118" s="813" t="str">
        <f t="shared" si="435"/>
        <v>--</v>
      </c>
      <c r="BO118" s="813" t="str">
        <f t="shared" si="435"/>
        <v>--</v>
      </c>
      <c r="BP118" s="813">
        <f t="shared" ref="BP118:BW118" si="436">IF(OR(BP117&lt;0, BK117&lt;0),"--",BP117/BK117-1)</f>
        <v>-0.81107705829736521</v>
      </c>
      <c r="BQ118" s="813">
        <f t="shared" si="436"/>
        <v>2.1155855085183126</v>
      </c>
      <c r="BR118" s="813" t="str">
        <f t="shared" si="436"/>
        <v>--</v>
      </c>
      <c r="BS118" s="813" t="str">
        <f t="shared" si="436"/>
        <v>--</v>
      </c>
      <c r="BT118" s="813" t="str">
        <f t="shared" si="436"/>
        <v>--</v>
      </c>
      <c r="BU118" s="813" t="str">
        <f t="shared" si="436"/>
        <v>--</v>
      </c>
      <c r="BV118" s="813">
        <f t="shared" si="436"/>
        <v>0.21847434685425648</v>
      </c>
      <c r="BW118" s="813">
        <f t="shared" si="436"/>
        <v>1.2565288535838772</v>
      </c>
      <c r="BX118" s="813">
        <f>IF(OR(BX117&lt;0, BS117&lt;0),"--",BX117/BS117-1)</f>
        <v>0.11777500312415845</v>
      </c>
      <c r="BY118" s="813">
        <f>IF(OR(BY117&lt;0, BT117&lt;0),"--",BY117/BT117-1)</f>
        <v>0.20634386682630024</v>
      </c>
      <c r="BZ118" s="813" t="str">
        <f>IF(OR(BZ117&lt;0, BU117&lt;0),"--",BZ117/BU117-1)</f>
        <v>--</v>
      </c>
      <c r="CA118" s="813">
        <f>IF(OR(CA117&lt;0, BV117&lt;0),"--",CA117/BV117-1)</f>
        <v>-0.13621194770776812</v>
      </c>
      <c r="CB118" s="813">
        <f>IF(OR(CB117&lt;0, BW117&lt;0),"--",CB117/BW117-1)</f>
        <v>-0.3426925076611026</v>
      </c>
      <c r="CC118" s="813">
        <f t="shared" ref="CC118:CN118" si="437">IF(OR(CC117&lt;0, BX117&lt;0),"--",CC117/BX117-1)</f>
        <v>0.27785573035559619</v>
      </c>
      <c r="CD118" s="813">
        <f t="shared" si="437"/>
        <v>0.24954514627226954</v>
      </c>
      <c r="CE118" s="813">
        <f t="shared" si="437"/>
        <v>1.3069973816198179</v>
      </c>
      <c r="CF118" s="813">
        <f t="shared" si="437"/>
        <v>0.3471562791392131</v>
      </c>
      <c r="CG118" s="813">
        <f t="shared" si="437"/>
        <v>3.522103805012553</v>
      </c>
      <c r="CH118" s="813">
        <f t="shared" si="437"/>
        <v>0.42052645164019786</v>
      </c>
      <c r="CI118" s="813">
        <f t="shared" si="437"/>
        <v>1.0831120214487218</v>
      </c>
      <c r="CJ118" s="813">
        <f t="shared" si="437"/>
        <v>0.58498844706139042</v>
      </c>
      <c r="CK118" s="813">
        <f t="shared" si="437"/>
        <v>0.58516456013425389</v>
      </c>
      <c r="CL118" s="813">
        <f t="shared" si="437"/>
        <v>-0.25116294914066528</v>
      </c>
      <c r="CM118" s="813">
        <f t="shared" si="437"/>
        <v>0.52364241842793824</v>
      </c>
      <c r="CN118" s="813">
        <f t="shared" si="437"/>
        <v>0.26673640847940705</v>
      </c>
      <c r="CO118" s="813">
        <f t="shared" ref="CO118:CX118" si="438">IF(OR(CO117&lt;0, CJ117&lt;0),"--",CO117/CJ117-1)</f>
        <v>-6.1198103100855938E-2</v>
      </c>
      <c r="CP118" s="813">
        <f t="shared" si="438"/>
        <v>0.17049230542088467</v>
      </c>
      <c r="CQ118" s="813">
        <f t="shared" si="438"/>
        <v>0.15929385423689291</v>
      </c>
      <c r="CR118" s="813">
        <f t="shared" si="438"/>
        <v>0.14885330911541872</v>
      </c>
      <c r="CS118" s="813">
        <f t="shared" si="438"/>
        <v>0.10099753394681854</v>
      </c>
      <c r="CT118" s="813">
        <f t="shared" si="438"/>
        <v>0.28429949714617675</v>
      </c>
      <c r="CU118" s="813">
        <f t="shared" si="438"/>
        <v>0.20554717946726586</v>
      </c>
      <c r="CV118" s="813">
        <f t="shared" si="438"/>
        <v>0.18751519757294854</v>
      </c>
      <c r="CW118" s="813">
        <f t="shared" si="438"/>
        <v>0.16315643118343615</v>
      </c>
      <c r="CX118" s="813">
        <f t="shared" si="438"/>
        <v>0.20419111962288161</v>
      </c>
      <c r="CY118" s="813"/>
      <c r="CZ118" s="826"/>
      <c r="DA118" s="826"/>
      <c r="DB118" s="826"/>
      <c r="DC118" s="826"/>
    </row>
    <row r="119" spans="1:107">
      <c r="C119" s="16"/>
      <c r="D119" s="16"/>
      <c r="E119" s="16"/>
      <c r="F119" s="16"/>
      <c r="G119" s="16"/>
      <c r="H119" s="16"/>
      <c r="I119" s="16"/>
      <c r="J119" s="16"/>
      <c r="K119" s="16"/>
      <c r="L119" s="16"/>
      <c r="M119" s="16"/>
      <c r="N119" s="16"/>
      <c r="O119" s="16"/>
      <c r="P119" s="16"/>
      <c r="Q119" s="16"/>
      <c r="R119" s="16"/>
      <c r="S119" s="16"/>
      <c r="T119" s="16"/>
      <c r="U119" s="16"/>
      <c r="V119" s="16"/>
      <c r="W119" s="16"/>
      <c r="X119" s="16"/>
      <c r="Y119" s="16"/>
      <c r="Z119" s="16"/>
      <c r="AA119" s="16"/>
      <c r="AB119" s="16"/>
      <c r="AC119" s="16"/>
      <c r="AD119" s="16"/>
      <c r="AE119" s="16"/>
      <c r="AF119" s="16"/>
      <c r="AG119" s="16"/>
      <c r="AH119" s="16"/>
      <c r="AI119" s="16"/>
      <c r="AJ119" s="16"/>
      <c r="AK119" s="16"/>
      <c r="AL119" s="16"/>
      <c r="AM119" s="16"/>
      <c r="AN119" s="16"/>
      <c r="AO119" s="16"/>
      <c r="AP119" s="16"/>
      <c r="AQ119" s="16"/>
      <c r="AR119" s="55"/>
      <c r="AS119" s="16"/>
      <c r="AT119" s="55"/>
      <c r="AU119" s="55"/>
      <c r="AV119" s="16"/>
      <c r="AW119" s="16"/>
      <c r="AX119" s="16"/>
      <c r="AY119" s="55"/>
      <c r="AZ119" s="55"/>
      <c r="BA119" s="16"/>
      <c r="BB119" s="16"/>
      <c r="BC119" s="55"/>
      <c r="BD119" s="55"/>
      <c r="BE119" s="55"/>
      <c r="BF119" s="16"/>
      <c r="BG119" s="16"/>
      <c r="BH119" s="55"/>
      <c r="BI119" s="55"/>
      <c r="BJ119" s="55"/>
      <c r="BK119" s="55"/>
      <c r="BL119" s="16"/>
      <c r="BM119" s="763"/>
      <c r="BN119" s="55"/>
      <c r="BO119" s="55"/>
      <c r="BP119" s="55"/>
      <c r="BQ119" s="16"/>
      <c r="BR119" s="763"/>
      <c r="BS119" s="763"/>
      <c r="BT119" s="55"/>
      <c r="BU119" s="55"/>
      <c r="BV119" s="16"/>
      <c r="BW119" s="763"/>
      <c r="BX119" s="763"/>
      <c r="BY119" s="55"/>
      <c r="CB119" s="55"/>
      <c r="CC119" s="47"/>
      <c r="CD119" s="47"/>
      <c r="CE119" s="55"/>
      <c r="CF119" s="55"/>
      <c r="CG119" s="55"/>
      <c r="CH119" s="55"/>
      <c r="CI119" s="55"/>
      <c r="CJ119" s="55"/>
      <c r="CK119" s="55"/>
      <c r="CL119" s="55"/>
      <c r="CM119" s="55"/>
      <c r="CN119" s="55"/>
      <c r="CO119" s="55"/>
      <c r="CP119" s="55"/>
      <c r="CQ119" s="55"/>
      <c r="CR119" s="55"/>
      <c r="CS119" s="55"/>
      <c r="CT119" s="55"/>
      <c r="CU119" s="55"/>
      <c r="CV119" s="55"/>
      <c r="CW119" s="55"/>
      <c r="CX119" s="55"/>
      <c r="CY119" s="55"/>
    </row>
    <row r="120" spans="1:107">
      <c r="A120" s="1053" t="s">
        <v>1</v>
      </c>
      <c r="B120" s="1053"/>
      <c r="C120" s="1053"/>
      <c r="D120" s="1053"/>
      <c r="E120" s="1053"/>
      <c r="F120" s="1053"/>
      <c r="G120" s="1053"/>
      <c r="H120" s="1054"/>
      <c r="I120" s="1054">
        <f t="shared" ref="I120:AN120" si="439">-I100/I112</f>
        <v>9.5508772621146848E-2</v>
      </c>
      <c r="J120" s="1054">
        <f t="shared" si="439"/>
        <v>2.3793287702602961</v>
      </c>
      <c r="K120" s="1054">
        <f t="shared" si="439"/>
        <v>1.0445954947074452</v>
      </c>
      <c r="L120" s="1054">
        <f t="shared" si="439"/>
        <v>0.70992399740724665</v>
      </c>
      <c r="M120" s="1054">
        <f t="shared" si="439"/>
        <v>0.4380644891938158</v>
      </c>
      <c r="N120" s="1054">
        <f t="shared" si="439"/>
        <v>-0.31003702780951736</v>
      </c>
      <c r="O120" s="1054">
        <f t="shared" si="439"/>
        <v>9.0010178857059919E-2</v>
      </c>
      <c r="P120" s="1054">
        <f t="shared" si="439"/>
        <v>-2.9622926093514437E-2</v>
      </c>
      <c r="Q120" s="1054">
        <f t="shared" si="439"/>
        <v>0</v>
      </c>
      <c r="R120" s="1054">
        <f t="shared" si="439"/>
        <v>8.9178268827075691E-2</v>
      </c>
      <c r="S120" s="1054">
        <f t="shared" si="439"/>
        <v>0.48338029425540319</v>
      </c>
      <c r="T120" s="1054">
        <f t="shared" si="439"/>
        <v>1.0507228016352916</v>
      </c>
      <c r="U120" s="1054">
        <f t="shared" si="439"/>
        <v>-0.12505696513437833</v>
      </c>
      <c r="V120" s="1054">
        <f t="shared" si="439"/>
        <v>0.34257829748693847</v>
      </c>
      <c r="W120" s="1054">
        <f t="shared" si="439"/>
        <v>-0.16973490185798079</v>
      </c>
      <c r="X120" s="1054">
        <f t="shared" si="439"/>
        <v>-0.44097912985456422</v>
      </c>
      <c r="Y120" s="1054">
        <f t="shared" si="439"/>
        <v>-0.33621127475876084</v>
      </c>
      <c r="Z120" s="1054">
        <f t="shared" si="439"/>
        <v>1.8588876699892187</v>
      </c>
      <c r="AA120" s="1054">
        <f t="shared" si="439"/>
        <v>0.35738791274259785</v>
      </c>
      <c r="AB120" s="1054">
        <f t="shared" si="439"/>
        <v>1.6254972407277011</v>
      </c>
      <c r="AC120" s="1054">
        <f t="shared" si="439"/>
        <v>2.2468330151681308</v>
      </c>
      <c r="AD120" s="1054">
        <f t="shared" si="439"/>
        <v>0.21873818481582225</v>
      </c>
      <c r="AE120" s="1054">
        <f t="shared" si="439"/>
        <v>0.24233936237595868</v>
      </c>
      <c r="AF120" s="1054">
        <f t="shared" si="439"/>
        <v>1.1215941770398208</v>
      </c>
      <c r="AG120" s="1054">
        <f t="shared" si="439"/>
        <v>0.93347523602948401</v>
      </c>
      <c r="AH120" s="1054">
        <f t="shared" si="439"/>
        <v>0.50390009785191758</v>
      </c>
      <c r="AI120" s="1054">
        <f t="shared" si="439"/>
        <v>1.8503982086969804</v>
      </c>
      <c r="AJ120" s="1054">
        <f t="shared" si="439"/>
        <v>0.91479226593420881</v>
      </c>
      <c r="AK120" s="1054">
        <f t="shared" si="439"/>
        <v>1.0980934769352715</v>
      </c>
      <c r="AL120" s="1054">
        <f t="shared" si="439"/>
        <v>3.0829044157069632</v>
      </c>
      <c r="AM120" s="1054">
        <f t="shared" si="439"/>
        <v>0.48534849444710226</v>
      </c>
      <c r="AN120" s="1054">
        <f t="shared" si="439"/>
        <v>0.71267322241671061</v>
      </c>
      <c r="AO120" s="1054">
        <f t="shared" ref="AO120:BT120" si="440">-AO100/AO112</f>
        <v>0.95380418366406083</v>
      </c>
      <c r="AP120" s="1054">
        <f t="shared" si="440"/>
        <v>1.4738042074104494</v>
      </c>
      <c r="AQ120" s="1054">
        <f t="shared" si="440"/>
        <v>3.7161225405700539E-5</v>
      </c>
      <c r="AR120" s="1054">
        <f t="shared" si="440"/>
        <v>0</v>
      </c>
      <c r="AS120" s="1054">
        <f t="shared" si="440"/>
        <v>1.9635343618513308</v>
      </c>
      <c r="AT120" s="1054">
        <f t="shared" si="440"/>
        <v>0</v>
      </c>
      <c r="AU120" s="1054">
        <f t="shared" si="440"/>
        <v>0.35065118515698562</v>
      </c>
      <c r="AV120" s="1054">
        <f t="shared" si="440"/>
        <v>7.2243373476567888E-5</v>
      </c>
      <c r="AW120" s="1054">
        <f t="shared" si="440"/>
        <v>1.0160040965285171</v>
      </c>
      <c r="AX120" s="1054">
        <f t="shared" si="440"/>
        <v>1.3282240979698097</v>
      </c>
      <c r="AY120" s="1054">
        <f t="shared" si="440"/>
        <v>0.72999877293085513</v>
      </c>
      <c r="AZ120" s="1054">
        <f t="shared" si="440"/>
        <v>0.86150401745167082</v>
      </c>
      <c r="BA120" s="1054">
        <f t="shared" si="440"/>
        <v>0.39884876293067689</v>
      </c>
      <c r="BB120" s="1054">
        <f t="shared" si="440"/>
        <v>1.0756955275713966</v>
      </c>
      <c r="BC120" s="1054">
        <f t="shared" si="440"/>
        <v>0.57468401956990645</v>
      </c>
      <c r="BD120" s="1054">
        <f t="shared" si="440"/>
        <v>0</v>
      </c>
      <c r="BE120" s="1054">
        <f t="shared" si="440"/>
        <v>0.52138377518716894</v>
      </c>
      <c r="BF120" s="1054">
        <f t="shared" si="440"/>
        <v>0.3038647801728232</v>
      </c>
      <c r="BG120" s="1054">
        <f t="shared" si="440"/>
        <v>0.38489770319343619</v>
      </c>
      <c r="BH120" s="1054">
        <f t="shared" si="440"/>
        <v>-0.32783957656475249</v>
      </c>
      <c r="BI120" s="1054">
        <f t="shared" si="440"/>
        <v>0.25518666904840898</v>
      </c>
      <c r="BJ120" s="1054">
        <f t="shared" si="440"/>
        <v>0.21829884151781362</v>
      </c>
      <c r="BK120" s="1054">
        <f t="shared" si="440"/>
        <v>0.38191115982600127</v>
      </c>
      <c r="BL120" s="1054">
        <f t="shared" si="440"/>
        <v>0.79082954064666122</v>
      </c>
      <c r="BM120" s="1054">
        <f t="shared" si="440"/>
        <v>2.3706934871123186</v>
      </c>
      <c r="BN120" s="1054">
        <f t="shared" si="440"/>
        <v>1.1974087136113998</v>
      </c>
      <c r="BO120" s="1054">
        <f t="shared" si="440"/>
        <v>1.0745125232527235</v>
      </c>
      <c r="BP120" s="1054">
        <f t="shared" si="440"/>
        <v>0.89976606082418586</v>
      </c>
      <c r="BQ120" s="1054">
        <f t="shared" si="440"/>
        <v>0.44073832484177489</v>
      </c>
      <c r="BR120" s="1054">
        <f t="shared" si="440"/>
        <v>0.5853320471637149</v>
      </c>
      <c r="BS120" s="1054">
        <f t="shared" si="440"/>
        <v>0.34437348820038677</v>
      </c>
      <c r="BT120" s="1054">
        <f t="shared" si="440"/>
        <v>0.5267085107316859</v>
      </c>
      <c r="BU120" s="1054">
        <f t="shared" ref="BU120:CN120" si="441">-BU100/BU112</f>
        <v>1.2011074210422004</v>
      </c>
      <c r="BV120" s="1054">
        <f t="shared" si="441"/>
        <v>0.45897455904019252</v>
      </c>
      <c r="BW120" s="1054">
        <f t="shared" si="441"/>
        <v>0.32102316503158862</v>
      </c>
      <c r="BX120" s="1054">
        <f t="shared" si="441"/>
        <v>0.32064518942435205</v>
      </c>
      <c r="BY120" s="1054">
        <f t="shared" si="441"/>
        <v>0.48654565043757969</v>
      </c>
      <c r="BZ120" s="1054">
        <f>-BZ100/BZ112</f>
        <v>0.6630469703784615</v>
      </c>
      <c r="CA120" s="1054">
        <f t="shared" si="441"/>
        <v>0.53177102971335044</v>
      </c>
      <c r="CB120" s="1054">
        <f t="shared" si="441"/>
        <v>0.71081025002593645</v>
      </c>
      <c r="CC120" s="1054">
        <f t="shared" si="441"/>
        <v>0.47341290450223183</v>
      </c>
      <c r="CD120" s="1054">
        <f t="shared" si="441"/>
        <v>0.58404206975920414</v>
      </c>
      <c r="CE120" s="1054">
        <f t="shared" si="441"/>
        <v>0.47354199697769861</v>
      </c>
      <c r="CF120" s="1054">
        <f t="shared" si="441"/>
        <v>0.5322680779604092</v>
      </c>
      <c r="CG120" s="1054">
        <f t="shared" si="441"/>
        <v>-4.1479672345962355E-3</v>
      </c>
      <c r="CH120" s="1054">
        <f t="shared" si="441"/>
        <v>0.37626329920958951</v>
      </c>
      <c r="CI120" s="1054">
        <f t="shared" si="441"/>
        <v>0.34432966167421947</v>
      </c>
      <c r="CJ120" s="1054">
        <f t="shared" si="441"/>
        <v>0.33539826867413702</v>
      </c>
      <c r="CK120" s="1054">
        <f t="shared" si="441"/>
        <v>0.43562286470323131</v>
      </c>
      <c r="CL120" s="1054">
        <f t="shared" si="441"/>
        <v>0.42362817508167389</v>
      </c>
      <c r="CM120" s="1054">
        <f t="shared" si="441"/>
        <v>0.32883979500131261</v>
      </c>
      <c r="CN120" s="1054">
        <f t="shared" si="441"/>
        <v>0.37556579156014197</v>
      </c>
      <c r="CO120" s="1054">
        <f t="shared" ref="CO120:CX120" si="442">-CO100/CO112</f>
        <v>0.41174414015426131</v>
      </c>
      <c r="CP120" s="1054">
        <f t="shared" si="442"/>
        <v>0.43340421189605322</v>
      </c>
      <c r="CQ120" s="1054">
        <f t="shared" si="442"/>
        <v>0.4237180846982197</v>
      </c>
      <c r="CR120" s="1054">
        <f t="shared" si="442"/>
        <v>0.32885319945056896</v>
      </c>
      <c r="CS120" s="1054">
        <f t="shared" si="442"/>
        <v>0.39332783244581698</v>
      </c>
      <c r="CT120" s="1054">
        <f t="shared" si="442"/>
        <v>0.38288066597969161</v>
      </c>
      <c r="CU120" s="1054">
        <f t="shared" si="442"/>
        <v>0.41945395670295016</v>
      </c>
      <c r="CV120" s="1054">
        <f t="shared" si="442"/>
        <v>0.413652052763058</v>
      </c>
      <c r="CW120" s="1054">
        <f t="shared" si="442"/>
        <v>0.32480822729878522</v>
      </c>
      <c r="CX120" s="1054">
        <f t="shared" si="442"/>
        <v>0.38033485755078233</v>
      </c>
      <c r="CY120" s="1054"/>
      <c r="CZ120" s="1053"/>
      <c r="DA120" s="1053"/>
      <c r="DB120" s="1053"/>
      <c r="DC120" s="1053"/>
    </row>
  </sheetData>
  <customSheetViews>
    <customSheetView guid="{5A095E4E-6841-4715-B354-198715F5FF0A}" scale="90" showGridLines="0" hiddenRows="1" hiddenColumns="1" showRuler="0"/>
    <customSheetView guid="{7ADDAC9C-E12E-468B-A7D0-D44A9895D58E}" scale="90" showGridLines="0" hiddenRows="1" hiddenColumns="1" showRuler="0"/>
  </customSheetViews>
  <phoneticPr fontId="2" type="noConversion"/>
  <conditionalFormatting sqref="Y108:BK108 BY108:BZ108 BM108:BP108">
    <cfRule type="cellIs" dxfId="24" priority="49" stopIfTrue="1" operator="between">
      <formula>-0.001</formula>
      <formula>0.001</formula>
    </cfRule>
  </conditionalFormatting>
  <conditionalFormatting sqref="C55:F55">
    <cfRule type="cellIs" dxfId="23" priority="51" stopIfTrue="1" operator="between">
      <formula>0.00001</formula>
      <formula>-0.00001</formula>
    </cfRule>
  </conditionalFormatting>
  <conditionalFormatting sqref="G55:BK55 BM55:BN55 BU55:BX55 CY55 BZ55:CF55 CH55:CN55">
    <cfRule type="cellIs" dxfId="22" priority="52" stopIfTrue="1" operator="equal">
      <formula>0</formula>
    </cfRule>
  </conditionalFormatting>
  <conditionalFormatting sqref="BP55">
    <cfRule type="cellIs" dxfId="21" priority="47" stopIfTrue="1" operator="equal">
      <formula>0</formula>
    </cfRule>
  </conditionalFormatting>
  <conditionalFormatting sqref="BO55">
    <cfRule type="cellIs" dxfId="20" priority="46" stopIfTrue="1" operator="equal">
      <formula>0</formula>
    </cfRule>
  </conditionalFormatting>
  <conditionalFormatting sqref="BR108">
    <cfRule type="cellIs" dxfId="19" priority="44" stopIfTrue="1" operator="between">
      <formula>-0.001</formula>
      <formula>0.001</formula>
    </cfRule>
  </conditionalFormatting>
  <conditionalFormatting sqref="BR55">
    <cfRule type="cellIs" dxfId="18" priority="43" stopIfTrue="1" operator="equal">
      <formula>0</formula>
    </cfRule>
  </conditionalFormatting>
  <conditionalFormatting sqref="BT108">
    <cfRule type="cellIs" dxfId="17" priority="41" stopIfTrue="1" operator="between">
      <formula>-0.001</formula>
      <formula>0.001</formula>
    </cfRule>
  </conditionalFormatting>
  <conditionalFormatting sqref="BT55">
    <cfRule type="cellIs" dxfId="16" priority="40" stopIfTrue="1" operator="equal">
      <formula>0</formula>
    </cfRule>
  </conditionalFormatting>
  <conditionalFormatting sqref="BL108">
    <cfRule type="cellIs" dxfId="15" priority="34" stopIfTrue="1" operator="between">
      <formula>-0.001</formula>
      <formula>0.001</formula>
    </cfRule>
  </conditionalFormatting>
  <conditionalFormatting sqref="BL55">
    <cfRule type="cellIs" dxfId="14" priority="35" stopIfTrue="1" operator="equal">
      <formula>0</formula>
    </cfRule>
  </conditionalFormatting>
  <conditionalFormatting sqref="BQ108">
    <cfRule type="cellIs" dxfId="13" priority="26" stopIfTrue="1" operator="between">
      <formula>-0.001</formula>
      <formula>0.001</formula>
    </cfRule>
  </conditionalFormatting>
  <conditionalFormatting sqref="BQ55">
    <cfRule type="cellIs" dxfId="12" priority="27" stopIfTrue="1" operator="equal">
      <formula>0</formula>
    </cfRule>
  </conditionalFormatting>
  <conditionalFormatting sqref="BW108">
    <cfRule type="cellIs" dxfId="11" priority="22" stopIfTrue="1" operator="between">
      <formula>-0.001</formula>
      <formula>0.001</formula>
    </cfRule>
  </conditionalFormatting>
  <conditionalFormatting sqref="BU108">
    <cfRule type="cellIs" dxfId="10" priority="20" stopIfTrue="1" operator="between">
      <formula>-0.001</formula>
      <formula>0.001</formula>
    </cfRule>
  </conditionalFormatting>
  <conditionalFormatting sqref="BV108">
    <cfRule type="cellIs" dxfId="9" priority="17" stopIfTrue="1" operator="between">
      <formula>-0.001</formula>
      <formula>0.001</formula>
    </cfRule>
  </conditionalFormatting>
  <conditionalFormatting sqref="BX108">
    <cfRule type="cellIs" dxfId="8" priority="16" stopIfTrue="1" operator="between">
      <formula>-0.001</formula>
      <formula>0.001</formula>
    </cfRule>
  </conditionalFormatting>
  <conditionalFormatting sqref="BS55">
    <cfRule type="cellIs" dxfId="7" priority="10" stopIfTrue="1" operator="equal">
      <formula>0</formula>
    </cfRule>
  </conditionalFormatting>
  <conditionalFormatting sqref="BS108">
    <cfRule type="cellIs" dxfId="6" priority="11" stopIfTrue="1" operator="between">
      <formula>-0.001</formula>
      <formula>0.001</formula>
    </cfRule>
  </conditionalFormatting>
  <conditionalFormatting sqref="BY55">
    <cfRule type="cellIs" dxfId="5" priority="9" stopIfTrue="1" operator="equal">
      <formula>0</formula>
    </cfRule>
  </conditionalFormatting>
  <conditionalFormatting sqref="CS55">
    <cfRule type="cellIs" dxfId="4" priority="7" stopIfTrue="1" operator="equal">
      <formula>0</formula>
    </cfRule>
  </conditionalFormatting>
  <conditionalFormatting sqref="CO55:CR55">
    <cfRule type="cellIs" dxfId="3" priority="6" stopIfTrue="1" operator="equal">
      <formula>0</formula>
    </cfRule>
  </conditionalFormatting>
  <conditionalFormatting sqref="CG55">
    <cfRule type="cellIs" dxfId="2" priority="5" stopIfTrue="1" operator="equal">
      <formula>0</formula>
    </cfRule>
  </conditionalFormatting>
  <conditionalFormatting sqref="CX55">
    <cfRule type="cellIs" dxfId="1" priority="2" stopIfTrue="1" operator="equal">
      <formula>0</formula>
    </cfRule>
  </conditionalFormatting>
  <conditionalFormatting sqref="CT55:CW55">
    <cfRule type="cellIs" dxfId="0" priority="1" stopIfTrue="1" operator="equal">
      <formula>0</formula>
    </cfRule>
  </conditionalFormatting>
  <printOptions horizontalCentered="1" verticalCentered="1"/>
  <pageMargins left="0" right="0" top="0" bottom="0" header="0" footer="0"/>
  <pageSetup paperSize="5" orientation="landscape" r:id="rId1"/>
  <headerFooter alignWithMargins="0"/>
  <rowBreaks count="1" manualBreakCount="1">
    <brk id="56" max="66"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enableFormatConditionsCalculation="0">
    <tabColor theme="3"/>
    <pageSetUpPr autoPageBreaks="0" fitToPage="1"/>
  </sheetPr>
  <dimension ref="A1:CR110"/>
  <sheetViews>
    <sheetView showGridLines="0" workbookViewId="0"/>
  </sheetViews>
  <sheetFormatPr defaultRowHeight="12.75" outlineLevelRow="2" outlineLevelCol="2"/>
  <cols>
    <col min="1" max="1" width="26.7109375" customWidth="1"/>
    <col min="2" max="2" width="5.7109375" hidden="1" customWidth="1" outlineLevel="2"/>
    <col min="3" max="6" width="7.7109375" hidden="1" customWidth="1" outlineLevel="2"/>
    <col min="7" max="7" width="7.7109375" hidden="1" customWidth="1" outlineLevel="1"/>
    <col min="8" max="11" width="7.7109375" hidden="1" customWidth="1" outlineLevel="2"/>
    <col min="12" max="12" width="7.7109375" hidden="1" customWidth="1" outlineLevel="1"/>
    <col min="13" max="16" width="7.7109375" hidden="1" customWidth="1" outlineLevel="2"/>
    <col min="17" max="17" width="7.7109375" hidden="1" customWidth="1" outlineLevel="1"/>
    <col min="18" max="21" width="7.7109375" hidden="1" customWidth="1" outlineLevel="2"/>
    <col min="22" max="26" width="7.7109375" hidden="1" customWidth="1" outlineLevel="1"/>
    <col min="27" max="27" width="7.7109375" hidden="1" customWidth="1" collapsed="1"/>
    <col min="28" max="31" width="7.7109375" hidden="1" customWidth="1" outlineLevel="1"/>
    <col min="32" max="32" width="7.7109375" hidden="1" customWidth="1" collapsed="1"/>
    <col min="33" max="36" width="7.7109375" hidden="1" customWidth="1" outlineLevel="1"/>
    <col min="37" max="37" width="7.7109375" hidden="1" customWidth="1" collapsed="1"/>
    <col min="38" max="41" width="7.7109375" hidden="1" customWidth="1" outlineLevel="1"/>
    <col min="42" max="42" width="7.7109375" hidden="1" customWidth="1" collapsed="1"/>
    <col min="43" max="46" width="7.7109375" hidden="1" customWidth="1" outlineLevel="1"/>
    <col min="47" max="47" width="7.7109375" hidden="1" customWidth="1" collapsed="1"/>
    <col min="48" max="51" width="7.7109375" hidden="1" customWidth="1" outlineLevel="1"/>
    <col min="52" max="52" width="7.7109375" hidden="1" customWidth="1" collapsed="1"/>
    <col min="53" max="56" width="7.7109375" hidden="1" customWidth="1" outlineLevel="1"/>
    <col min="57" max="57" width="7.7109375" hidden="1" customWidth="1" collapsed="1"/>
    <col min="58" max="61" width="7.7109375" hidden="1" customWidth="1" outlineLevel="1"/>
    <col min="62" max="62" width="7.7109375" hidden="1" customWidth="1" collapsed="1"/>
    <col min="63" max="66" width="7.7109375" hidden="1" customWidth="1" outlineLevel="1"/>
    <col min="67" max="67" width="7.7109375" hidden="1" customWidth="1" collapsed="1"/>
    <col min="68" max="71" width="7.7109375" hidden="1" customWidth="1" outlineLevel="1"/>
    <col min="72" max="72" width="7.7109375" customWidth="1" collapsed="1"/>
    <col min="73" max="76" width="7.7109375" hidden="1" customWidth="1" outlineLevel="1"/>
    <col min="77" max="77" width="7.7109375" customWidth="1" collapsed="1"/>
    <col min="78" max="93" width="7.7109375" customWidth="1"/>
    <col min="94" max="94" width="3.42578125" bestFit="1" customWidth="1"/>
    <col min="95" max="95" width="1.7109375" customWidth="1"/>
    <col min="96" max="102" width="7.7109375" customWidth="1"/>
  </cols>
  <sheetData>
    <row r="1" spans="1:96" ht="20.100000000000001" customHeight="1">
      <c r="A1" s="2" t="str">
        <f>Model!A1</f>
        <v>Adobe Systems</v>
      </c>
      <c r="B1" s="2"/>
      <c r="C1" s="3"/>
      <c r="D1" s="3"/>
      <c r="E1" s="3"/>
      <c r="F1" s="3"/>
      <c r="G1" s="3"/>
      <c r="H1" s="3"/>
      <c r="I1" s="3"/>
      <c r="J1" s="3"/>
      <c r="K1" s="3"/>
      <c r="L1" s="3"/>
      <c r="M1" s="3"/>
      <c r="N1" s="3"/>
      <c r="O1" s="3"/>
      <c r="P1" s="3"/>
      <c r="Q1" s="3"/>
      <c r="R1" s="3"/>
      <c r="S1" s="3"/>
      <c r="T1" s="3"/>
      <c r="U1" s="3"/>
      <c r="V1" s="3"/>
      <c r="W1" s="3"/>
      <c r="X1" s="3"/>
      <c r="Y1" s="3"/>
      <c r="Z1" s="3"/>
      <c r="AA1" s="1118"/>
      <c r="AB1" s="1118"/>
      <c r="AC1" s="1118"/>
      <c r="AD1" s="1118"/>
      <c r="AE1" s="1118"/>
      <c r="AF1" s="1118"/>
      <c r="AG1" s="27"/>
      <c r="AH1" s="27"/>
      <c r="AI1" s="27"/>
      <c r="AJ1" s="27"/>
      <c r="AK1" s="27"/>
      <c r="AL1" s="27"/>
      <c r="AM1" s="27"/>
      <c r="AN1" s="27"/>
      <c r="AO1" s="4"/>
      <c r="AP1" s="4"/>
      <c r="AQ1" s="4"/>
      <c r="AR1" s="4"/>
      <c r="AS1" s="4"/>
      <c r="AT1" s="4"/>
      <c r="AU1" s="4"/>
      <c r="AV1" s="4"/>
      <c r="AW1" s="4"/>
      <c r="AX1" s="4"/>
      <c r="AY1" s="4"/>
      <c r="AZ1" s="4"/>
      <c r="BA1" s="4"/>
      <c r="BB1" s="4"/>
      <c r="BC1" s="4"/>
      <c r="BD1" s="4"/>
      <c r="BE1" s="4"/>
      <c r="BF1" s="4"/>
      <c r="BG1" s="4"/>
      <c r="BH1" s="4"/>
      <c r="BI1" s="4"/>
      <c r="BJ1" s="4"/>
      <c r="BK1" s="4"/>
      <c r="BL1" s="4"/>
      <c r="BM1" s="9"/>
      <c r="BN1" s="9"/>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23"/>
      <c r="CR1" s="4"/>
    </row>
    <row r="2" spans="1:96" ht="20.100000000000001" customHeight="1">
      <c r="A2" s="5" t="s">
        <v>262</v>
      </c>
      <c r="B2" s="5"/>
      <c r="C2" s="7"/>
      <c r="D2" s="6"/>
      <c r="E2" s="7"/>
      <c r="F2" s="6"/>
      <c r="G2" s="7"/>
      <c r="H2" s="7"/>
      <c r="I2" s="6"/>
      <c r="J2" s="7"/>
      <c r="K2" s="6"/>
      <c r="L2" s="7"/>
      <c r="M2" s="7"/>
      <c r="N2" s="6"/>
      <c r="O2" s="7"/>
      <c r="P2" s="6"/>
      <c r="Q2" s="7"/>
      <c r="R2" s="7"/>
      <c r="S2" s="6"/>
      <c r="T2" s="7"/>
      <c r="U2" s="6"/>
      <c r="V2" s="7"/>
      <c r="W2" s="7"/>
      <c r="X2" s="6"/>
      <c r="Y2" s="7"/>
      <c r="Z2" s="6"/>
      <c r="AA2" s="7"/>
      <c r="AB2" s="7"/>
      <c r="AC2" s="6"/>
      <c r="AD2" s="7"/>
      <c r="AE2" s="6"/>
      <c r="AF2" s="7"/>
      <c r="AG2" s="7"/>
      <c r="AH2" s="6"/>
      <c r="AI2" s="7"/>
      <c r="AJ2" s="6"/>
      <c r="AK2" s="7"/>
      <c r="AL2" s="7"/>
      <c r="AM2" s="6"/>
      <c r="AN2" s="7"/>
      <c r="AO2" s="6"/>
      <c r="AP2" s="7"/>
      <c r="AQ2" s="7"/>
      <c r="AR2" s="6"/>
      <c r="AS2" s="7"/>
      <c r="AT2" s="6"/>
      <c r="AU2" s="7"/>
      <c r="AV2" s="7"/>
      <c r="AW2" s="6"/>
      <c r="AX2" s="7"/>
      <c r="AY2" s="6"/>
      <c r="AZ2" s="7"/>
      <c r="BA2" s="7"/>
      <c r="BB2" s="6"/>
      <c r="BC2" s="7"/>
      <c r="BD2" s="6"/>
      <c r="BE2" s="7"/>
      <c r="BF2" s="7"/>
      <c r="BG2" s="6"/>
      <c r="BH2" s="7"/>
      <c r="BI2" s="6"/>
      <c r="BJ2" s="7"/>
      <c r="BK2" s="7"/>
      <c r="BL2" s="6"/>
      <c r="BM2" s="6"/>
      <c r="BN2" s="6"/>
      <c r="BO2" s="7"/>
      <c r="BP2" s="7"/>
      <c r="BQ2" s="6"/>
      <c r="BR2" s="7"/>
      <c r="BS2" s="6"/>
      <c r="BT2" s="7"/>
      <c r="BU2" s="7"/>
      <c r="BV2" s="6"/>
      <c r="BW2" s="7"/>
      <c r="BX2" s="6"/>
      <c r="BY2" s="7"/>
      <c r="BZ2" s="7"/>
      <c r="CA2" s="6"/>
      <c r="CB2" s="7"/>
      <c r="CC2" s="6"/>
      <c r="CD2" s="7"/>
      <c r="CE2" s="7"/>
      <c r="CF2" s="6"/>
      <c r="CG2" s="7"/>
      <c r="CH2" s="6"/>
      <c r="CI2" s="7"/>
      <c r="CJ2" s="7"/>
      <c r="CK2" s="6"/>
      <c r="CL2" s="7"/>
      <c r="CM2" s="6"/>
      <c r="CN2" s="7"/>
      <c r="CO2" s="4"/>
      <c r="CP2" s="4"/>
      <c r="CQ2" s="23"/>
      <c r="CR2" s="4"/>
    </row>
    <row r="3" spans="1:96" ht="15.75" hidden="1" customHeight="1"/>
    <row r="4" spans="1:96" ht="11.25" customHeight="1">
      <c r="A4" s="10" t="s">
        <v>332</v>
      </c>
      <c r="B4" s="10"/>
      <c r="C4" s="11"/>
      <c r="D4" s="11"/>
      <c r="E4" s="11"/>
      <c r="F4" s="12"/>
      <c r="G4" s="52"/>
      <c r="H4" s="11"/>
      <c r="I4" s="11"/>
      <c r="J4" s="11"/>
      <c r="K4" s="12"/>
      <c r="L4" s="52"/>
      <c r="M4" s="11"/>
      <c r="N4" s="11"/>
      <c r="O4" s="11"/>
      <c r="P4" s="12"/>
      <c r="Q4" s="52"/>
      <c r="R4" s="11"/>
      <c r="S4" s="11"/>
      <c r="T4" s="11"/>
      <c r="U4" s="12"/>
      <c r="V4" s="52"/>
      <c r="W4" s="11"/>
      <c r="X4" s="11"/>
      <c r="Y4" s="11"/>
      <c r="Z4" s="12"/>
      <c r="AA4" s="52"/>
      <c r="AB4" s="11"/>
      <c r="AC4" s="11"/>
      <c r="AD4" s="11"/>
      <c r="AE4" s="12"/>
      <c r="AF4" s="52"/>
      <c r="AG4" s="11"/>
      <c r="AH4" s="11"/>
      <c r="AI4" s="11"/>
      <c r="AJ4" s="11"/>
      <c r="AK4" s="52"/>
      <c r="AL4" s="11"/>
      <c r="AM4" s="11"/>
      <c r="AN4" s="11"/>
      <c r="AO4" s="11"/>
      <c r="AP4" s="52"/>
      <c r="AQ4" s="11"/>
      <c r="AR4" s="11"/>
      <c r="AS4" s="11"/>
      <c r="AT4" s="11"/>
      <c r="AU4" s="70"/>
      <c r="AV4" s="11"/>
      <c r="AW4" s="11"/>
      <c r="AX4" s="11"/>
      <c r="AY4" s="11"/>
      <c r="AZ4" s="70"/>
      <c r="BA4" s="11"/>
      <c r="BB4" s="11"/>
      <c r="BC4" s="11"/>
      <c r="BD4" s="11"/>
      <c r="BE4" s="70"/>
      <c r="BF4" s="11"/>
      <c r="BG4" s="11"/>
      <c r="BH4" s="11"/>
      <c r="BI4" s="11"/>
      <c r="BJ4" s="70"/>
      <c r="BK4" s="11"/>
      <c r="BL4" s="11"/>
      <c r="BM4" s="11"/>
      <c r="BN4" s="11"/>
      <c r="BO4" s="70"/>
      <c r="BP4" s="11"/>
      <c r="BQ4" s="11"/>
      <c r="BR4" s="11"/>
      <c r="BS4" s="11"/>
      <c r="BT4" s="70"/>
      <c r="BU4" s="11"/>
      <c r="BV4" s="11"/>
      <c r="BW4" s="11"/>
      <c r="BX4" s="11"/>
      <c r="BY4" s="70"/>
      <c r="BZ4" s="11"/>
      <c r="CA4" s="11"/>
      <c r="CB4" s="11"/>
      <c r="CC4" s="11"/>
      <c r="CD4" s="70"/>
      <c r="CE4" s="11"/>
      <c r="CF4" s="11"/>
      <c r="CG4" s="11"/>
      <c r="CH4" s="11"/>
      <c r="CI4" s="70"/>
      <c r="CJ4" s="11"/>
      <c r="CK4" s="11"/>
      <c r="CL4" s="11"/>
      <c r="CM4" s="11"/>
      <c r="CN4" s="70"/>
      <c r="CO4" s="11"/>
      <c r="CP4" s="11"/>
      <c r="CQ4" s="24"/>
      <c r="CR4" s="11"/>
    </row>
    <row r="5" spans="1:96">
      <c r="A5" s="405"/>
      <c r="B5" s="405"/>
      <c r="C5" s="407" t="str">
        <f>Model!C6</f>
        <v>2/01</v>
      </c>
      <c r="D5" s="407" t="str">
        <f>Model!D6</f>
        <v>5/01</v>
      </c>
      <c r="E5" s="407" t="str">
        <f>Model!E6</f>
        <v>8/01</v>
      </c>
      <c r="F5" s="407" t="str">
        <f>Model!F6</f>
        <v>11/01</v>
      </c>
      <c r="G5" s="456" t="str">
        <f>Model!G6</f>
        <v>FY01</v>
      </c>
      <c r="H5" s="407" t="str">
        <f>Model!H6</f>
        <v>2/02</v>
      </c>
      <c r="I5" s="407" t="str">
        <f>Model!I6</f>
        <v>5/02</v>
      </c>
      <c r="J5" s="407" t="str">
        <f>Model!J6</f>
        <v>8/02</v>
      </c>
      <c r="K5" s="407" t="str">
        <f>Model!K6</f>
        <v>11/02</v>
      </c>
      <c r="L5" s="456" t="str">
        <f>Model!L6</f>
        <v>FY02</v>
      </c>
      <c r="M5" s="407" t="str">
        <f>Model!M6</f>
        <v>2/03</v>
      </c>
      <c r="N5" s="407" t="str">
        <f>Model!N6</f>
        <v>5/03</v>
      </c>
      <c r="O5" s="407" t="str">
        <f>Model!O6</f>
        <v>8/03</v>
      </c>
      <c r="P5" s="407" t="str">
        <f>Model!P6</f>
        <v>11/03</v>
      </c>
      <c r="Q5" s="456" t="str">
        <f>Model!Q6</f>
        <v>FY03</v>
      </c>
      <c r="R5" s="407" t="str">
        <f>Model!R6</f>
        <v>2/04</v>
      </c>
      <c r="S5" s="407" t="str">
        <f>Model!S6</f>
        <v>5/04</v>
      </c>
      <c r="T5" s="407" t="str">
        <f>Model!T6</f>
        <v>8/04</v>
      </c>
      <c r="U5" s="407" t="str">
        <f>Model!U6</f>
        <v>11/04</v>
      </c>
      <c r="V5" s="456" t="str">
        <f>Model!V6</f>
        <v>FY04</v>
      </c>
      <c r="W5" s="407" t="str">
        <f>Model!W6</f>
        <v>2/05</v>
      </c>
      <c r="X5" s="407" t="str">
        <f>Model!X6</f>
        <v xml:space="preserve"> 5/05</v>
      </c>
      <c r="Y5" s="407" t="str">
        <f>Model!Y6</f>
        <v>8/05</v>
      </c>
      <c r="Z5" s="407" t="str">
        <f>Model!Z6</f>
        <v>11/05</v>
      </c>
      <c r="AA5" s="456" t="str">
        <f>Model!AA6</f>
        <v>FY05</v>
      </c>
      <c r="AB5" s="407" t="str">
        <f>Model!AB6</f>
        <v>2/06</v>
      </c>
      <c r="AC5" s="407" t="str">
        <f>Model!AC6</f>
        <v xml:space="preserve"> 5/06</v>
      </c>
      <c r="AD5" s="407" t="str">
        <f>Model!AD6</f>
        <v>8/06</v>
      </c>
      <c r="AE5" s="407" t="str">
        <f>Model!AE6</f>
        <v>11/06</v>
      </c>
      <c r="AF5" s="456" t="str">
        <f>Model!AF6</f>
        <v>FY06</v>
      </c>
      <c r="AG5" s="407" t="str">
        <f>Model!AG6</f>
        <v xml:space="preserve"> 2/07</v>
      </c>
      <c r="AH5" s="407" t="str">
        <f>Model!AH6</f>
        <v>5/07</v>
      </c>
      <c r="AI5" s="407" t="str">
        <f>Model!AI6</f>
        <v>8/07</v>
      </c>
      <c r="AJ5" s="407" t="str">
        <f>Model!AJ6</f>
        <v>11/07</v>
      </c>
      <c r="AK5" s="456" t="str">
        <f>Model!AK6</f>
        <v>FY07</v>
      </c>
      <c r="AL5" s="407" t="str">
        <f>Model!AL6</f>
        <v xml:space="preserve"> 2/08</v>
      </c>
      <c r="AM5" s="407" t="str">
        <f>Model!AM6</f>
        <v>5/08</v>
      </c>
      <c r="AN5" s="407" t="str">
        <f>Model!AN6</f>
        <v>8/08</v>
      </c>
      <c r="AO5" s="407" t="str">
        <f>Model!AO6</f>
        <v>11/08</v>
      </c>
      <c r="AP5" s="456" t="str">
        <f>Model!AP6</f>
        <v>FY08</v>
      </c>
      <c r="AQ5" s="407" t="str">
        <f>Model!AQ6</f>
        <v xml:space="preserve"> 2/09</v>
      </c>
      <c r="AR5" s="407" t="str">
        <f>Model!AR6</f>
        <v>5/09</v>
      </c>
      <c r="AS5" s="407" t="str">
        <f>Model!AS6</f>
        <v>8/09</v>
      </c>
      <c r="AT5" s="407" t="str">
        <f>Model!AT6</f>
        <v>11/09</v>
      </c>
      <c r="AU5" s="456" t="str">
        <f>Model!AU6</f>
        <v>FY09</v>
      </c>
      <c r="AV5" s="407" t="str">
        <f>Model!AV6</f>
        <v xml:space="preserve"> 2/10</v>
      </c>
      <c r="AW5" s="407" t="str">
        <f>Model!AW6</f>
        <v>5/10</v>
      </c>
      <c r="AX5" s="407" t="str">
        <f>Model!AX6</f>
        <v>8/10</v>
      </c>
      <c r="AY5" s="407" t="str">
        <f>Model!AY6</f>
        <v>11/10</v>
      </c>
      <c r="AZ5" s="456" t="str">
        <f>Model!AZ6</f>
        <v>FY10</v>
      </c>
      <c r="BA5" s="407" t="str">
        <f>Model!BA6</f>
        <v xml:space="preserve"> 2/11</v>
      </c>
      <c r="BB5" s="407" t="str">
        <f>Model!BB6</f>
        <v>5/11</v>
      </c>
      <c r="BC5" s="407" t="str">
        <f>Model!BC6</f>
        <v>8/11</v>
      </c>
      <c r="BD5" s="407" t="str">
        <f>Model!BD6</f>
        <v>11/11</v>
      </c>
      <c r="BE5" s="456" t="str">
        <f>Model!BE6</f>
        <v>FY11</v>
      </c>
      <c r="BF5" s="407" t="str">
        <f>Model!BF6</f>
        <v xml:space="preserve"> 2/12</v>
      </c>
      <c r="BG5" s="407" t="str">
        <f>Model!BG6</f>
        <v>5/12</v>
      </c>
      <c r="BH5" s="407" t="str">
        <f>Model!BH6</f>
        <v>8/12</v>
      </c>
      <c r="BI5" s="407" t="str">
        <f>Model!BI6</f>
        <v>11/12</v>
      </c>
      <c r="BJ5" s="456" t="str">
        <f>Model!BJ6</f>
        <v>FY12</v>
      </c>
      <c r="BK5" s="407" t="str">
        <f>Model!BK6</f>
        <v xml:space="preserve"> 2/13</v>
      </c>
      <c r="BL5" s="407" t="str">
        <f>Model!BL6</f>
        <v>5/13</v>
      </c>
      <c r="BM5" s="407" t="str">
        <f>Model!BM6</f>
        <v>8/13</v>
      </c>
      <c r="BN5" s="407" t="str">
        <f>Model!BN6</f>
        <v>11/13</v>
      </c>
      <c r="BO5" s="456" t="str">
        <f>Model!BO6</f>
        <v>FY13</v>
      </c>
      <c r="BP5" s="407" t="str">
        <f>Model!BP6</f>
        <v xml:space="preserve"> 2/14</v>
      </c>
      <c r="BQ5" s="407" t="str">
        <f>Model!BQ6</f>
        <v>5/14</v>
      </c>
      <c r="BR5" s="407" t="str">
        <f>Model!BR6</f>
        <v>8/14</v>
      </c>
      <c r="BS5" s="407" t="str">
        <f>Model!BS6</f>
        <v>11/14</v>
      </c>
      <c r="BT5" s="456" t="str">
        <f>Model!BT6</f>
        <v>FY14</v>
      </c>
      <c r="BU5" s="407" t="str">
        <f>Model!BU6</f>
        <v xml:space="preserve"> 2/15</v>
      </c>
      <c r="BV5" s="407" t="str">
        <f>Model!BV6</f>
        <v>5/15</v>
      </c>
      <c r="BW5" s="407" t="str">
        <f>Model!BW6</f>
        <v>8/15</v>
      </c>
      <c r="BX5" s="407" t="str">
        <f>Model!BX6</f>
        <v>11/15</v>
      </c>
      <c r="BY5" s="456" t="str">
        <f>Model!BY6</f>
        <v>FY15</v>
      </c>
      <c r="BZ5" s="407" t="str">
        <f>Model!BZ6</f>
        <v xml:space="preserve"> 2/16</v>
      </c>
      <c r="CA5" s="407" t="str">
        <f>Model!CA6</f>
        <v>5/16</v>
      </c>
      <c r="CB5" s="407" t="str">
        <f>Model!CB6</f>
        <v>8/16</v>
      </c>
      <c r="CC5" s="407" t="str">
        <f>Model!CC6</f>
        <v>11/16</v>
      </c>
      <c r="CD5" s="456" t="str">
        <f>Model!CD6</f>
        <v>FY16</v>
      </c>
      <c r="CE5" s="407" t="str">
        <f>Model!CE6</f>
        <v xml:space="preserve"> 2/17</v>
      </c>
      <c r="CF5" s="407" t="str">
        <f>Model!CF6</f>
        <v>5/17</v>
      </c>
      <c r="CG5" s="407" t="str">
        <f>Model!CG6</f>
        <v>8/17</v>
      </c>
      <c r="CH5" s="407" t="str">
        <f>Model!CH6</f>
        <v>11/17</v>
      </c>
      <c r="CI5" s="456" t="str">
        <f>Model!CI6</f>
        <v>FY17</v>
      </c>
      <c r="CJ5" s="407" t="str">
        <f>Model!CJ6</f>
        <v xml:space="preserve"> 2/18</v>
      </c>
      <c r="CK5" s="407" t="str">
        <f>Model!CK6</f>
        <v>5/18E</v>
      </c>
      <c r="CL5" s="407" t="str">
        <f>Model!CL6</f>
        <v>8/18E</v>
      </c>
      <c r="CM5" s="407" t="str">
        <f>Model!CM6</f>
        <v>11/18E</v>
      </c>
      <c r="CN5" s="456" t="str">
        <f>Model!CN6</f>
        <v>FY18E</v>
      </c>
      <c r="CO5" s="407"/>
      <c r="CP5" s="407"/>
      <c r="CQ5" s="410"/>
      <c r="CR5" s="409"/>
    </row>
    <row r="6" spans="1:96" ht="5.25" hidden="1" customHeight="1" outlineLevel="1">
      <c r="A6" s="114"/>
      <c r="B6" s="114"/>
      <c r="C6" s="117"/>
      <c r="D6" s="117"/>
      <c r="E6" s="117"/>
      <c r="F6" s="117"/>
      <c r="G6" s="119"/>
      <c r="H6" s="117"/>
      <c r="I6" s="117"/>
      <c r="J6" s="117"/>
      <c r="K6" s="117"/>
      <c r="L6" s="119"/>
      <c r="M6" s="117"/>
      <c r="N6" s="117"/>
      <c r="O6" s="117"/>
      <c r="P6" s="117"/>
      <c r="Q6" s="119"/>
      <c r="R6" s="117"/>
      <c r="S6" s="117"/>
      <c r="T6" s="117"/>
      <c r="U6" s="117"/>
      <c r="V6" s="119"/>
      <c r="W6" s="117"/>
      <c r="X6" s="117"/>
      <c r="Y6" s="117"/>
      <c r="Z6" s="117"/>
      <c r="AA6" s="119"/>
      <c r="AB6" s="117"/>
      <c r="AC6" s="117"/>
      <c r="AD6" s="117"/>
      <c r="AE6" s="117"/>
      <c r="AF6" s="119"/>
      <c r="AG6" s="117"/>
      <c r="AH6" s="117"/>
      <c r="AI6" s="117"/>
      <c r="AJ6" s="117"/>
      <c r="AK6" s="119"/>
      <c r="AL6" s="117"/>
      <c r="AM6" s="117"/>
      <c r="AN6" s="117"/>
      <c r="AO6" s="117"/>
      <c r="AP6" s="119"/>
      <c r="AQ6" s="117"/>
      <c r="AR6" s="117"/>
      <c r="AS6" s="117"/>
      <c r="AT6" s="117"/>
      <c r="AU6" s="119"/>
      <c r="AV6" s="117"/>
      <c r="AW6" s="117"/>
      <c r="AX6" s="117"/>
      <c r="AY6" s="117"/>
      <c r="AZ6" s="119"/>
      <c r="BA6" s="117"/>
      <c r="BB6" s="117"/>
      <c r="BC6" s="117"/>
      <c r="BD6" s="117"/>
      <c r="BE6" s="119"/>
      <c r="BF6" s="117"/>
      <c r="BG6" s="117"/>
      <c r="BH6" s="117"/>
      <c r="BI6" s="117"/>
      <c r="BJ6" s="119"/>
      <c r="BK6" s="117"/>
      <c r="BL6" s="117"/>
      <c r="BM6" s="117"/>
      <c r="BN6" s="117"/>
      <c r="BO6" s="119"/>
      <c r="BP6" s="117"/>
      <c r="BQ6" s="117"/>
      <c r="BR6" s="117"/>
      <c r="BS6" s="117"/>
      <c r="BT6" s="119"/>
      <c r="BU6" s="117"/>
      <c r="BV6" s="117"/>
      <c r="BW6" s="117"/>
      <c r="BX6" s="117"/>
      <c r="BY6" s="119"/>
      <c r="BZ6" s="117"/>
      <c r="CA6" s="117"/>
      <c r="CB6" s="117"/>
      <c r="CC6" s="117"/>
      <c r="CD6" s="119"/>
      <c r="CE6" s="117"/>
      <c r="CF6" s="117"/>
      <c r="CG6" s="117"/>
      <c r="CH6" s="117"/>
      <c r="CI6" s="119"/>
      <c r="CJ6" s="117"/>
      <c r="CK6" s="117"/>
      <c r="CL6" s="117"/>
      <c r="CM6" s="117"/>
      <c r="CN6" s="119"/>
      <c r="CO6" s="117"/>
      <c r="CP6" s="117"/>
      <c r="CQ6" s="126"/>
      <c r="CR6" s="117"/>
    </row>
    <row r="7" spans="1:96" hidden="1" outlineLevel="1" collapsed="1">
      <c r="A7" s="1159" t="s">
        <v>570</v>
      </c>
      <c r="B7" s="1159"/>
      <c r="C7" s="1159"/>
      <c r="D7" s="1159"/>
      <c r="E7" s="1159"/>
      <c r="F7" s="1159"/>
      <c r="G7" s="1160"/>
      <c r="H7" s="1159"/>
      <c r="I7" s="1159"/>
      <c r="J7" s="1159"/>
      <c r="K7" s="1159"/>
      <c r="L7" s="1160"/>
      <c r="M7" s="1159"/>
      <c r="N7" s="1159"/>
      <c r="O7" s="1159"/>
      <c r="P7" s="1159"/>
      <c r="Q7" s="1160"/>
      <c r="R7" s="1159"/>
      <c r="S7" s="1159"/>
      <c r="T7" s="1159"/>
      <c r="U7" s="1159"/>
      <c r="V7" s="1160"/>
      <c r="W7" s="1159"/>
      <c r="X7" s="1159"/>
      <c r="Y7" s="1159"/>
      <c r="Z7" s="1159"/>
      <c r="AA7" s="1160"/>
      <c r="AB7" s="1159"/>
      <c r="AC7" s="1159"/>
      <c r="AD7" s="1159"/>
      <c r="AE7" s="1159"/>
      <c r="AF7" s="1160"/>
      <c r="AG7" s="1159"/>
      <c r="AH7" s="1159"/>
      <c r="AI7" s="1159"/>
      <c r="AJ7" s="1159"/>
      <c r="AK7" s="1160"/>
      <c r="AL7" s="1159"/>
      <c r="AM7" s="1159"/>
      <c r="AN7" s="1159"/>
      <c r="AO7" s="1159"/>
      <c r="AP7" s="1160"/>
      <c r="AQ7" s="1159"/>
      <c r="AR7" s="1159"/>
      <c r="AS7" s="1159"/>
      <c r="AT7" s="1159"/>
      <c r="AU7" s="1160"/>
      <c r="AV7" s="1159"/>
      <c r="AW7" s="1159"/>
      <c r="AX7" s="1159"/>
      <c r="AY7" s="1159"/>
      <c r="AZ7" s="1160"/>
      <c r="BA7" s="1159"/>
      <c r="BB7" s="1159"/>
      <c r="BC7" s="1159"/>
      <c r="BD7" s="1159"/>
      <c r="BE7" s="1160"/>
      <c r="BF7" s="1159"/>
      <c r="BG7" s="1159"/>
      <c r="BH7" s="1159"/>
      <c r="BI7" s="1159"/>
      <c r="BJ7" s="1160"/>
      <c r="BK7" s="1159"/>
      <c r="BL7" s="1159"/>
      <c r="BM7" s="1159"/>
      <c r="BN7" s="1159"/>
      <c r="BO7" s="1160"/>
      <c r="BP7" s="1159"/>
      <c r="BQ7" s="1159"/>
      <c r="BR7" s="1159"/>
      <c r="BS7" s="1159"/>
      <c r="BT7" s="1160"/>
      <c r="BU7" s="1159"/>
      <c r="BV7" s="1159"/>
      <c r="BW7" s="1159"/>
      <c r="BX7" s="1159"/>
      <c r="BY7" s="1160"/>
      <c r="BZ7" s="1159"/>
      <c r="CA7" s="1159"/>
      <c r="CB7" s="1159"/>
      <c r="CC7" s="1159"/>
      <c r="CD7" s="1160"/>
      <c r="CE7" s="1159"/>
      <c r="CF7" s="1159"/>
      <c r="CG7" s="1159"/>
      <c r="CH7" s="1159"/>
      <c r="CI7" s="1160"/>
      <c r="CJ7" s="1159"/>
      <c r="CK7" s="1159"/>
      <c r="CL7" s="1159"/>
      <c r="CM7" s="1159"/>
      <c r="CN7" s="1160"/>
      <c r="CO7" s="1791"/>
      <c r="CP7" s="1161"/>
      <c r="CQ7" s="1162"/>
      <c r="CR7" s="1161"/>
    </row>
    <row r="8" spans="1:96" hidden="1" outlineLevel="1" collapsed="1">
      <c r="A8" s="1164" t="s">
        <v>191</v>
      </c>
      <c r="B8" s="1164"/>
      <c r="C8" s="1164"/>
      <c r="D8" s="1164"/>
      <c r="E8" s="1164"/>
      <c r="F8" s="1164"/>
      <c r="G8" s="1165"/>
      <c r="H8" s="1164"/>
      <c r="I8" s="1164"/>
      <c r="J8" s="1164"/>
      <c r="K8" s="1164"/>
      <c r="L8" s="1165"/>
      <c r="M8" s="1164"/>
      <c r="N8" s="1164"/>
      <c r="O8" s="1164"/>
      <c r="P8" s="1164"/>
      <c r="Q8" s="1165"/>
      <c r="R8" s="1164"/>
      <c r="S8" s="1164"/>
      <c r="T8" s="1164"/>
      <c r="U8" s="1164"/>
      <c r="V8" s="1165"/>
      <c r="W8" s="1164"/>
      <c r="X8" s="1164"/>
      <c r="Y8" s="1164"/>
      <c r="Z8" s="1164"/>
      <c r="AA8" s="1165"/>
      <c r="AB8" s="1164"/>
      <c r="AC8" s="1164"/>
      <c r="AD8" s="1164"/>
      <c r="AE8" s="1164"/>
      <c r="AF8" s="1165"/>
      <c r="AG8" s="1164"/>
      <c r="AH8" s="1164"/>
      <c r="AI8" s="1164"/>
      <c r="AJ8" s="1164"/>
      <c r="AK8" s="1165"/>
      <c r="AL8" s="1164"/>
      <c r="AM8" s="1164"/>
      <c r="AN8" s="1164"/>
      <c r="AO8" s="1164"/>
      <c r="AP8" s="1165"/>
      <c r="AQ8" s="1164"/>
      <c r="AR8" s="1164"/>
      <c r="AS8" s="1164"/>
      <c r="AT8" s="1164"/>
      <c r="AU8" s="1165"/>
      <c r="AV8" s="1164"/>
      <c r="AW8" s="1164"/>
      <c r="AX8" s="1164"/>
      <c r="AY8" s="1164"/>
      <c r="AZ8" s="1165"/>
      <c r="BA8" s="1164"/>
      <c r="BB8" s="1164"/>
      <c r="BC8" s="1164"/>
      <c r="BD8" s="1164"/>
      <c r="BE8" s="1165"/>
      <c r="BF8" s="1164"/>
      <c r="BG8" s="1164"/>
      <c r="BH8" s="1164"/>
      <c r="BI8" s="1164"/>
      <c r="BJ8" s="1165"/>
      <c r="BK8" s="1164"/>
      <c r="BL8" s="1164"/>
      <c r="BM8" s="1164"/>
      <c r="BN8" s="1164"/>
      <c r="BO8" s="1165"/>
      <c r="BP8" s="1164"/>
      <c r="BQ8" s="1164"/>
      <c r="BR8" s="1164"/>
      <c r="BS8" s="1164"/>
      <c r="BT8" s="1165"/>
      <c r="BU8" s="1164"/>
      <c r="BV8" s="1164"/>
      <c r="BW8" s="1164"/>
      <c r="BX8" s="1164"/>
      <c r="BY8" s="1165"/>
      <c r="BZ8" s="1164"/>
      <c r="CA8" s="1164"/>
      <c r="CB8" s="1164"/>
      <c r="CC8" s="1164"/>
      <c r="CD8" s="1165"/>
      <c r="CE8" s="1164"/>
      <c r="CF8" s="1164"/>
      <c r="CG8" s="1164"/>
      <c r="CH8" s="1164"/>
      <c r="CI8" s="1165"/>
      <c r="CJ8" s="1164"/>
      <c r="CK8" s="1164"/>
      <c r="CL8" s="1164"/>
      <c r="CM8" s="1164"/>
      <c r="CN8" s="1165"/>
      <c r="CO8" s="1792"/>
      <c r="CP8" s="1164"/>
      <c r="CQ8" s="1166"/>
      <c r="CR8" s="1164"/>
    </row>
    <row r="9" spans="1:96" hidden="1" outlineLevel="1">
      <c r="A9" s="1163" t="s">
        <v>167</v>
      </c>
      <c r="B9" s="1163"/>
      <c r="C9" s="1167">
        <f>C39</f>
        <v>151.32574</v>
      </c>
      <c r="D9" s="1167">
        <f>D39</f>
        <v>158.28278</v>
      </c>
      <c r="E9" s="1167">
        <f>E39</f>
        <v>154.82254</v>
      </c>
      <c r="F9" s="1167">
        <f>F39</f>
        <v>127.07694000000004</v>
      </c>
      <c r="G9" s="1168">
        <f>SUM(C9:F9)</f>
        <v>591.50800000000004</v>
      </c>
      <c r="H9" s="1167">
        <f>H39</f>
        <v>123.23216000000001</v>
      </c>
      <c r="I9" s="1167">
        <f>I39</f>
        <v>158.67950000000002</v>
      </c>
      <c r="J9" s="1167">
        <f>J39</f>
        <v>156.68345000000002</v>
      </c>
      <c r="K9" s="1167">
        <f>K39</f>
        <v>145.20488999999986</v>
      </c>
      <c r="L9" s="1168">
        <f>SUM(H9:K9)</f>
        <v>583.79999999999995</v>
      </c>
      <c r="M9" s="1167">
        <f>M39</f>
        <v>146.5</v>
      </c>
      <c r="N9" s="1167">
        <f>N39</f>
        <v>157.4</v>
      </c>
      <c r="O9" s="1167">
        <f>O39</f>
        <v>156.80000000000001</v>
      </c>
      <c r="P9" s="1167">
        <f>P39</f>
        <v>179.50000000000006</v>
      </c>
      <c r="Q9" s="1168">
        <f>SUM(M9:P9)</f>
        <v>640.20000000000005</v>
      </c>
      <c r="R9" s="1167">
        <f>R39</f>
        <v>183.5</v>
      </c>
      <c r="S9" s="1167">
        <f>S39</f>
        <v>182.5</v>
      </c>
      <c r="T9" s="1167">
        <f>T39</f>
        <v>195.9</v>
      </c>
      <c r="U9" s="1167">
        <f>U39</f>
        <v>208.70000000000005</v>
      </c>
      <c r="V9" s="1168">
        <f>SUM(R9:U9)</f>
        <v>770.6</v>
      </c>
      <c r="W9" s="1167">
        <f>W39</f>
        <v>218</v>
      </c>
      <c r="X9" s="1167">
        <f>X39</f>
        <v>242.4</v>
      </c>
      <c r="Y9" s="1167">
        <f>Y39</f>
        <v>228.3</v>
      </c>
      <c r="Z9" s="1167">
        <f>Z39</f>
        <v>251</v>
      </c>
      <c r="AA9" s="1168">
        <f>SUM(W9:Z9)</f>
        <v>939.7</v>
      </c>
      <c r="AB9" s="1167">
        <f>AB39</f>
        <v>313.7</v>
      </c>
      <c r="AC9" s="1167">
        <f>AC39</f>
        <v>305.89999999999998</v>
      </c>
      <c r="AD9" s="1167">
        <f>AD39</f>
        <v>310.3</v>
      </c>
      <c r="AE9" s="1167">
        <f>AE39</f>
        <v>336.9</v>
      </c>
      <c r="AF9" s="1168">
        <f>SUM(AB9:AE9)</f>
        <v>1266.7999999999997</v>
      </c>
      <c r="AG9" s="1167">
        <f>AG39</f>
        <v>298.3</v>
      </c>
      <c r="AH9" s="1167">
        <f>AH39</f>
        <v>383.5</v>
      </c>
      <c r="AI9" s="1167">
        <f>AI39</f>
        <v>400.7</v>
      </c>
      <c r="AJ9" s="1167">
        <f>AJ39</f>
        <v>426.4</v>
      </c>
      <c r="AK9" s="1168">
        <f>SUM(AG9:AJ9)</f>
        <v>1508.9</v>
      </c>
      <c r="AL9" s="1167">
        <f>AL39</f>
        <v>396.9</v>
      </c>
      <c r="AM9" s="1167">
        <f>AM39</f>
        <v>383.8</v>
      </c>
      <c r="AN9" s="1167">
        <f>AN39</f>
        <v>429.6</v>
      </c>
      <c r="AO9" s="1167">
        <f>AO39</f>
        <v>422.6</v>
      </c>
      <c r="AP9" s="1168">
        <f>SUM(AL9:AO9)</f>
        <v>1632.9</v>
      </c>
      <c r="AQ9" s="1167">
        <f>AQ39</f>
        <v>326.10000000000002</v>
      </c>
      <c r="AR9" s="1167">
        <f>AR39</f>
        <v>317.8</v>
      </c>
      <c r="AS9" s="1167">
        <f>AS39</f>
        <v>354.6</v>
      </c>
      <c r="AT9" s="1167">
        <f>AT39</f>
        <v>384.2</v>
      </c>
      <c r="AU9" s="1168">
        <f>SUM(AQ9:AT9)</f>
        <v>1382.7</v>
      </c>
      <c r="AV9" s="1167">
        <f>AV39</f>
        <v>408.4</v>
      </c>
      <c r="AW9" s="1167">
        <f>AW39</f>
        <v>455.2</v>
      </c>
      <c r="AX9" s="1167">
        <f>AX39</f>
        <v>493.9</v>
      </c>
      <c r="AY9" s="1167">
        <f>AY39</f>
        <v>492.9</v>
      </c>
      <c r="AZ9" s="1168">
        <f>SUM(AV9:AY9)</f>
        <v>1850.4</v>
      </c>
      <c r="BA9" s="1167">
        <f>BA39</f>
        <v>506.3</v>
      </c>
      <c r="BB9" s="1167">
        <f>BB39</f>
        <v>492.5</v>
      </c>
      <c r="BC9" s="1167">
        <f>BC39</f>
        <v>507.6</v>
      </c>
      <c r="BD9" s="1167">
        <f>BD39</f>
        <v>554.9</v>
      </c>
      <c r="BE9" s="1168">
        <f>SUM(BA9:BD9)</f>
        <v>2061.3000000000002</v>
      </c>
      <c r="BF9" s="1167">
        <f>BF39</f>
        <v>503.1</v>
      </c>
      <c r="BG9" s="1167">
        <f>BG39</f>
        <v>551.29999999999995</v>
      </c>
      <c r="BH9" s="1167">
        <f>BH39</f>
        <v>558.29999999999995</v>
      </c>
      <c r="BI9" s="1167">
        <f>BI39</f>
        <v>583.6</v>
      </c>
      <c r="BJ9" s="1168">
        <f>SUM(BF9:BI9)</f>
        <v>2196.3000000000002</v>
      </c>
      <c r="BK9" s="1167">
        <f>BK39</f>
        <v>500.3</v>
      </c>
      <c r="BL9" s="1167">
        <f>BL39</f>
        <v>525.4</v>
      </c>
      <c r="BM9" s="1167">
        <f>BM39</f>
        <v>534.1</v>
      </c>
      <c r="BN9" s="1167">
        <f>BN39</f>
        <v>574.6</v>
      </c>
      <c r="BO9" s="1168">
        <f>SUM(BK9:BN9)</f>
        <v>2134.4</v>
      </c>
      <c r="BP9" s="1167">
        <f>BP39</f>
        <v>536.6</v>
      </c>
      <c r="BQ9" s="1167">
        <f>BQ39</f>
        <v>579.20000000000005</v>
      </c>
      <c r="BR9" s="1167">
        <f>BR39</f>
        <v>582</v>
      </c>
      <c r="BS9" s="1167">
        <f>BS39</f>
        <v>616.6</v>
      </c>
      <c r="BT9" s="1168">
        <f>SUM(BP9:BS9)</f>
        <v>2314.4</v>
      </c>
      <c r="BU9" s="1167">
        <f>BU39</f>
        <v>644.6</v>
      </c>
      <c r="BV9" s="1167">
        <f>BV39</f>
        <v>669.2</v>
      </c>
      <c r="BW9" s="1167">
        <f>BW39</f>
        <v>698.1</v>
      </c>
      <c r="BX9" s="1167">
        <f>BX39</f>
        <v>776.2</v>
      </c>
      <c r="BY9" s="1168">
        <f>SUM(BU9:BX9)</f>
        <v>2788.1000000000004</v>
      </c>
      <c r="BZ9" s="1167">
        <f>BZ39</f>
        <v>806.5</v>
      </c>
      <c r="CA9" s="1167">
        <f>CA39</f>
        <v>820</v>
      </c>
      <c r="CB9" s="1167">
        <f>CB39</f>
        <v>851.9</v>
      </c>
      <c r="CC9" s="1167">
        <f>CC39</f>
        <v>921.73500000000013</v>
      </c>
      <c r="CD9" s="1168"/>
      <c r="CE9" s="1167">
        <f>CE39</f>
        <v>975.8</v>
      </c>
      <c r="CF9" s="1167">
        <f>CF39</f>
        <v>1026.7</v>
      </c>
      <c r="CG9" s="1167">
        <f>CG39</f>
        <v>1063.0999999999999</v>
      </c>
      <c r="CH9" s="1167">
        <f>CH39</f>
        <v>1150.9000000000001</v>
      </c>
      <c r="CI9" s="1168"/>
      <c r="CJ9" s="1167">
        <f>CJ39</f>
        <v>1179.9088151762626</v>
      </c>
      <c r="CK9" s="1167">
        <f>CK39</f>
        <v>1218.2717988499444</v>
      </c>
      <c r="CL9" s="1167">
        <f>CL39</f>
        <v>1265.7217438553153</v>
      </c>
      <c r="CM9" s="1167">
        <f>CM39</f>
        <v>1322.1151289597938</v>
      </c>
      <c r="CN9" s="1168"/>
      <c r="CO9" s="1793"/>
      <c r="CP9" s="1169"/>
      <c r="CQ9" s="1170"/>
      <c r="CR9" s="1169"/>
    </row>
    <row r="10" spans="1:96" hidden="1" outlineLevel="1">
      <c r="A10" s="1163" t="s">
        <v>563</v>
      </c>
      <c r="B10" s="1163"/>
      <c r="C10" s="1167">
        <f>C11-C9</f>
        <v>177.64326</v>
      </c>
      <c r="D10" s="1167">
        <f>D11-D9</f>
        <v>185.81022000000002</v>
      </c>
      <c r="E10" s="1167">
        <f>E11-E9</f>
        <v>137.29545999999999</v>
      </c>
      <c r="F10" s="1167">
        <f>F11-F9</f>
        <v>137.46305999999993</v>
      </c>
      <c r="G10" s="1168">
        <f>SUM(C10:F10)</f>
        <v>638.21199999999999</v>
      </c>
      <c r="H10" s="1167">
        <f>H11-H9</f>
        <v>144.66383999999999</v>
      </c>
      <c r="I10" s="1167">
        <f>I11-I9</f>
        <v>158.67950000000002</v>
      </c>
      <c r="J10" s="1167">
        <f>J11-J9</f>
        <v>128.19555</v>
      </c>
      <c r="K10" s="1167">
        <f>K11-K9</f>
        <v>149.44911000000013</v>
      </c>
      <c r="L10" s="1168">
        <f>SUM(H10:K10)</f>
        <v>580.98800000000017</v>
      </c>
      <c r="M10" s="1167">
        <f>M11-M9</f>
        <v>150.39499999999998</v>
      </c>
      <c r="N10" s="1167">
        <f>N11-N9</f>
        <v>162.74599999999995</v>
      </c>
      <c r="O10" s="1167">
        <f>O11-O9</f>
        <v>162.32199999999995</v>
      </c>
      <c r="P10" s="1167">
        <f>P11-P9</f>
        <v>179.08599999999984</v>
      </c>
      <c r="Q10" s="1168">
        <f>SUM(M10:P10)</f>
        <v>654.54899999999975</v>
      </c>
      <c r="R10" s="1167">
        <f>R11-R9</f>
        <v>239.78100000000001</v>
      </c>
      <c r="S10" s="1167">
        <f>S11-S9</f>
        <v>227.58499999999998</v>
      </c>
      <c r="T10" s="1167">
        <f>T11-T9</f>
        <v>207.81299999999996</v>
      </c>
      <c r="U10" s="1167">
        <f>U11-U9</f>
        <v>220.80199999999991</v>
      </c>
      <c r="V10" s="1168">
        <f>SUM(R10:U10)</f>
        <v>895.98099999999988</v>
      </c>
      <c r="W10" s="1171">
        <f>W11-W9</f>
        <v>254.88200000000001</v>
      </c>
      <c r="X10" s="1171">
        <f>X11-X9</f>
        <v>253.62899999999999</v>
      </c>
      <c r="Y10" s="1171">
        <f>Y11-Y9</f>
        <v>258.73899999999998</v>
      </c>
      <c r="Z10" s="1171">
        <f>Z11-Z9</f>
        <v>259.37100000000009</v>
      </c>
      <c r="AA10" s="1168">
        <f>SUM(W10:Z10)</f>
        <v>1026.6210000000001</v>
      </c>
      <c r="AB10" s="1171">
        <f>AB11-AB9</f>
        <v>341.77800000000008</v>
      </c>
      <c r="AC10" s="1171">
        <f>AC11-AC9</f>
        <v>329.55600000000004</v>
      </c>
      <c r="AD10" s="1171">
        <f>AD11-AD9</f>
        <v>291.89099999999991</v>
      </c>
      <c r="AE10" s="1171">
        <f>AE11-AE9</f>
        <v>345.27499999999998</v>
      </c>
      <c r="AF10" s="1168">
        <f>SUM(AB10:AE10)</f>
        <v>1308.5</v>
      </c>
      <c r="AG10" s="1171">
        <f>AG11-AG9</f>
        <v>351.10700000000003</v>
      </c>
      <c r="AH10" s="1171">
        <f>AH11-AH9</f>
        <v>362.077</v>
      </c>
      <c r="AI10" s="1171">
        <f>AI11-AI9</f>
        <v>450.98599999999993</v>
      </c>
      <c r="AJ10" s="1171">
        <f>AJ11-AJ9</f>
        <v>484.81100000000004</v>
      </c>
      <c r="AK10" s="1168">
        <f>SUM(AG10:AJ10)</f>
        <v>1648.9809999999998</v>
      </c>
      <c r="AL10" s="1171">
        <f>AL11-AL9</f>
        <v>493.54499999999996</v>
      </c>
      <c r="AM10" s="1171">
        <f>AM11-AM9</f>
        <v>503.08600000000007</v>
      </c>
      <c r="AN10" s="1171">
        <f>AN11-AN9</f>
        <v>457.65699999999993</v>
      </c>
      <c r="AO10" s="1171">
        <f>AO11-AO9</f>
        <v>492.70100000000002</v>
      </c>
      <c r="AP10" s="1168">
        <f>SUM(AL10:AO10)</f>
        <v>1946.989</v>
      </c>
      <c r="AQ10" s="1171">
        <f>AQ11-AQ9</f>
        <v>460.28999999999996</v>
      </c>
      <c r="AR10" s="1171">
        <f>AR11-AR9</f>
        <v>386.87299999999999</v>
      </c>
      <c r="AS10" s="1171">
        <f>AS11-AS9</f>
        <v>342.90700000000004</v>
      </c>
      <c r="AT10" s="1171">
        <f>AT11-AT9</f>
        <v>373.08300000000003</v>
      </c>
      <c r="AU10" s="1168">
        <f>SUM(AQ10:AT10)</f>
        <v>1563.1530000000002</v>
      </c>
      <c r="AV10" s="1171">
        <f>AV11-AV9</f>
        <v>450.30000000000007</v>
      </c>
      <c r="AW10" s="1171">
        <f>AW11-AW9</f>
        <v>487.83499999999998</v>
      </c>
      <c r="AX10" s="1171">
        <f>AX11-AX9</f>
        <v>496.4190000000001</v>
      </c>
      <c r="AY10" s="1171">
        <f>AY11-AY9</f>
        <v>515.04599999999994</v>
      </c>
      <c r="AZ10" s="1168">
        <f>SUM(AV10:AY10)</f>
        <v>1949.6</v>
      </c>
      <c r="BA10" s="1171">
        <f>BA11-BA9</f>
        <v>521.40600000000018</v>
      </c>
      <c r="BB10" s="1171">
        <f>BB11-BB9</f>
        <v>530.67899999999997</v>
      </c>
      <c r="BC10" s="1171">
        <f>BC11-BC9</f>
        <v>505.61199999999997</v>
      </c>
      <c r="BD10" s="1171">
        <f>BD11-BD9</f>
        <v>597.26099999999985</v>
      </c>
      <c r="BE10" s="1168">
        <f>SUM(BA10:BD10)</f>
        <v>2154.9580000000001</v>
      </c>
      <c r="BF10" s="1171">
        <f>BF11-BF9</f>
        <v>542.12</v>
      </c>
      <c r="BG10" s="1171">
        <f>BG11-BG9</f>
        <v>573.14900000000011</v>
      </c>
      <c r="BH10" s="1171">
        <f>BH11-BH9</f>
        <v>522.28</v>
      </c>
      <c r="BI10" s="1171">
        <f>BI11-BI9</f>
        <v>569.82799999999986</v>
      </c>
      <c r="BJ10" s="1168">
        <f>SUM(BF10:BI10)</f>
        <v>2207.377</v>
      </c>
      <c r="BK10" s="1171">
        <f>BK11-BK9</f>
        <v>507.57299999999992</v>
      </c>
      <c r="BL10" s="1171">
        <f>BL11-BL9</f>
        <v>485.149</v>
      </c>
      <c r="BM10" s="1171">
        <f>BM11-BM9</f>
        <v>461.01900000000001</v>
      </c>
      <c r="BN10" s="1171">
        <f>BN11-BN9</f>
        <v>467.09899999999982</v>
      </c>
      <c r="BO10" s="1168">
        <f>SUM(BK10:BN10)</f>
        <v>1920.8399999999997</v>
      </c>
      <c r="BP10" s="1171">
        <f>BP11-BP9</f>
        <v>463.52</v>
      </c>
      <c r="BQ10" s="1171">
        <f>BQ11-BQ9</f>
        <v>489.00800000000004</v>
      </c>
      <c r="BR10" s="1171">
        <f>BR11-BR9</f>
        <v>423.40900000000011</v>
      </c>
      <c r="BS10" s="1171">
        <f>BS11-BS9</f>
        <v>456.72799999999995</v>
      </c>
      <c r="BT10" s="1168">
        <f>SUM(BP10:BS10)</f>
        <v>1832.665</v>
      </c>
      <c r="BU10" s="1171">
        <f>BU11-BU9</f>
        <v>464.58100000000002</v>
      </c>
      <c r="BV10" s="1171">
        <f>BV11-BV9</f>
        <v>492.95799999999986</v>
      </c>
      <c r="BW10" s="1171">
        <f>BW11-BW9</f>
        <v>519.66800000000001</v>
      </c>
      <c r="BX10" s="1171">
        <f>BX11-BX9</f>
        <v>530.20399999999972</v>
      </c>
      <c r="BY10" s="1168">
        <f>SUM(BU10:BX10)</f>
        <v>2007.4109999999996</v>
      </c>
      <c r="BZ10" s="1171">
        <f>BZ11-BZ9</f>
        <v>576.83500000000004</v>
      </c>
      <c r="CA10" s="1171">
        <f>CA11-CA9</f>
        <v>578.70900000000006</v>
      </c>
      <c r="CB10" s="1171">
        <f>CB11-CB9</f>
        <v>612.06700000000012</v>
      </c>
      <c r="CC10" s="1171">
        <f>CC11-CC9</f>
        <v>686.68399999999974</v>
      </c>
      <c r="CD10" s="1168"/>
      <c r="CE10" s="1171">
        <f>CE11-CE9</f>
        <v>705.846</v>
      </c>
      <c r="CF10" s="1171">
        <f>CF11-CF9</f>
        <v>745.49</v>
      </c>
      <c r="CG10" s="1171">
        <f>CG11-CG9</f>
        <v>777.97400000000016</v>
      </c>
      <c r="CH10" s="1171">
        <f>CH11-CH9</f>
        <v>855.69499999999994</v>
      </c>
      <c r="CI10" s="1168"/>
      <c r="CJ10" s="1171">
        <f>CJ11-CJ9</f>
        <v>899.03818482373754</v>
      </c>
      <c r="CK10" s="1171">
        <f>CK11-CK9</f>
        <v>956.72991366988344</v>
      </c>
      <c r="CL10" s="1171">
        <f>CL11-CL9</f>
        <v>995.75403958697416</v>
      </c>
      <c r="CM10" s="1171">
        <f>CM11-CM9</f>
        <v>1057.6893492957292</v>
      </c>
      <c r="CN10" s="1168"/>
      <c r="CO10" s="1793"/>
      <c r="CP10" s="1169"/>
      <c r="CQ10" s="1170"/>
      <c r="CR10" s="1169"/>
    </row>
    <row r="11" spans="1:96" hidden="1" outlineLevel="1">
      <c r="A11" s="1161" t="s">
        <v>526</v>
      </c>
      <c r="B11" s="1161"/>
      <c r="C11" s="1172">
        <f>lrev _1c01</f>
        <v>328.96899999999999</v>
      </c>
      <c r="D11" s="1172">
        <f>lrev _2c01</f>
        <v>344.09300000000002</v>
      </c>
      <c r="E11" s="1172">
        <f>lrev _3c01</f>
        <v>292.11799999999999</v>
      </c>
      <c r="F11" s="1172">
        <f>lrev _4c01</f>
        <v>264.53999999999996</v>
      </c>
      <c r="G11" s="1173">
        <f>SUM(C11:F11)</f>
        <v>1229.72</v>
      </c>
      <c r="H11" s="1172">
        <f>Model!H24</f>
        <v>267.89600000000002</v>
      </c>
      <c r="I11" s="1172">
        <f>Model!I24</f>
        <v>317.35900000000004</v>
      </c>
      <c r="J11" s="1172">
        <f>Model!J24</f>
        <v>284.87900000000002</v>
      </c>
      <c r="K11" s="1172">
        <f>Model!K24</f>
        <v>294.654</v>
      </c>
      <c r="L11" s="1173">
        <f>Model!L24</f>
        <v>1164.788</v>
      </c>
      <c r="M11" s="1172">
        <f>Model!M24</f>
        <v>296.89499999999998</v>
      </c>
      <c r="N11" s="1172">
        <f>Model!N24</f>
        <v>320.14599999999996</v>
      </c>
      <c r="O11" s="1172">
        <f>Model!O24</f>
        <v>319.12199999999996</v>
      </c>
      <c r="P11" s="1172">
        <f>Model!P24</f>
        <v>358.5859999999999</v>
      </c>
      <c r="Q11" s="1173">
        <f>Model!Q24</f>
        <v>1294.7489999999998</v>
      </c>
      <c r="R11" s="1172">
        <f>Model!R24</f>
        <v>423.28100000000001</v>
      </c>
      <c r="S11" s="1172">
        <f>Model!S24</f>
        <v>410.08499999999998</v>
      </c>
      <c r="T11" s="1172">
        <f>Model!T24</f>
        <v>403.71299999999997</v>
      </c>
      <c r="U11" s="1172">
        <f>Model!U24</f>
        <v>429.50199999999995</v>
      </c>
      <c r="V11" s="1173">
        <f>Model!V24</f>
        <v>1666.5810000000001</v>
      </c>
      <c r="W11" s="1172">
        <f>Model!W24</f>
        <v>472.88200000000001</v>
      </c>
      <c r="X11" s="1172">
        <f>Model!X24</f>
        <v>496.029</v>
      </c>
      <c r="Y11" s="1172">
        <f>Model!Y24</f>
        <v>487.03899999999999</v>
      </c>
      <c r="Z11" s="1172">
        <f>Model!Z24</f>
        <v>510.37100000000009</v>
      </c>
      <c r="AA11" s="1173">
        <f>Model!AA24</f>
        <v>1966.3209999999999</v>
      </c>
      <c r="AB11" s="1172">
        <f>Model!AB24</f>
        <v>655.47800000000007</v>
      </c>
      <c r="AC11" s="1172">
        <f>Model!AC24</f>
        <v>635.45600000000002</v>
      </c>
      <c r="AD11" s="1172">
        <f>Model!AD24</f>
        <v>602.19099999999992</v>
      </c>
      <c r="AE11" s="1172">
        <f>Model!AE24</f>
        <v>682.17499999999995</v>
      </c>
      <c r="AF11" s="1173">
        <f>Model!AF24</f>
        <v>2575.2999999999997</v>
      </c>
      <c r="AG11" s="1172">
        <f>Model!AG24</f>
        <v>649.40700000000004</v>
      </c>
      <c r="AH11" s="1172">
        <f>Model!AH24</f>
        <v>745.577</v>
      </c>
      <c r="AI11" s="1172">
        <f>Model!AI24</f>
        <v>851.68599999999992</v>
      </c>
      <c r="AJ11" s="1172">
        <f>Model!AJ24</f>
        <v>911.21100000000001</v>
      </c>
      <c r="AK11" s="1173">
        <f>Model!AK24</f>
        <v>3157.8809999999999</v>
      </c>
      <c r="AL11" s="1172">
        <f>Model!AL24</f>
        <v>890.44499999999994</v>
      </c>
      <c r="AM11" s="1172">
        <f>Model!AM24</f>
        <v>886.88600000000008</v>
      </c>
      <c r="AN11" s="1172">
        <f>Model!AN24</f>
        <v>887.25699999999995</v>
      </c>
      <c r="AO11" s="1172">
        <f>Model!AO24</f>
        <v>915.30100000000004</v>
      </c>
      <c r="AP11" s="1173">
        <f>Model!AP24</f>
        <v>3579.8890000000001</v>
      </c>
      <c r="AQ11" s="1172">
        <f>Model!AQ24</f>
        <v>786.39</v>
      </c>
      <c r="AR11" s="1172">
        <f>Model!AR24</f>
        <v>704.673</v>
      </c>
      <c r="AS11" s="1172">
        <f>Model!AS24</f>
        <v>697.50700000000006</v>
      </c>
      <c r="AT11" s="1172">
        <f>Model!AT24</f>
        <v>757.28300000000002</v>
      </c>
      <c r="AU11" s="1173">
        <f>Model!AU24</f>
        <v>2945.8529999999996</v>
      </c>
      <c r="AV11" s="1172">
        <f>Model!AV24</f>
        <v>858.7</v>
      </c>
      <c r="AW11" s="1172">
        <f>Model!AW24</f>
        <v>943.03499999999997</v>
      </c>
      <c r="AX11" s="1172">
        <f>Model!AX24</f>
        <v>990.31900000000007</v>
      </c>
      <c r="AY11" s="1172">
        <f>Model!AY24</f>
        <v>1007.9459999999999</v>
      </c>
      <c r="AZ11" s="1173">
        <f>Model!AZ24</f>
        <v>3800</v>
      </c>
      <c r="BA11" s="1172">
        <f>Model!BA24</f>
        <v>1027.7060000000001</v>
      </c>
      <c r="BB11" s="1172">
        <f>Model!BB24</f>
        <v>1023.179</v>
      </c>
      <c r="BC11" s="1172">
        <f>Model!BC24</f>
        <v>1013.212</v>
      </c>
      <c r="BD11" s="1172">
        <f>Model!BD24</f>
        <v>1152.1609999999998</v>
      </c>
      <c r="BE11" s="1173">
        <f>Model!BE24</f>
        <v>4216.2579999999998</v>
      </c>
      <c r="BF11" s="1172">
        <f>Model!BF24</f>
        <v>1045.22</v>
      </c>
      <c r="BG11" s="1172">
        <f>Model!BG24</f>
        <v>1124.4490000000001</v>
      </c>
      <c r="BH11" s="1172">
        <f>Model!BH24</f>
        <v>1080.58</v>
      </c>
      <c r="BI11" s="1172">
        <f>Model!BI24</f>
        <v>1153.4279999999999</v>
      </c>
      <c r="BJ11" s="1173">
        <f>Model!BJ24</f>
        <v>4403.6769999999997</v>
      </c>
      <c r="BK11" s="1172">
        <f>Model!BK24</f>
        <v>1007.8729999999999</v>
      </c>
      <c r="BL11" s="1172">
        <f>Model!BL24</f>
        <v>1010.549</v>
      </c>
      <c r="BM11" s="1172">
        <f>Model!BM24</f>
        <v>995.11900000000003</v>
      </c>
      <c r="BN11" s="1172">
        <f>Model!BN24</f>
        <v>1041.6989999999998</v>
      </c>
      <c r="BO11" s="1173">
        <f>Model!BO24</f>
        <v>4055.24</v>
      </c>
      <c r="BP11" s="1172">
        <f>Model!BP24</f>
        <v>1000.12</v>
      </c>
      <c r="BQ11" s="1172">
        <f>Model!BQ24</f>
        <v>1068.2080000000001</v>
      </c>
      <c r="BR11" s="1172">
        <f>Model!BR24</f>
        <v>1005.4090000000001</v>
      </c>
      <c r="BS11" s="1172">
        <f>Model!BS24</f>
        <v>1073.328</v>
      </c>
      <c r="BT11" s="1173">
        <f>Model!BT24</f>
        <v>4147.0649999999996</v>
      </c>
      <c r="BU11" s="1172">
        <f>Model!BU24</f>
        <v>1109.181</v>
      </c>
      <c r="BV11" s="1172">
        <f>Model!BV24</f>
        <v>1162.1579999999999</v>
      </c>
      <c r="BW11" s="1172">
        <f>Model!BW24</f>
        <v>1217.768</v>
      </c>
      <c r="BX11" s="1172">
        <f>Model!BX24</f>
        <v>1306.4039999999998</v>
      </c>
      <c r="BY11" s="1173">
        <f>Model!BY24</f>
        <v>4795.5109999999995</v>
      </c>
      <c r="BZ11" s="1172">
        <f>Model!BZ24</f>
        <v>1383.335</v>
      </c>
      <c r="CA11" s="1172">
        <f>Model!CA24</f>
        <v>1398.7090000000001</v>
      </c>
      <c r="CB11" s="1172">
        <f>Model!CB24</f>
        <v>1463.9670000000001</v>
      </c>
      <c r="CC11" s="1172">
        <f>Model!CC24</f>
        <v>1608.4189999999999</v>
      </c>
      <c r="CD11" s="1173"/>
      <c r="CE11" s="1172">
        <f>Model!CE24</f>
        <v>1681.646</v>
      </c>
      <c r="CF11" s="1172">
        <f>Model!CF24</f>
        <v>1772.19</v>
      </c>
      <c r="CG11" s="1172">
        <f>Model!CG24</f>
        <v>1841.0740000000001</v>
      </c>
      <c r="CH11" s="1172">
        <f>Model!CH24</f>
        <v>2006.595</v>
      </c>
      <c r="CI11" s="1173"/>
      <c r="CJ11" s="1172">
        <f>Model!CJ24</f>
        <v>2078.9470000000001</v>
      </c>
      <c r="CK11" s="1172">
        <f>Model!CK24</f>
        <v>2175.0017125198278</v>
      </c>
      <c r="CL11" s="1172">
        <f>Model!CL24</f>
        <v>2261.4757834422894</v>
      </c>
      <c r="CM11" s="1172">
        <f>Model!CM24</f>
        <v>2379.804478255523</v>
      </c>
      <c r="CN11" s="1173"/>
      <c r="CO11" s="1794"/>
      <c r="CP11" s="1161"/>
      <c r="CQ11" s="1162"/>
      <c r="CR11" s="1161"/>
    </row>
    <row r="12" spans="1:96" ht="5.25" hidden="1" customHeight="1" outlineLevel="1">
      <c r="A12" s="1174"/>
      <c r="B12" s="1174"/>
      <c r="C12" s="1175"/>
      <c r="D12" s="1175"/>
      <c r="E12" s="1175"/>
      <c r="F12" s="1175"/>
      <c r="G12" s="1176"/>
      <c r="H12" s="1175"/>
      <c r="I12" s="1175"/>
      <c r="J12" s="1175"/>
      <c r="K12" s="1175"/>
      <c r="L12" s="1176"/>
      <c r="M12" s="1175"/>
      <c r="N12" s="1175"/>
      <c r="O12" s="1175"/>
      <c r="P12" s="1175"/>
      <c r="Q12" s="1176"/>
      <c r="R12" s="1175"/>
      <c r="S12" s="1175"/>
      <c r="T12" s="1175"/>
      <c r="U12" s="1175"/>
      <c r="V12" s="1176"/>
      <c r="W12" s="1175"/>
      <c r="X12" s="1175"/>
      <c r="Y12" s="1175"/>
      <c r="Z12" s="1175"/>
      <c r="AA12" s="1176"/>
      <c r="AB12" s="1175"/>
      <c r="AC12" s="1175"/>
      <c r="AD12" s="1175"/>
      <c r="AE12" s="1175"/>
      <c r="AF12" s="1176"/>
      <c r="AG12" s="1175"/>
      <c r="AH12" s="1175"/>
      <c r="AI12" s="1175"/>
      <c r="AJ12" s="1175"/>
      <c r="AK12" s="1176"/>
      <c r="AL12" s="1175"/>
      <c r="AM12" s="1175"/>
      <c r="AN12" s="1175"/>
      <c r="AO12" s="1175"/>
      <c r="AP12" s="1176"/>
      <c r="AQ12" s="1175"/>
      <c r="AR12" s="1175"/>
      <c r="AS12" s="1175"/>
      <c r="AT12" s="1175"/>
      <c r="AU12" s="1176"/>
      <c r="AV12" s="1175"/>
      <c r="AW12" s="1175"/>
      <c r="AX12" s="1175"/>
      <c r="AY12" s="1175"/>
      <c r="AZ12" s="1176"/>
      <c r="BA12" s="1175"/>
      <c r="BB12" s="1175"/>
      <c r="BC12" s="1175"/>
      <c r="BD12" s="1175"/>
      <c r="BE12" s="1176"/>
      <c r="BF12" s="1175"/>
      <c r="BG12" s="1175"/>
      <c r="BH12" s="1175"/>
      <c r="BI12" s="1175"/>
      <c r="BJ12" s="1176"/>
      <c r="BK12" s="1175"/>
      <c r="BL12" s="1175"/>
      <c r="BM12" s="1175"/>
      <c r="BN12" s="1175"/>
      <c r="BO12" s="1176"/>
      <c r="BP12" s="1175"/>
      <c r="BQ12" s="1175"/>
      <c r="BR12" s="1175"/>
      <c r="BS12" s="1175"/>
      <c r="BT12" s="1176"/>
      <c r="BU12" s="1175"/>
      <c r="BV12" s="1175"/>
      <c r="BW12" s="1175"/>
      <c r="BX12" s="1175"/>
      <c r="BY12" s="1176"/>
      <c r="BZ12" s="1175"/>
      <c r="CA12" s="1175"/>
      <c r="CB12" s="1175"/>
      <c r="CC12" s="1175"/>
      <c r="CD12" s="1176"/>
      <c r="CE12" s="1175"/>
      <c r="CF12" s="1175"/>
      <c r="CG12" s="1175"/>
      <c r="CH12" s="1175"/>
      <c r="CI12" s="1176"/>
      <c r="CJ12" s="1175"/>
      <c r="CK12" s="1175"/>
      <c r="CL12" s="1175"/>
      <c r="CM12" s="1175"/>
      <c r="CN12" s="1176"/>
      <c r="CO12" s="1175"/>
      <c r="CP12" s="1161"/>
      <c r="CQ12" s="1162"/>
      <c r="CR12" s="1161"/>
    </row>
    <row r="13" spans="1:96" hidden="1" outlineLevel="2">
      <c r="A13" s="1177" t="s">
        <v>170</v>
      </c>
      <c r="B13" s="1177"/>
      <c r="C13" s="1178"/>
      <c r="D13" s="1178"/>
      <c r="E13" s="1178"/>
      <c r="F13" s="1178"/>
      <c r="G13" s="1179"/>
      <c r="H13" s="1178"/>
      <c r="I13" s="1178"/>
      <c r="J13" s="1178"/>
      <c r="K13" s="1178"/>
      <c r="L13" s="1179"/>
      <c r="M13" s="1178"/>
      <c r="N13" s="1178"/>
      <c r="O13" s="1178"/>
      <c r="P13" s="1178"/>
      <c r="Q13" s="1179"/>
      <c r="R13" s="1178"/>
      <c r="S13" s="1178"/>
      <c r="T13" s="1178"/>
      <c r="U13" s="1178"/>
      <c r="V13" s="1179"/>
      <c r="W13" s="1178"/>
      <c r="X13" s="1178"/>
      <c r="Y13" s="1178"/>
      <c r="Z13" s="1178"/>
      <c r="AA13" s="1179"/>
      <c r="AB13" s="1178"/>
      <c r="AC13" s="1178"/>
      <c r="AD13" s="1178"/>
      <c r="AE13" s="1178"/>
      <c r="AF13" s="1179"/>
      <c r="AG13" s="1178"/>
      <c r="AH13" s="1178"/>
      <c r="AI13" s="1178"/>
      <c r="AJ13" s="1178"/>
      <c r="AK13" s="1179"/>
      <c r="AL13" s="1178"/>
      <c r="AM13" s="1178"/>
      <c r="AN13" s="1178"/>
      <c r="AO13" s="1178"/>
      <c r="AP13" s="1179"/>
      <c r="AQ13" s="1178"/>
      <c r="AR13" s="1178"/>
      <c r="AS13" s="1178"/>
      <c r="AT13" s="1178"/>
      <c r="AU13" s="1179"/>
      <c r="AV13" s="1178"/>
      <c r="AW13" s="1178"/>
      <c r="AX13" s="1178"/>
      <c r="AY13" s="1178"/>
      <c r="AZ13" s="1179"/>
      <c r="BA13" s="1178"/>
      <c r="BB13" s="1178"/>
      <c r="BC13" s="1178"/>
      <c r="BD13" s="1178"/>
      <c r="BE13" s="1179"/>
      <c r="BF13" s="1178"/>
      <c r="BG13" s="1178"/>
      <c r="BH13" s="1178"/>
      <c r="BI13" s="1178"/>
      <c r="BJ13" s="1179"/>
      <c r="BK13" s="1178"/>
      <c r="BL13" s="1178"/>
      <c r="BM13" s="1178"/>
      <c r="BN13" s="1178"/>
      <c r="BO13" s="1179"/>
      <c r="BP13" s="1178"/>
      <c r="BQ13" s="1178"/>
      <c r="BR13" s="1178"/>
      <c r="BS13" s="1178"/>
      <c r="BT13" s="1179"/>
      <c r="BU13" s="1178"/>
      <c r="BV13" s="1178"/>
      <c r="BW13" s="1178"/>
      <c r="BX13" s="1178"/>
      <c r="BY13" s="1179"/>
      <c r="BZ13" s="1178"/>
      <c r="CA13" s="1178"/>
      <c r="CB13" s="1178"/>
      <c r="CC13" s="1178"/>
      <c r="CD13" s="1179"/>
      <c r="CE13" s="1178"/>
      <c r="CF13" s="1178"/>
      <c r="CG13" s="1178"/>
      <c r="CH13" s="1178"/>
      <c r="CI13" s="1179"/>
      <c r="CJ13" s="1178"/>
      <c r="CK13" s="1178"/>
      <c r="CL13" s="1178"/>
      <c r="CM13" s="1178"/>
      <c r="CN13" s="1179"/>
      <c r="CO13" s="1795"/>
      <c r="CP13" s="1161"/>
      <c r="CQ13" s="1162"/>
      <c r="CR13" s="1161"/>
    </row>
    <row r="14" spans="1:96" hidden="1" outlineLevel="2">
      <c r="A14" s="1180" t="s">
        <v>445</v>
      </c>
      <c r="B14" s="1180"/>
      <c r="C14" s="1181">
        <f>SUM(C15:C16)</f>
        <v>314.70117472994059</v>
      </c>
      <c r="D14" s="1181">
        <f>SUM(D15:D16)</f>
        <v>339.49489703372819</v>
      </c>
      <c r="E14" s="1181">
        <f>SUM(E15:E16)</f>
        <v>303.12854914792899</v>
      </c>
      <c r="F14" s="1181">
        <f>SUM(F15:F16)</f>
        <v>270.69806977276642</v>
      </c>
      <c r="G14" s="1182">
        <f>SUM(C14:F14)</f>
        <v>1228.0226906843641</v>
      </c>
      <c r="H14" s="1181">
        <f>SUM(H15:H16)</f>
        <v>289.38652848878138</v>
      </c>
      <c r="I14" s="1181">
        <f>SUM(I15:I16)</f>
        <v>344.33721826597656</v>
      </c>
      <c r="J14" s="1181">
        <f>SUM(J15:J16)</f>
        <v>297.11630353015039</v>
      </c>
      <c r="K14" s="1181">
        <f>SUM(K15:K16)</f>
        <v>315.16648305565843</v>
      </c>
      <c r="L14" s="1182">
        <f>SUM(H14:K14)</f>
        <v>1246.0065333405669</v>
      </c>
      <c r="M14" s="1181">
        <f>SUM(M15:M16)</f>
        <v>259.74797168770493</v>
      </c>
      <c r="N14" s="1181">
        <f>SUM(N15:N16)</f>
        <v>289.61127654186271</v>
      </c>
      <c r="O14" s="1181">
        <f>SUM(O15:O16)</f>
        <v>288.70426923478465</v>
      </c>
      <c r="P14" s="1181">
        <f>SUM(P15:P16)</f>
        <v>333.46169856773633</v>
      </c>
      <c r="Q14" s="1182">
        <f>SUM(M14:P14)</f>
        <v>1171.5252160320886</v>
      </c>
      <c r="R14" s="1181">
        <f>SUM(R15:R16)</f>
        <v>403.37595637131716</v>
      </c>
      <c r="S14" s="1181">
        <f>SUM(S15:S16)</f>
        <v>374.56343874310858</v>
      </c>
      <c r="T14" s="1181">
        <f>SUM(T15:T16)</f>
        <v>369.19074846066928</v>
      </c>
      <c r="U14" s="1181">
        <f>SUM(U15:U16)</f>
        <v>392.24988107325544</v>
      </c>
      <c r="V14" s="1182">
        <f>SUM(R14:U14)</f>
        <v>1539.3800246483504</v>
      </c>
      <c r="W14" s="1181">
        <f>SUM(W15:W16)</f>
        <v>395.25442576671594</v>
      </c>
      <c r="X14" s="1181">
        <f>SUM(X15:X16)</f>
        <v>435.75461325339347</v>
      </c>
      <c r="Y14" s="1181">
        <f>SUM(Y15:Y16)</f>
        <v>436.9388436599221</v>
      </c>
      <c r="Z14" s="1181">
        <f>SUM(Z15:Z16)</f>
        <v>446.91584214452223</v>
      </c>
      <c r="AA14" s="1182">
        <f>SUM(W14:Z14)</f>
        <v>1714.8637248245536</v>
      </c>
      <c r="AB14" s="1181">
        <f>SUM(AB15:AB16)</f>
        <v>679.97800000000007</v>
      </c>
      <c r="AC14" s="1181">
        <f>SUM(AC15:AC16)</f>
        <v>650.65600000000006</v>
      </c>
      <c r="AD14" s="1181">
        <f>SUM(AD15:AD16)</f>
        <v>603.99099999999987</v>
      </c>
      <c r="AE14" s="1181">
        <f>SUM(AE15:AE16)</f>
        <v>675.67499999999995</v>
      </c>
      <c r="AF14" s="1182">
        <f>SUM(AB14:AE14)</f>
        <v>2610.3000000000002</v>
      </c>
      <c r="AG14" s="1181">
        <f>SUM(AG15:AG16)</f>
        <v>635.70000000000005</v>
      </c>
      <c r="AH14" s="1181">
        <f>SUM(AH15:AH16)</f>
        <v>733.1</v>
      </c>
      <c r="AI14" s="1181">
        <f>SUM(AI15:AI16)</f>
        <v>840.59999999999991</v>
      </c>
      <c r="AJ14" s="1181">
        <f>SUM(AJ15:AJ16)</f>
        <v>882.59999999999991</v>
      </c>
      <c r="AK14" s="1182">
        <f>SUM(AG14:AJ14)</f>
        <v>3092</v>
      </c>
      <c r="AL14" s="1181">
        <f>SUM(AL15:AL16)</f>
        <v>858.5</v>
      </c>
      <c r="AM14" s="1181">
        <f>SUM(AM15:AM16)</f>
        <v>842.40000000000009</v>
      </c>
      <c r="AN14" s="1181">
        <f>SUM(AN15:AN16)</f>
        <v>848.5</v>
      </c>
      <c r="AO14" s="1181">
        <f>SUM(AO15:AO16)</f>
        <v>915.30100000000004</v>
      </c>
      <c r="AP14" s="1182">
        <f>SUM(AL14:AO14)</f>
        <v>3464.701</v>
      </c>
      <c r="AQ14" s="1181">
        <f>SUM(AQ15:AQ16)</f>
        <v>786.39</v>
      </c>
      <c r="AR14" s="1181">
        <f>SUM(AR15:AR16)</f>
        <v>704.673</v>
      </c>
      <c r="AS14" s="1181">
        <f>SUM(AS15:AS16)</f>
        <v>697.50700000000006</v>
      </c>
      <c r="AT14" s="1181">
        <f>SUM(AT15:AT16)</f>
        <v>757.28300000000002</v>
      </c>
      <c r="AU14" s="1182">
        <f>SUM(AQ14:AT14)</f>
        <v>2945.8530000000001</v>
      </c>
      <c r="AV14" s="1181">
        <f>SUM(AV15:AV16)</f>
        <v>858.7</v>
      </c>
      <c r="AW14" s="1181">
        <f>SUM(AW15:AW16)</f>
        <v>943.03499999999997</v>
      </c>
      <c r="AX14" s="1181">
        <f>SUM(AX15:AX16)</f>
        <v>990.31900000000007</v>
      </c>
      <c r="AY14" s="1181">
        <f>SUM(AY15:AY16)</f>
        <v>1007.9459999999999</v>
      </c>
      <c r="AZ14" s="1182">
        <f>SUM(AV14:AY14)</f>
        <v>3800</v>
      </c>
      <c r="BA14" s="1181">
        <f>SUM(BA15:BA16)</f>
        <v>1027.7060000000001</v>
      </c>
      <c r="BB14" s="1181">
        <f>SUM(BB15:BB16)</f>
        <v>1023.179</v>
      </c>
      <c r="BC14" s="1181">
        <f>SUM(BC15:BC16)</f>
        <v>1013.212</v>
      </c>
      <c r="BD14" s="1181">
        <f>SUM(BD15:BD16)</f>
        <v>1152.1609999999998</v>
      </c>
      <c r="BE14" s="1182">
        <f>SUM(BA14:BD14)</f>
        <v>4216.2579999999998</v>
      </c>
      <c r="BF14" s="1181">
        <f>SUM(BF15:BF16)</f>
        <v>1045.22</v>
      </c>
      <c r="BG14" s="1181">
        <f>SUM(BG15:BG16)</f>
        <v>1124.4490000000001</v>
      </c>
      <c r="BH14" s="1181">
        <f>SUM(BH15:BH16)</f>
        <v>1080.58</v>
      </c>
      <c r="BI14" s="1181">
        <f>SUM(BI15:BI16)</f>
        <v>1153.4279999999999</v>
      </c>
      <c r="BJ14" s="1182">
        <f>SUM(BF14:BI14)</f>
        <v>4403.6769999999997</v>
      </c>
      <c r="BK14" s="1181">
        <f>SUM(BK15:BK16)</f>
        <v>1007.8729999999999</v>
      </c>
      <c r="BL14" s="1181">
        <f>SUM(BL15:BL16)</f>
        <v>1010.549</v>
      </c>
      <c r="BM14" s="1181">
        <f>SUM(BM15:BM16)</f>
        <v>995.11900000000003</v>
      </c>
      <c r="BN14" s="1181">
        <f>SUM(BN15:BN16)</f>
        <v>1041.6989999999998</v>
      </c>
      <c r="BO14" s="1182">
        <f>SUM(BK14:BN14)</f>
        <v>4055.24</v>
      </c>
      <c r="BP14" s="1181">
        <f>SUM(BP15:BP16)</f>
        <v>1000.12</v>
      </c>
      <c r="BQ14" s="1181">
        <f>SUM(BQ15:BQ16)</f>
        <v>1068.2080000000001</v>
      </c>
      <c r="BR14" s="1181">
        <f>SUM(BR15:BR16)</f>
        <v>1005.4090000000001</v>
      </c>
      <c r="BS14" s="1181">
        <f>SUM(BS15:BS16)</f>
        <v>1073.328</v>
      </c>
      <c r="BT14" s="1182">
        <f>SUM(BP14:BS14)</f>
        <v>4147.0650000000005</v>
      </c>
      <c r="BU14" s="1181">
        <f>SUM(BU15:BU16)</f>
        <v>1109.181</v>
      </c>
      <c r="BV14" s="1181">
        <f>SUM(BV15:BV16)</f>
        <v>1162.1579999999999</v>
      </c>
      <c r="BW14" s="1181">
        <f>SUM(BW15:BW16)</f>
        <v>1217.768</v>
      </c>
      <c r="BX14" s="1181">
        <f>SUM(BX15:BX16)</f>
        <v>1306.4039999999998</v>
      </c>
      <c r="BY14" s="1182">
        <f>SUM(BU14:BX14)</f>
        <v>4795.5109999999995</v>
      </c>
      <c r="BZ14" s="1181">
        <f>SUM(BZ15:BZ16)</f>
        <v>1383.335</v>
      </c>
      <c r="CA14" s="1181">
        <f>SUM(CA15:CA16)</f>
        <v>1398.7090000000001</v>
      </c>
      <c r="CB14" s="1181">
        <f>SUM(CB15:CB16)</f>
        <v>1463.9670000000001</v>
      </c>
      <c r="CC14" s="1181">
        <f>SUM(CC15:CC16)</f>
        <v>1608.4189999999999</v>
      </c>
      <c r="CD14" s="1182"/>
      <c r="CE14" s="1181">
        <f>SUM(CE15:CE16)</f>
        <v>1681.646</v>
      </c>
      <c r="CF14" s="1181">
        <f>SUM(CF15:CF16)</f>
        <v>1772.19</v>
      </c>
      <c r="CG14" s="1181">
        <f>SUM(CG15:CG16)</f>
        <v>1841.0740000000001</v>
      </c>
      <c r="CH14" s="1181">
        <f>SUM(CH15:CH16)</f>
        <v>2006.595</v>
      </c>
      <c r="CI14" s="1182"/>
      <c r="CJ14" s="1181">
        <f>SUM(CJ15:CJ16)</f>
        <v>2078.9470000000001</v>
      </c>
      <c r="CK14" s="1181">
        <f>SUM(CK15:CK16)</f>
        <v>2175.0017125198278</v>
      </c>
      <c r="CL14" s="1181">
        <f>SUM(CL15:CL16)</f>
        <v>2261.4757834422894</v>
      </c>
      <c r="CM14" s="1181">
        <f>SUM(CM15:CM16)</f>
        <v>2379.804478255523</v>
      </c>
      <c r="CN14" s="1182"/>
      <c r="CO14" s="1181"/>
      <c r="CP14" s="1161"/>
      <c r="CQ14" s="1162"/>
      <c r="CR14" s="1161"/>
    </row>
    <row r="15" spans="1:96" hidden="1" outlineLevel="2">
      <c r="A15" s="1180" t="s">
        <v>562</v>
      </c>
      <c r="B15" s="1180"/>
      <c r="C15" s="1183">
        <f t="shared" ref="C15:AH15" si="0">C9</f>
        <v>151.32574</v>
      </c>
      <c r="D15" s="1183">
        <f t="shared" si="0"/>
        <v>158.28278</v>
      </c>
      <c r="E15" s="1183">
        <f t="shared" si="0"/>
        <v>154.82254</v>
      </c>
      <c r="F15" s="1183">
        <f t="shared" si="0"/>
        <v>127.07694000000004</v>
      </c>
      <c r="G15" s="1182">
        <f t="shared" si="0"/>
        <v>591.50800000000004</v>
      </c>
      <c r="H15" s="1183">
        <f t="shared" si="0"/>
        <v>123.23216000000001</v>
      </c>
      <c r="I15" s="1183">
        <f t="shared" si="0"/>
        <v>158.67950000000002</v>
      </c>
      <c r="J15" s="1183">
        <f t="shared" si="0"/>
        <v>156.68345000000002</v>
      </c>
      <c r="K15" s="1183">
        <f t="shared" si="0"/>
        <v>145.20488999999986</v>
      </c>
      <c r="L15" s="1182">
        <f t="shared" si="0"/>
        <v>583.79999999999995</v>
      </c>
      <c r="M15" s="1183">
        <f t="shared" si="0"/>
        <v>146.5</v>
      </c>
      <c r="N15" s="1183">
        <f t="shared" si="0"/>
        <v>157.4</v>
      </c>
      <c r="O15" s="1183">
        <f t="shared" si="0"/>
        <v>156.80000000000001</v>
      </c>
      <c r="P15" s="1183">
        <f t="shared" si="0"/>
        <v>179.50000000000006</v>
      </c>
      <c r="Q15" s="1182">
        <f t="shared" si="0"/>
        <v>640.20000000000005</v>
      </c>
      <c r="R15" s="1183">
        <f t="shared" si="0"/>
        <v>183.5</v>
      </c>
      <c r="S15" s="1183">
        <f t="shared" si="0"/>
        <v>182.5</v>
      </c>
      <c r="T15" s="1183">
        <f t="shared" si="0"/>
        <v>195.9</v>
      </c>
      <c r="U15" s="1183">
        <f t="shared" si="0"/>
        <v>208.70000000000005</v>
      </c>
      <c r="V15" s="1182">
        <f t="shared" si="0"/>
        <v>770.6</v>
      </c>
      <c r="W15" s="1183">
        <f t="shared" si="0"/>
        <v>218</v>
      </c>
      <c r="X15" s="1183">
        <f t="shared" si="0"/>
        <v>242.4</v>
      </c>
      <c r="Y15" s="1183">
        <f t="shared" si="0"/>
        <v>228.3</v>
      </c>
      <c r="Z15" s="1183">
        <f t="shared" si="0"/>
        <v>251</v>
      </c>
      <c r="AA15" s="1182">
        <f t="shared" si="0"/>
        <v>939.7</v>
      </c>
      <c r="AB15" s="1183">
        <f t="shared" si="0"/>
        <v>313.7</v>
      </c>
      <c r="AC15" s="1183">
        <f t="shared" si="0"/>
        <v>305.89999999999998</v>
      </c>
      <c r="AD15" s="1183">
        <f t="shared" si="0"/>
        <v>310.3</v>
      </c>
      <c r="AE15" s="1183">
        <f t="shared" si="0"/>
        <v>336.9</v>
      </c>
      <c r="AF15" s="1182">
        <f t="shared" si="0"/>
        <v>1266.7999999999997</v>
      </c>
      <c r="AG15" s="1183">
        <f t="shared" si="0"/>
        <v>298.3</v>
      </c>
      <c r="AH15" s="1183">
        <f t="shared" si="0"/>
        <v>383.5</v>
      </c>
      <c r="AI15" s="1183">
        <f t="shared" ref="AI15:AZ15" si="1">AI9</f>
        <v>400.7</v>
      </c>
      <c r="AJ15" s="1183">
        <f t="shared" si="1"/>
        <v>426.4</v>
      </c>
      <c r="AK15" s="1182">
        <f t="shared" si="1"/>
        <v>1508.9</v>
      </c>
      <c r="AL15" s="1183">
        <f t="shared" si="1"/>
        <v>396.9</v>
      </c>
      <c r="AM15" s="1183">
        <f t="shared" si="1"/>
        <v>383.8</v>
      </c>
      <c r="AN15" s="1183">
        <f t="shared" si="1"/>
        <v>429.6</v>
      </c>
      <c r="AO15" s="1183">
        <f t="shared" si="1"/>
        <v>422.6</v>
      </c>
      <c r="AP15" s="1182">
        <f t="shared" si="1"/>
        <v>1632.9</v>
      </c>
      <c r="AQ15" s="1183">
        <f t="shared" si="1"/>
        <v>326.10000000000002</v>
      </c>
      <c r="AR15" s="1183">
        <f t="shared" si="1"/>
        <v>317.8</v>
      </c>
      <c r="AS15" s="1183">
        <f t="shared" si="1"/>
        <v>354.6</v>
      </c>
      <c r="AT15" s="1183">
        <f t="shared" si="1"/>
        <v>384.2</v>
      </c>
      <c r="AU15" s="1182">
        <f t="shared" si="1"/>
        <v>1382.7</v>
      </c>
      <c r="AV15" s="1183">
        <f t="shared" si="1"/>
        <v>408.4</v>
      </c>
      <c r="AW15" s="1183">
        <f t="shared" si="1"/>
        <v>455.2</v>
      </c>
      <c r="AX15" s="1183">
        <f t="shared" si="1"/>
        <v>493.9</v>
      </c>
      <c r="AY15" s="1183">
        <f t="shared" si="1"/>
        <v>492.9</v>
      </c>
      <c r="AZ15" s="1182">
        <f t="shared" si="1"/>
        <v>1850.4</v>
      </c>
      <c r="BA15" s="1183">
        <f t="shared" ref="BA15:BJ15" si="2">BA9</f>
        <v>506.3</v>
      </c>
      <c r="BB15" s="1183">
        <f t="shared" si="2"/>
        <v>492.5</v>
      </c>
      <c r="BC15" s="1183">
        <f t="shared" si="2"/>
        <v>507.6</v>
      </c>
      <c r="BD15" s="1183">
        <f t="shared" si="2"/>
        <v>554.9</v>
      </c>
      <c r="BE15" s="1182">
        <f t="shared" si="2"/>
        <v>2061.3000000000002</v>
      </c>
      <c r="BF15" s="1183">
        <f t="shared" si="2"/>
        <v>503.1</v>
      </c>
      <c r="BG15" s="1183">
        <f t="shared" si="2"/>
        <v>551.29999999999995</v>
      </c>
      <c r="BH15" s="1183">
        <f t="shared" si="2"/>
        <v>558.29999999999995</v>
      </c>
      <c r="BI15" s="1183">
        <f t="shared" si="2"/>
        <v>583.6</v>
      </c>
      <c r="BJ15" s="1182">
        <f t="shared" si="2"/>
        <v>2196.3000000000002</v>
      </c>
      <c r="BK15" s="1183">
        <f t="shared" ref="BK15:BT15" si="3">BK9</f>
        <v>500.3</v>
      </c>
      <c r="BL15" s="1183">
        <f t="shared" si="3"/>
        <v>525.4</v>
      </c>
      <c r="BM15" s="1183">
        <f t="shared" si="3"/>
        <v>534.1</v>
      </c>
      <c r="BN15" s="1183">
        <f t="shared" si="3"/>
        <v>574.6</v>
      </c>
      <c r="BO15" s="1182">
        <f t="shared" si="3"/>
        <v>2134.4</v>
      </c>
      <c r="BP15" s="1183">
        <f t="shared" si="3"/>
        <v>536.6</v>
      </c>
      <c r="BQ15" s="1183">
        <f t="shared" si="3"/>
        <v>579.20000000000005</v>
      </c>
      <c r="BR15" s="1183">
        <f t="shared" si="3"/>
        <v>582</v>
      </c>
      <c r="BS15" s="1183">
        <f t="shared" si="3"/>
        <v>616.6</v>
      </c>
      <c r="BT15" s="1182">
        <f t="shared" si="3"/>
        <v>2314.4</v>
      </c>
      <c r="BU15" s="1183">
        <f t="shared" ref="BU15:CC15" si="4">BU9</f>
        <v>644.6</v>
      </c>
      <c r="BV15" s="1183">
        <f t="shared" si="4"/>
        <v>669.2</v>
      </c>
      <c r="BW15" s="1183">
        <f t="shared" si="4"/>
        <v>698.1</v>
      </c>
      <c r="BX15" s="1183">
        <f t="shared" si="4"/>
        <v>776.2</v>
      </c>
      <c r="BY15" s="1182">
        <f t="shared" si="4"/>
        <v>2788.1000000000004</v>
      </c>
      <c r="BZ15" s="1183">
        <f t="shared" si="4"/>
        <v>806.5</v>
      </c>
      <c r="CA15" s="1183">
        <f t="shared" si="4"/>
        <v>820</v>
      </c>
      <c r="CB15" s="1183">
        <f t="shared" si="4"/>
        <v>851.9</v>
      </c>
      <c r="CC15" s="1183">
        <f t="shared" si="4"/>
        <v>921.73500000000013</v>
      </c>
      <c r="CD15" s="1182"/>
      <c r="CE15" s="1183">
        <f>CE9</f>
        <v>975.8</v>
      </c>
      <c r="CF15" s="1183">
        <f>CF9</f>
        <v>1026.7</v>
      </c>
      <c r="CG15" s="1183">
        <f>CG9</f>
        <v>1063.0999999999999</v>
      </c>
      <c r="CH15" s="1183">
        <f>CH9</f>
        <v>1150.9000000000001</v>
      </c>
      <c r="CI15" s="1182"/>
      <c r="CJ15" s="1183">
        <f>CJ9</f>
        <v>1179.9088151762626</v>
      </c>
      <c r="CK15" s="1183">
        <f>CK9</f>
        <v>1218.2717988499444</v>
      </c>
      <c r="CL15" s="1183">
        <f>CL9</f>
        <v>1265.7217438553153</v>
      </c>
      <c r="CM15" s="1183">
        <f>CM9</f>
        <v>1322.1151289597938</v>
      </c>
      <c r="CN15" s="1182"/>
      <c r="CO15" s="1181"/>
      <c r="CP15" s="1161"/>
      <c r="CQ15" s="1162"/>
      <c r="CR15" s="1161"/>
    </row>
    <row r="16" spans="1:96" hidden="1" outlineLevel="2">
      <c r="A16" s="1180" t="s">
        <v>563</v>
      </c>
      <c r="B16" s="1180"/>
      <c r="C16" s="1183">
        <f t="shared" ref="C16:Z16" si="5">C10/(1+H21)</f>
        <v>163.37543472994057</v>
      </c>
      <c r="D16" s="1183">
        <f t="shared" si="5"/>
        <v>181.21211703372822</v>
      </c>
      <c r="E16" s="1183">
        <f t="shared" si="5"/>
        <v>148.30600914792899</v>
      </c>
      <c r="F16" s="1183">
        <f t="shared" si="5"/>
        <v>143.62112977276641</v>
      </c>
      <c r="G16" s="1182">
        <f t="shared" si="5"/>
        <v>637.95528162509152</v>
      </c>
      <c r="H16" s="1183">
        <f t="shared" si="5"/>
        <v>166.15436848878136</v>
      </c>
      <c r="I16" s="1183">
        <f t="shared" si="5"/>
        <v>185.65771826597654</v>
      </c>
      <c r="J16" s="1183">
        <f t="shared" si="5"/>
        <v>140.43285353015037</v>
      </c>
      <c r="K16" s="1183">
        <f t="shared" si="5"/>
        <v>169.96159305565857</v>
      </c>
      <c r="L16" s="1182">
        <f t="shared" si="5"/>
        <v>547.38158258028</v>
      </c>
      <c r="M16" s="1183">
        <f t="shared" si="5"/>
        <v>113.24797168770495</v>
      </c>
      <c r="N16" s="1183">
        <f t="shared" si="5"/>
        <v>132.21127654186273</v>
      </c>
      <c r="O16" s="1183">
        <f t="shared" si="5"/>
        <v>131.90426923478466</v>
      </c>
      <c r="P16" s="1183">
        <f t="shared" si="5"/>
        <v>153.96169856773625</v>
      </c>
      <c r="Q16" s="1182">
        <f t="shared" si="5"/>
        <v>530.20311761824291</v>
      </c>
      <c r="R16" s="1183">
        <f t="shared" si="5"/>
        <v>219.87595637131716</v>
      </c>
      <c r="S16" s="1183">
        <f t="shared" si="5"/>
        <v>192.06343874310855</v>
      </c>
      <c r="T16" s="1183">
        <f t="shared" si="5"/>
        <v>173.29074846066931</v>
      </c>
      <c r="U16" s="1183">
        <f t="shared" si="5"/>
        <v>183.54988107325539</v>
      </c>
      <c r="V16" s="1182">
        <f t="shared" si="5"/>
        <v>766.4245295698812</v>
      </c>
      <c r="W16" s="1183">
        <f t="shared" si="5"/>
        <v>177.25442576671597</v>
      </c>
      <c r="X16" s="1183">
        <f t="shared" si="5"/>
        <v>193.35461325339347</v>
      </c>
      <c r="Y16" s="1183">
        <f t="shared" si="5"/>
        <v>208.63884365992212</v>
      </c>
      <c r="Z16" s="1183">
        <f t="shared" si="5"/>
        <v>195.91584214452226</v>
      </c>
      <c r="AA16" s="1182">
        <f>AA53+AA54</f>
        <v>1008.6000000000001</v>
      </c>
      <c r="AB16" s="1183">
        <f>AB55-AB52</f>
        <v>366.27800000000008</v>
      </c>
      <c r="AC16" s="1183">
        <f>AC55-AC52</f>
        <v>344.75600000000009</v>
      </c>
      <c r="AD16" s="1183">
        <f>AD55-AD52</f>
        <v>293.69099999999986</v>
      </c>
      <c r="AE16" s="1183">
        <f>AE55-AE52</f>
        <v>338.77499999999998</v>
      </c>
      <c r="AF16" s="1182">
        <f t="shared" ref="AF16:AN16" si="6">AF53+AF54</f>
        <v>1343.5659999999998</v>
      </c>
      <c r="AG16" s="1183">
        <f t="shared" si="6"/>
        <v>337.4</v>
      </c>
      <c r="AH16" s="1183">
        <f t="shared" si="6"/>
        <v>349.6</v>
      </c>
      <c r="AI16" s="1183">
        <f t="shared" si="6"/>
        <v>439.9</v>
      </c>
      <c r="AJ16" s="1183">
        <f t="shared" si="6"/>
        <v>456.2</v>
      </c>
      <c r="AK16" s="1182">
        <f t="shared" si="6"/>
        <v>1583.1</v>
      </c>
      <c r="AL16" s="1183">
        <f t="shared" si="6"/>
        <v>461.6</v>
      </c>
      <c r="AM16" s="1183">
        <f t="shared" si="6"/>
        <v>458.6</v>
      </c>
      <c r="AN16" s="1183">
        <f t="shared" si="6"/>
        <v>418.9</v>
      </c>
      <c r="AO16" s="1183">
        <f>AO10/(1+CT21)</f>
        <v>492.70100000000002</v>
      </c>
      <c r="AP16" s="1182">
        <f>AP10/(1+CU21)</f>
        <v>1946.989</v>
      </c>
      <c r="AQ16" s="1183">
        <f>AQ10/(1+CW21)</f>
        <v>460.28999999999996</v>
      </c>
      <c r="AR16" s="1183">
        <f>AR10/(1+CX21)</f>
        <v>386.87299999999999</v>
      </c>
      <c r="AS16" s="1183">
        <f>AS10/(1+CY21)</f>
        <v>342.90700000000004</v>
      </c>
      <c r="AT16" s="1183">
        <f>AT10/(1+CZ21)</f>
        <v>373.08300000000003</v>
      </c>
      <c r="AU16" s="1182">
        <f>AU10/(1+DA21)</f>
        <v>1563.1530000000002</v>
      </c>
      <c r="AV16" s="1183">
        <f t="shared" ref="AV16:BY16" si="7">AV10/(1+DC21)</f>
        <v>450.30000000000007</v>
      </c>
      <c r="AW16" s="1183">
        <f t="shared" si="7"/>
        <v>487.83499999999998</v>
      </c>
      <c r="AX16" s="1183">
        <f t="shared" si="7"/>
        <v>496.4190000000001</v>
      </c>
      <c r="AY16" s="1183">
        <f t="shared" si="7"/>
        <v>515.04599999999994</v>
      </c>
      <c r="AZ16" s="1182">
        <f t="shared" si="7"/>
        <v>1949.6</v>
      </c>
      <c r="BA16" s="1183">
        <f t="shared" si="7"/>
        <v>521.40600000000018</v>
      </c>
      <c r="BB16" s="1183">
        <f t="shared" si="7"/>
        <v>530.67899999999997</v>
      </c>
      <c r="BC16" s="1183">
        <f t="shared" si="7"/>
        <v>505.61199999999997</v>
      </c>
      <c r="BD16" s="1183">
        <f t="shared" si="7"/>
        <v>597.26099999999985</v>
      </c>
      <c r="BE16" s="1182">
        <f t="shared" si="7"/>
        <v>2154.9580000000001</v>
      </c>
      <c r="BF16" s="1183">
        <f t="shared" si="7"/>
        <v>542.12</v>
      </c>
      <c r="BG16" s="1183">
        <f t="shared" si="7"/>
        <v>573.14900000000011</v>
      </c>
      <c r="BH16" s="1183">
        <f t="shared" si="7"/>
        <v>522.28</v>
      </c>
      <c r="BI16" s="1183">
        <f t="shared" si="7"/>
        <v>569.82799999999986</v>
      </c>
      <c r="BJ16" s="1182">
        <f t="shared" si="7"/>
        <v>2207.377</v>
      </c>
      <c r="BK16" s="1183">
        <f t="shared" si="7"/>
        <v>507.57299999999992</v>
      </c>
      <c r="BL16" s="1183">
        <f t="shared" si="7"/>
        <v>485.149</v>
      </c>
      <c r="BM16" s="1183">
        <f t="shared" si="7"/>
        <v>461.01900000000001</v>
      </c>
      <c r="BN16" s="1183">
        <f t="shared" si="7"/>
        <v>467.09899999999982</v>
      </c>
      <c r="BO16" s="1182">
        <f t="shared" si="7"/>
        <v>1920.8399999999997</v>
      </c>
      <c r="BP16" s="1183">
        <f t="shared" si="7"/>
        <v>463.52</v>
      </c>
      <c r="BQ16" s="1183">
        <f t="shared" si="7"/>
        <v>489.00800000000004</v>
      </c>
      <c r="BR16" s="1183">
        <f t="shared" si="7"/>
        <v>423.40900000000011</v>
      </c>
      <c r="BS16" s="1183">
        <f t="shared" si="7"/>
        <v>456.72799999999995</v>
      </c>
      <c r="BT16" s="1182">
        <f t="shared" si="7"/>
        <v>1832.665</v>
      </c>
      <c r="BU16" s="1183">
        <f t="shared" si="7"/>
        <v>464.58100000000002</v>
      </c>
      <c r="BV16" s="1183">
        <f t="shared" si="7"/>
        <v>492.95799999999986</v>
      </c>
      <c r="BW16" s="1183">
        <f t="shared" si="7"/>
        <v>519.66800000000001</v>
      </c>
      <c r="BX16" s="1183">
        <f t="shared" si="7"/>
        <v>530.20399999999972</v>
      </c>
      <c r="BY16" s="1182">
        <f t="shared" si="7"/>
        <v>2007.4109999999996</v>
      </c>
      <c r="BZ16" s="1183">
        <f>BZ10/(1+EB21)</f>
        <v>576.83500000000004</v>
      </c>
      <c r="CA16" s="1183">
        <f>CA10/(1+EC21)</f>
        <v>578.70900000000006</v>
      </c>
      <c r="CB16" s="1183">
        <f>CB10/(1+ED21)</f>
        <v>612.06700000000012</v>
      </c>
      <c r="CC16" s="1183">
        <f>CC10/(1+EE21)</f>
        <v>686.68399999999974</v>
      </c>
      <c r="CD16" s="1182"/>
      <c r="CE16" s="1183">
        <f>CE10/(1+EG21)</f>
        <v>705.846</v>
      </c>
      <c r="CF16" s="1183">
        <f>CF10/(1+EH21)</f>
        <v>745.49</v>
      </c>
      <c r="CG16" s="1183">
        <f>CG10/(1+EI21)</f>
        <v>777.97400000000016</v>
      </c>
      <c r="CH16" s="1183">
        <f>CH10/(1+EJ21)</f>
        <v>855.69499999999994</v>
      </c>
      <c r="CI16" s="1182"/>
      <c r="CJ16" s="1183">
        <f>CJ10/(1+EL21)</f>
        <v>899.03818482373754</v>
      </c>
      <c r="CK16" s="1183">
        <f>CK10/(1+EM21)</f>
        <v>956.72991366988344</v>
      </c>
      <c r="CL16" s="1183">
        <f>CL10/(1+EN21)</f>
        <v>995.75403958697416</v>
      </c>
      <c r="CM16" s="1183">
        <f>CM10/(1+EO21)</f>
        <v>1057.6893492957292</v>
      </c>
      <c r="CN16" s="1182"/>
      <c r="CO16" s="1181"/>
      <c r="CP16" s="1161"/>
      <c r="CQ16" s="1162"/>
      <c r="CR16" s="1161"/>
    </row>
    <row r="17" spans="1:96" ht="5.25" hidden="1" customHeight="1" outlineLevel="2">
      <c r="A17" s="1184"/>
      <c r="B17" s="1184"/>
      <c r="C17" s="1185"/>
      <c r="D17" s="1185"/>
      <c r="E17" s="1185"/>
      <c r="F17" s="1185"/>
      <c r="G17" s="1186"/>
      <c r="H17" s="1185"/>
      <c r="I17" s="1185"/>
      <c r="J17" s="1185"/>
      <c r="K17" s="1185"/>
      <c r="L17" s="1186"/>
      <c r="M17" s="1185"/>
      <c r="N17" s="1185"/>
      <c r="O17" s="1185"/>
      <c r="P17" s="1185"/>
      <c r="Q17" s="1186"/>
      <c r="R17" s="1185"/>
      <c r="S17" s="1185"/>
      <c r="T17" s="1185"/>
      <c r="U17" s="1185"/>
      <c r="V17" s="1186"/>
      <c r="W17" s="1185"/>
      <c r="X17" s="1185"/>
      <c r="Y17" s="1185"/>
      <c r="Z17" s="1185"/>
      <c r="AA17" s="1186"/>
      <c r="AB17" s="1185"/>
      <c r="AC17" s="1185"/>
      <c r="AD17" s="1185"/>
      <c r="AE17" s="1185"/>
      <c r="AF17" s="1186"/>
      <c r="AG17" s="1185"/>
      <c r="AH17" s="1185"/>
      <c r="AI17" s="1185"/>
      <c r="AJ17" s="1185"/>
      <c r="AK17" s="1186"/>
      <c r="AL17" s="1185"/>
      <c r="AM17" s="1185"/>
      <c r="AN17" s="1185"/>
      <c r="AO17" s="1185"/>
      <c r="AP17" s="1186"/>
      <c r="AQ17" s="1185"/>
      <c r="AR17" s="1185"/>
      <c r="AS17" s="1185"/>
      <c r="AT17" s="1185"/>
      <c r="AU17" s="1186"/>
      <c r="AV17" s="1185"/>
      <c r="AW17" s="1185"/>
      <c r="AX17" s="1185"/>
      <c r="AY17" s="1185"/>
      <c r="AZ17" s="1186"/>
      <c r="BA17" s="1185"/>
      <c r="BB17" s="1185"/>
      <c r="BC17" s="1185"/>
      <c r="BD17" s="1185"/>
      <c r="BE17" s="1186"/>
      <c r="BF17" s="1185"/>
      <c r="BG17" s="1185"/>
      <c r="BH17" s="1185"/>
      <c r="BI17" s="1185"/>
      <c r="BJ17" s="1186"/>
      <c r="BK17" s="1185"/>
      <c r="BL17" s="1185"/>
      <c r="BM17" s="1185"/>
      <c r="BN17" s="1185"/>
      <c r="BO17" s="1186"/>
      <c r="BP17" s="1185"/>
      <c r="BQ17" s="1185"/>
      <c r="BR17" s="1185"/>
      <c r="BS17" s="1185"/>
      <c r="BT17" s="1186"/>
      <c r="BU17" s="1185"/>
      <c r="BV17" s="1185"/>
      <c r="BW17" s="1185"/>
      <c r="BX17" s="1185"/>
      <c r="BY17" s="1186"/>
      <c r="BZ17" s="1185"/>
      <c r="CA17" s="1185"/>
      <c r="CB17" s="1185"/>
      <c r="CC17" s="1185"/>
      <c r="CD17" s="1186"/>
      <c r="CE17" s="1185"/>
      <c r="CF17" s="1185"/>
      <c r="CG17" s="1185"/>
      <c r="CH17" s="1185"/>
      <c r="CI17" s="1186"/>
      <c r="CJ17" s="1185"/>
      <c r="CK17" s="1185"/>
      <c r="CL17" s="1185"/>
      <c r="CM17" s="1185"/>
      <c r="CN17" s="1186"/>
      <c r="CO17" s="1185"/>
      <c r="CP17" s="1161"/>
      <c r="CQ17" s="1162"/>
      <c r="CR17" s="1161"/>
    </row>
    <row r="18" spans="1:96" hidden="1" outlineLevel="2">
      <c r="A18" s="1177" t="s">
        <v>781</v>
      </c>
      <c r="B18" s="1177"/>
      <c r="C18" s="1178"/>
      <c r="D18" s="1178"/>
      <c r="E18" s="1178"/>
      <c r="F18" s="1178"/>
      <c r="G18" s="1179"/>
      <c r="H18" s="1178"/>
      <c r="I18" s="1178"/>
      <c r="J18" s="1178"/>
      <c r="K18" s="1178"/>
      <c r="L18" s="1179"/>
      <c r="M18" s="1178"/>
      <c r="N18" s="1178"/>
      <c r="O18" s="1178"/>
      <c r="P18" s="1178"/>
      <c r="Q18" s="1179"/>
      <c r="R18" s="1178"/>
      <c r="S18" s="1178"/>
      <c r="T18" s="1178"/>
      <c r="U18" s="1178"/>
      <c r="V18" s="1179"/>
      <c r="W18" s="1178"/>
      <c r="X18" s="1178"/>
      <c r="Y18" s="1178"/>
      <c r="Z18" s="1178"/>
      <c r="AA18" s="1179"/>
      <c r="AB18" s="1178"/>
      <c r="AC18" s="1178"/>
      <c r="AD18" s="1178"/>
      <c r="AE18" s="1178"/>
      <c r="AF18" s="1179"/>
      <c r="AG18" s="1178"/>
      <c r="AH18" s="1178"/>
      <c r="AI18" s="1178"/>
      <c r="AJ18" s="1178"/>
      <c r="AK18" s="1179"/>
      <c r="AL18" s="1178"/>
      <c r="AM18" s="1178"/>
      <c r="AN18" s="1178"/>
      <c r="AO18" s="1178"/>
      <c r="AP18" s="1179"/>
      <c r="AQ18" s="1178"/>
      <c r="AR18" s="1178"/>
      <c r="AS18" s="1178"/>
      <c r="AT18" s="1178"/>
      <c r="AU18" s="1179"/>
      <c r="AV18" s="1178"/>
      <c r="AW18" s="1178"/>
      <c r="AX18" s="1178"/>
      <c r="AY18" s="1178"/>
      <c r="AZ18" s="1179"/>
      <c r="BA18" s="1178"/>
      <c r="BB18" s="1178"/>
      <c r="BC18" s="1178"/>
      <c r="BD18" s="1178"/>
      <c r="BE18" s="1179"/>
      <c r="BF18" s="1178"/>
      <c r="BG18" s="1178"/>
      <c r="BH18" s="1178"/>
      <c r="BI18" s="1178"/>
      <c r="BJ18" s="1179"/>
      <c r="BK18" s="1178"/>
      <c r="BL18" s="1178"/>
      <c r="BM18" s="1178"/>
      <c r="BN18" s="1178"/>
      <c r="BO18" s="1179"/>
      <c r="BP18" s="1178"/>
      <c r="BQ18" s="1178"/>
      <c r="BR18" s="1178"/>
      <c r="BS18" s="1178"/>
      <c r="BT18" s="1179"/>
      <c r="BU18" s="1178"/>
      <c r="BV18" s="1178"/>
      <c r="BW18" s="1178"/>
      <c r="BX18" s="1178"/>
      <c r="BY18" s="1179"/>
      <c r="BZ18" s="1178"/>
      <c r="CA18" s="1178"/>
      <c r="CB18" s="1178"/>
      <c r="CC18" s="1178"/>
      <c r="CD18" s="1179"/>
      <c r="CE18" s="1178"/>
      <c r="CF18" s="1178"/>
      <c r="CG18" s="1178"/>
      <c r="CH18" s="1178"/>
      <c r="CI18" s="1179"/>
      <c r="CJ18" s="1178"/>
      <c r="CK18" s="1178"/>
      <c r="CL18" s="1178"/>
      <c r="CM18" s="1178"/>
      <c r="CN18" s="1179"/>
      <c r="CO18" s="1795"/>
      <c r="CP18" s="1161"/>
      <c r="CQ18" s="1162"/>
      <c r="CR18" s="1161"/>
    </row>
    <row r="19" spans="1:96" hidden="1" outlineLevel="2">
      <c r="A19" s="1180" t="s">
        <v>782</v>
      </c>
      <c r="B19" s="1180"/>
      <c r="C19" s="1187">
        <f t="shared" ref="C19:G20" si="8">C58</f>
        <v>9.0397094889070662E-2</v>
      </c>
      <c r="D19" s="1187">
        <f t="shared" si="8"/>
        <v>5.2533638634765012E-2</v>
      </c>
      <c r="E19" s="1187">
        <f t="shared" si="8"/>
        <v>6.930618298510538E-2</v>
      </c>
      <c r="F19" s="1187">
        <f t="shared" si="8"/>
        <v>-4.5963694396776833E-2</v>
      </c>
      <c r="G19" s="1188">
        <f t="shared" si="8"/>
        <v>4.1568305528041055E-2</v>
      </c>
      <c r="H19" s="1187">
        <f t="shared" ref="H19:L21" si="9">H58</f>
        <v>4.2653426431513264E-2</v>
      </c>
      <c r="I19" s="1187">
        <f t="shared" si="9"/>
        <v>-1.5008164012874081E-3</v>
      </c>
      <c r="J19" s="1187">
        <f t="shared" si="9"/>
        <v>-0.10709586922115555</v>
      </c>
      <c r="K19" s="1187">
        <f t="shared" si="9"/>
        <v>-8.7474227064236021E-2</v>
      </c>
      <c r="L19" s="1188">
        <f t="shared" si="9"/>
        <v>-3.8354371563791428E-2</v>
      </c>
      <c r="M19" s="1187">
        <f t="shared" ref="M19:Q21" si="10">M58</f>
        <v>-0.1626411442061616</v>
      </c>
      <c r="N19" s="1187">
        <f t="shared" si="10"/>
        <v>-0.19315990575245712</v>
      </c>
      <c r="O19" s="1187">
        <f t="shared" si="10"/>
        <v>-0.14410618882097259</v>
      </c>
      <c r="P19" s="1187">
        <f t="shared" si="10"/>
        <v>-0.14479863236417811</v>
      </c>
      <c r="Q19" s="1188">
        <f t="shared" si="10"/>
        <v>5.667506297229119E-3</v>
      </c>
      <c r="R19" s="1187">
        <f t="shared" ref="R19:V21" si="11">R58</f>
        <v>-0.15910273683937148</v>
      </c>
      <c r="S19" s="1187">
        <f t="shared" si="11"/>
        <v>-8.4504241376480049E-2</v>
      </c>
      <c r="T19" s="1187">
        <f t="shared" si="11"/>
        <v>-6.605389504216963E-2</v>
      </c>
      <c r="U19" s="1187">
        <f t="shared" si="11"/>
        <v>-8.0159873537727244E-2</v>
      </c>
      <c r="V19" s="1188">
        <f t="shared" si="11"/>
        <v>0.32712047541869271</v>
      </c>
      <c r="W19" s="1187">
        <f t="shared" ref="W19:AA21" si="12">W58</f>
        <v>-1.3185287994448291E-2</v>
      </c>
      <c r="X19" s="1187">
        <f t="shared" si="12"/>
        <v>-6.5253214756025524E-2</v>
      </c>
      <c r="Y19" s="1187">
        <f t="shared" si="12"/>
        <v>3.0836626768049324E-3</v>
      </c>
      <c r="Z19" s="1187">
        <f t="shared" si="12"/>
        <v>4.5509607713812628E-2</v>
      </c>
      <c r="AA19" s="1188">
        <f t="shared" si="12"/>
        <v>0.1037857802400739</v>
      </c>
      <c r="AB19" s="1187">
        <f t="shared" ref="AB19:AF21" si="13">AB58</f>
        <v>7.7777777777777724E-2</v>
      </c>
      <c r="AC19" s="1187">
        <f t="shared" si="13"/>
        <v>4.7504658690950219E-2</v>
      </c>
      <c r="AD19" s="1187">
        <f t="shared" si="13"/>
        <v>-4.3716269322583989E-2</v>
      </c>
      <c r="AE19" s="1187">
        <f t="shared" si="13"/>
        <v>-4.3716269322583989E-2</v>
      </c>
      <c r="AF19" s="1188">
        <f t="shared" si="13"/>
        <v>0.2794189652358412</v>
      </c>
      <c r="AG19" s="1187">
        <f t="shared" ref="AG19:AK21" si="14">AG58</f>
        <v>-2.3188405797101463E-2</v>
      </c>
      <c r="AH19" s="1187">
        <f t="shared" si="14"/>
        <v>8.7699944842801969E-2</v>
      </c>
      <c r="AI19" s="1187">
        <f t="shared" si="14"/>
        <v>0.61850060459492129</v>
      </c>
      <c r="AJ19" s="1187">
        <f t="shared" si="14"/>
        <v>0.35582255083179293</v>
      </c>
      <c r="AK19" s="1188">
        <f t="shared" si="14"/>
        <v>0.24724061810154496</v>
      </c>
      <c r="AL19" s="1187">
        <f t="shared" ref="AL19:AP21" si="15">AL58</f>
        <v>0.38386648122392208</v>
      </c>
      <c r="AM19" s="1187">
        <f t="shared" si="15"/>
        <v>0.25889046941678506</v>
      </c>
      <c r="AN19" s="1187">
        <f t="shared" si="15"/>
        <v>-5.0444049733570084E-2</v>
      </c>
      <c r="AO19" s="1187">
        <f t="shared" si="15"/>
        <v>-9.1109016650959829E-3</v>
      </c>
      <c r="AP19" s="1188">
        <f t="shared" si="15"/>
        <v>0.11720576773187807</v>
      </c>
      <c r="AQ19" s="1187">
        <f t="shared" ref="AQ19:AU21" si="16">AQ58</f>
        <v>-0.13553565915405985</v>
      </c>
      <c r="AR19" s="1187">
        <f t="shared" si="16"/>
        <v>-0.20196877121520718</v>
      </c>
      <c r="AS19" s="1187">
        <f>AS58</f>
        <v>-0.28716216216216217</v>
      </c>
      <c r="AT19" s="1187">
        <f t="shared" si="16"/>
        <v>-0.28821099459802979</v>
      </c>
      <c r="AU19" s="1188">
        <f t="shared" si="16"/>
        <v>-0.22705824926781648</v>
      </c>
      <c r="AV19" s="1187">
        <f t="shared" ref="AV19:AZ21" si="17">AV58</f>
        <v>-7.2792792792792937E-2</v>
      </c>
      <c r="AW19" s="1187">
        <f t="shared" si="17"/>
        <v>0.29553903345724897</v>
      </c>
      <c r="AX19" s="1187">
        <f t="shared" si="17"/>
        <v>0.59098187560577853</v>
      </c>
      <c r="AY19" s="1187">
        <f t="shared" si="17"/>
        <v>0.41020723786319779</v>
      </c>
      <c r="AZ19" s="1188">
        <f t="shared" si="17"/>
        <v>0.27753297564971602</v>
      </c>
      <c r="BA19" s="1187">
        <f t="shared" ref="BA19:BE21" si="18">BA58</f>
        <v>0.1771968046477852</v>
      </c>
      <c r="BB19" s="1187">
        <f t="shared" si="18"/>
        <v>6.596971881759206E-2</v>
      </c>
      <c r="BC19" s="1187">
        <f t="shared" si="18"/>
        <v>-7.1452420701168529E-2</v>
      </c>
      <c r="BD19" s="1187">
        <f t="shared" si="18"/>
        <v>0.1587057010785824</v>
      </c>
      <c r="BE19" s="1188">
        <f t="shared" si="18"/>
        <v>8.2596872875594807E-2</v>
      </c>
      <c r="BF19" s="1187">
        <f t="shared" ref="BF19:BJ21" si="19">BF58</f>
        <v>3.0466518565534617E-2</v>
      </c>
      <c r="BG19" s="1187">
        <f t="shared" si="19"/>
        <v>6.2880975296759845E-2</v>
      </c>
      <c r="BH19" s="1187">
        <f t="shared" si="19"/>
        <v>4.0600477652678268E-2</v>
      </c>
      <c r="BI19" s="1187">
        <f t="shared" si="19"/>
        <v>-6.0629921259842567E-2</v>
      </c>
      <c r="BJ19" s="1188">
        <f t="shared" si="19"/>
        <v>1.6282194014212381E-2</v>
      </c>
      <c r="BK19" s="1187">
        <f t="shared" ref="BK19:BT19" si="20">BK58</f>
        <v>-0.11248866041729666</v>
      </c>
      <c r="BL19" s="1187">
        <f t="shared" si="20"/>
        <v>-0.17599999999999993</v>
      </c>
      <c r="BM19" s="1187">
        <f t="shared" si="20"/>
        <v>-9.1034482758620583E-2</v>
      </c>
      <c r="BN19" s="1187">
        <f t="shared" si="20"/>
        <v>-8.7990828317569325E-2</v>
      </c>
      <c r="BO19" s="1188">
        <f t="shared" si="20"/>
        <v>-0.11729539211652507</v>
      </c>
      <c r="BP19" s="1187">
        <f t="shared" si="20"/>
        <v>7.3949579831933399E-3</v>
      </c>
      <c r="BQ19" s="1187">
        <f t="shared" si="20"/>
        <v>8.0669710806697159E-2</v>
      </c>
      <c r="BR19" s="1187">
        <f t="shared" si="20"/>
        <v>1.8953752843062777E-3</v>
      </c>
      <c r="BS19" s="1187">
        <f t="shared" si="20"/>
        <v>-2.7531956735496688E-2</v>
      </c>
      <c r="BT19" s="1188">
        <f t="shared" si="20"/>
        <v>1.427709744045913E-2</v>
      </c>
      <c r="BU19" s="1187">
        <f t="shared" ref="BU19:BZ21" si="21">BU58</f>
        <v>3.1020680453635707E-2</v>
      </c>
      <c r="BV19" s="1187">
        <f t="shared" si="21"/>
        <v>0.15037086985839498</v>
      </c>
      <c r="BW19" s="1187">
        <f t="shared" si="21"/>
        <v>0.39353197674418605</v>
      </c>
      <c r="BX19" s="1187">
        <f t="shared" si="21"/>
        <v>0.28260869565217384</v>
      </c>
      <c r="BY19" s="1188">
        <f t="shared" si="21"/>
        <v>0.21095836800090639</v>
      </c>
      <c r="BZ19" s="1187">
        <f t="shared" si="21"/>
        <v>0.35949202214262455</v>
      </c>
      <c r="CA19" s="1187">
        <f t="shared" ref="CA19:CC21" si="22">CA58</f>
        <v>0.21673355974066078</v>
      </c>
      <c r="CB19" s="1187">
        <f t="shared" si="22"/>
        <v>0.17766352470722646</v>
      </c>
      <c r="CC19" s="1187">
        <f t="shared" si="22"/>
        <v>0.36368317388857618</v>
      </c>
      <c r="CD19" s="1188"/>
      <c r="CE19" s="1187">
        <f t="shared" ref="CE19:CH21" si="23">CE58</f>
        <v>0.20980290456431527</v>
      </c>
      <c r="CF19" s="1187">
        <f t="shared" si="23"/>
        <v>0.2905937992643195</v>
      </c>
      <c r="CG19" s="1187">
        <f t="shared" si="23"/>
        <v>0.28160919540229878</v>
      </c>
      <c r="CH19" s="1187">
        <f t="shared" si="23"/>
        <v>0.27420469880928477</v>
      </c>
      <c r="CI19" s="1188"/>
      <c r="CJ19" s="1187">
        <f t="shared" ref="CJ19:CM19" si="24">CJ58</f>
        <v>0.11939467496459844</v>
      </c>
      <c r="CK19" s="1187">
        <f t="shared" si="24"/>
        <v>0.21231870898626526</v>
      </c>
      <c r="CL19" s="1187">
        <f t="shared" si="24"/>
        <v>0.23152316375407067</v>
      </c>
      <c r="CM19" s="1187">
        <f t="shared" si="24"/>
        <v>0.18909984357145571</v>
      </c>
      <c r="CN19" s="1188"/>
      <c r="CO19" s="1796"/>
      <c r="CP19" s="1169"/>
      <c r="CQ19" s="1170"/>
      <c r="CR19" s="1169"/>
    </row>
    <row r="20" spans="1:96" hidden="1" outlineLevel="2">
      <c r="A20" s="1180" t="s">
        <v>783</v>
      </c>
      <c r="B20" s="1180"/>
      <c r="C20" s="1187">
        <f t="shared" si="8"/>
        <v>8.7960275947539968E-2</v>
      </c>
      <c r="D20" s="1187">
        <f t="shared" si="8"/>
        <v>0.1458352704271404</v>
      </c>
      <c r="E20" s="1187">
        <f t="shared" si="8"/>
        <v>0.14265671081727715</v>
      </c>
      <c r="F20" s="1187">
        <f t="shared" si="8"/>
        <v>0.11753215984612364</v>
      </c>
      <c r="G20" s="1188">
        <f t="shared" si="8"/>
        <v>0.12349610425952029</v>
      </c>
      <c r="H20" s="1187">
        <f t="shared" si="9"/>
        <v>0.14120305878316519</v>
      </c>
      <c r="I20" s="1187">
        <f t="shared" si="9"/>
        <v>5.7779191047876211E-2</v>
      </c>
      <c r="J20" s="1187">
        <f t="shared" si="9"/>
        <v>-2.1342082315498168E-2</v>
      </c>
      <c r="K20" s="1187">
        <f t="shared" si="9"/>
        <v>1.0896620893164899E-2</v>
      </c>
      <c r="L20" s="1188">
        <f t="shared" si="9"/>
        <v>4.7134197102177033E-2</v>
      </c>
      <c r="M20" s="1187">
        <f t="shared" si="10"/>
        <v>-8.5978757760459046E-2</v>
      </c>
      <c r="N20" s="1187">
        <f t="shared" si="10"/>
        <v>-8.3006115538471925E-2</v>
      </c>
      <c r="O20" s="1187">
        <f t="shared" si="10"/>
        <v>-1.296147544175974E-2</v>
      </c>
      <c r="P20" s="1187">
        <f t="shared" si="10"/>
        <v>-8.9294590015471687E-2</v>
      </c>
      <c r="Q20" s="1188">
        <f t="shared" si="10"/>
        <v>5.0493545937737361E-2</v>
      </c>
      <c r="R20" s="1187">
        <f t="shared" si="11"/>
        <v>-0.10902754199333509</v>
      </c>
      <c r="S20" s="1187">
        <f t="shared" si="11"/>
        <v>-7.7603330316060481E-2</v>
      </c>
      <c r="T20" s="1187">
        <f t="shared" si="11"/>
        <v>-7.4775675170468681E-2</v>
      </c>
      <c r="U20" s="1187">
        <f t="shared" si="11"/>
        <v>-2.969177669587908E-2</v>
      </c>
      <c r="V20" s="1188">
        <f t="shared" si="11"/>
        <v>0.18360886387618702</v>
      </c>
      <c r="W20" s="1187">
        <f t="shared" si="12"/>
        <v>5.9561128526645746E-2</v>
      </c>
      <c r="X20" s="1187">
        <f t="shared" si="12"/>
        <v>-2.7718068602979651E-2</v>
      </c>
      <c r="Y20" s="1187">
        <f t="shared" si="12"/>
        <v>6.6854893865340159E-3</v>
      </c>
      <c r="Z20" s="1187">
        <f t="shared" si="12"/>
        <v>6.4250060805523423E-2</v>
      </c>
      <c r="AA20" s="1188">
        <f t="shared" si="12"/>
        <v>0.15909732016925249</v>
      </c>
      <c r="AB20" s="1187">
        <f t="shared" si="13"/>
        <v>6.3056379821958553E-2</v>
      </c>
      <c r="AC20" s="1187">
        <f t="shared" si="13"/>
        <v>8.4543127547749064E-2</v>
      </c>
      <c r="AD20" s="1187">
        <f t="shared" si="13"/>
        <v>4.5079544047919473E-2</v>
      </c>
      <c r="AE20" s="1187">
        <f t="shared" si="13"/>
        <v>4.5079544047919473E-2</v>
      </c>
      <c r="AF20" s="1188">
        <f t="shared" si="13"/>
        <v>0.35217685431263557</v>
      </c>
      <c r="AG20" s="1187">
        <f t="shared" si="14"/>
        <v>2.9673590504450953E-3</v>
      </c>
      <c r="AH20" s="1187">
        <f t="shared" si="14"/>
        <v>2.7646662171274317E-2</v>
      </c>
      <c r="AI20" s="1187">
        <f t="shared" si="14"/>
        <v>0.3613616779059392</v>
      </c>
      <c r="AJ20" s="1187">
        <f t="shared" si="14"/>
        <v>0.26323957322987401</v>
      </c>
      <c r="AK20" s="1188">
        <f t="shared" si="14"/>
        <v>0.15624756252019645</v>
      </c>
      <c r="AL20" s="1187">
        <f t="shared" si="15"/>
        <v>0.20457902511078285</v>
      </c>
      <c r="AM20" s="1187">
        <f t="shared" si="15"/>
        <v>0.27711640211640209</v>
      </c>
      <c r="AN20" s="1187">
        <f t="shared" si="15"/>
        <v>-0.10560471976401187</v>
      </c>
      <c r="AO20" s="1187">
        <f t="shared" si="15"/>
        <v>2.3423423423423406E-2</v>
      </c>
      <c r="AP20" s="1188">
        <f t="shared" si="15"/>
        <v>8.9302923225184516E-2</v>
      </c>
      <c r="AQ20" s="1187">
        <f t="shared" si="16"/>
        <v>-1.0023584905660354E-2</v>
      </c>
      <c r="AR20" s="1187">
        <f t="shared" si="16"/>
        <v>-0.1937649880095923</v>
      </c>
      <c r="AS20" s="1187">
        <f t="shared" si="16"/>
        <v>-0.14471243042671622</v>
      </c>
      <c r="AT20" s="1187">
        <f t="shared" si="16"/>
        <v>-0.28595505617977535</v>
      </c>
      <c r="AU20" s="1188">
        <f t="shared" si="16"/>
        <v>-0.16216216216216217</v>
      </c>
      <c r="AV20" s="1187">
        <f t="shared" si="17"/>
        <v>-5.2516411378555783E-2</v>
      </c>
      <c r="AW20" s="1187">
        <f t="shared" si="17"/>
        <v>0.1770529994175889</v>
      </c>
      <c r="AX20" s="1187">
        <f t="shared" si="17"/>
        <v>0.2559601636410791</v>
      </c>
      <c r="AY20" s="1187">
        <f t="shared" si="17"/>
        <v>0.34511716049121377</v>
      </c>
      <c r="AZ20" s="1188">
        <f t="shared" si="17"/>
        <v>0.16440871837856985</v>
      </c>
      <c r="BA20" s="1187">
        <f t="shared" si="18"/>
        <v>0.16123499142367081</v>
      </c>
      <c r="BB20" s="1187">
        <f t="shared" si="18"/>
        <v>-1.6159695817490549E-2</v>
      </c>
      <c r="BC20" s="1187">
        <f t="shared" si="18"/>
        <v>3.1488065007617916E-2</v>
      </c>
      <c r="BD20" s="1187">
        <f t="shared" si="18"/>
        <v>8.2371458551941279E-2</v>
      </c>
      <c r="BE20" s="1188">
        <f t="shared" si="18"/>
        <v>6.0429606625258758E-2</v>
      </c>
      <c r="BF20" s="1187">
        <f t="shared" si="19"/>
        <v>-3.3446437227338865E-2</v>
      </c>
      <c r="BG20" s="1187">
        <f t="shared" si="19"/>
        <v>0.12231217919672499</v>
      </c>
      <c r="BH20" s="1187">
        <f t="shared" si="19"/>
        <v>8.8941176470588301E-2</v>
      </c>
      <c r="BI20" s="1187">
        <f t="shared" si="19"/>
        <v>4.9006010171058767E-2</v>
      </c>
      <c r="BJ20" s="1188">
        <f t="shared" si="19"/>
        <v>5.5285186921514518E-2</v>
      </c>
      <c r="BK20" s="1187">
        <f t="shared" ref="BK20:BT20" si="25">BK59</f>
        <v>8.845789971617779E-2</v>
      </c>
      <c r="BL20" s="1187">
        <f t="shared" si="25"/>
        <v>-5.8847239016525554E-2</v>
      </c>
      <c r="BM20" s="1187">
        <f t="shared" si="25"/>
        <v>-8.4804132587171788E-2</v>
      </c>
      <c r="BN20" s="1187">
        <f t="shared" si="25"/>
        <v>-0.27750113173381608</v>
      </c>
      <c r="BO20" s="1188">
        <f t="shared" si="25"/>
        <v>-8.4646606746297426E-2</v>
      </c>
      <c r="BP20" s="1187">
        <f t="shared" si="25"/>
        <v>-0.15564017134697772</v>
      </c>
      <c r="BQ20" s="1187">
        <f t="shared" si="25"/>
        <v>-0.10346378767431397</v>
      </c>
      <c r="BR20" s="1187">
        <f t="shared" si="25"/>
        <v>-0.23478701825557813</v>
      </c>
      <c r="BS20" s="1187">
        <f t="shared" si="25"/>
        <v>-6.6666666666666763E-2</v>
      </c>
      <c r="BT20" s="1188">
        <f t="shared" si="25"/>
        <v>-0.14392561905600731</v>
      </c>
      <c r="BU20" s="1187">
        <f t="shared" si="21"/>
        <v>-3.6652412950519242E-2</v>
      </c>
      <c r="BV20" s="1187">
        <f t="shared" si="21"/>
        <v>-7.9002079002079117E-2</v>
      </c>
      <c r="BW20" s="1187">
        <f t="shared" si="21"/>
        <v>0.25168690958164652</v>
      </c>
      <c r="BX20" s="1187">
        <f t="shared" si="21"/>
        <v>0.30168350168350178</v>
      </c>
      <c r="BY20" s="1188">
        <f t="shared" si="21"/>
        <v>9.3459952079046005E-2</v>
      </c>
      <c r="BZ20" s="1187">
        <f t="shared" si="21"/>
        <v>0.29650793650793639</v>
      </c>
      <c r="CA20" s="1187">
        <f t="shared" si="22"/>
        <v>0.19869899467770558</v>
      </c>
      <c r="CB20" s="1187">
        <f t="shared" si="22"/>
        <v>0.23231132075471694</v>
      </c>
      <c r="CC20" s="1187">
        <f t="shared" si="22"/>
        <v>0.34062929061784963</v>
      </c>
      <c r="CD20" s="1188"/>
      <c r="CE20" s="1187">
        <f t="shared" si="23"/>
        <v>0.21809623430962333</v>
      </c>
      <c r="CF20" s="1187">
        <f t="shared" si="23"/>
        <v>0.31297324583543684</v>
      </c>
      <c r="CG20" s="1187">
        <f t="shared" si="23"/>
        <v>0.30344502123643213</v>
      </c>
      <c r="CH20" s="1187">
        <f t="shared" si="23"/>
        <v>0.21483102649374608</v>
      </c>
      <c r="CI20" s="1188"/>
      <c r="CJ20" s="1187">
        <f t="shared" ref="CJ20:CM20" si="26">CJ59</f>
        <v>0.2926865528305187</v>
      </c>
      <c r="CK20" s="1187">
        <f t="shared" si="26"/>
        <v>0.30408657306546805</v>
      </c>
      <c r="CL20" s="1187">
        <f t="shared" si="26"/>
        <v>0.29553040863530078</v>
      </c>
      <c r="CM20" s="1187">
        <f t="shared" si="26"/>
        <v>0.24918257606146144</v>
      </c>
      <c r="CN20" s="1188"/>
      <c r="CO20" s="1796"/>
      <c r="CP20" s="1169"/>
      <c r="CQ20" s="1170"/>
      <c r="CR20" s="1169"/>
    </row>
    <row r="21" spans="1:96" hidden="1" outlineLevel="2">
      <c r="A21" s="1180" t="s">
        <v>784</v>
      </c>
      <c r="B21" s="1180"/>
      <c r="C21" s="1187" t="s">
        <v>131</v>
      </c>
      <c r="D21" s="1187" t="s">
        <v>131</v>
      </c>
      <c r="E21" s="1187" t="s">
        <v>131</v>
      </c>
      <c r="F21" s="1187" t="s">
        <v>131</v>
      </c>
      <c r="G21" s="1188" t="s">
        <v>131</v>
      </c>
      <c r="H21" s="1187">
        <f t="shared" si="9"/>
        <v>8.7331521373725157E-2</v>
      </c>
      <c r="I21" s="1187">
        <f t="shared" si="9"/>
        <v>2.5374147388918609E-2</v>
      </c>
      <c r="J21" s="1187">
        <f t="shared" si="9"/>
        <v>-7.4242097209604285E-2</v>
      </c>
      <c r="K21" s="1187">
        <f t="shared" si="9"/>
        <v>-4.2877185150329997E-2</v>
      </c>
      <c r="L21" s="1188">
        <f t="shared" si="9"/>
        <v>4.0240810336191618E-4</v>
      </c>
      <c r="M21" s="1187">
        <f t="shared" si="10"/>
        <v>-0.12934073707627125</v>
      </c>
      <c r="N21" s="1187">
        <f t="shared" si="10"/>
        <v>-0.14531159015606906</v>
      </c>
      <c r="O21" s="1187">
        <f t="shared" si="10"/>
        <v>-8.7139890862668226E-2</v>
      </c>
      <c r="P21" s="1187">
        <f t="shared" si="10"/>
        <v>-0.1206889314631281</v>
      </c>
      <c r="Q21" s="1188">
        <f t="shared" si="10"/>
        <v>6.1394863271256206E-2</v>
      </c>
      <c r="R21" s="1187">
        <f t="shared" si="11"/>
        <v>0.32801495478199372</v>
      </c>
      <c r="S21" s="1187">
        <f t="shared" si="11"/>
        <v>0.23095400223647977</v>
      </c>
      <c r="T21" s="1187">
        <f t="shared" si="11"/>
        <v>0.23060459636126618</v>
      </c>
      <c r="U21" s="1187">
        <f t="shared" si="11"/>
        <v>0.16318540043392682</v>
      </c>
      <c r="V21" s="1188">
        <f t="shared" si="11"/>
        <v>0.23452499287506723</v>
      </c>
      <c r="W21" s="1187">
        <f t="shared" si="12"/>
        <v>9.0528514154899486E-2</v>
      </c>
      <c r="X21" s="1187">
        <f t="shared" si="12"/>
        <v>0.18494702317812162</v>
      </c>
      <c r="Y21" s="1187">
        <f t="shared" si="12"/>
        <v>0.19921577952654501</v>
      </c>
      <c r="Z21" s="1187">
        <f t="shared" si="12"/>
        <v>0.20295365330079984</v>
      </c>
      <c r="AA21" s="1188">
        <f t="shared" si="12"/>
        <v>0.16904008866055742</v>
      </c>
      <c r="AB21" s="1187">
        <f t="shared" si="13"/>
        <v>0.43794434975321561</v>
      </c>
      <c r="AC21" s="1187">
        <f t="shared" si="13"/>
        <v>0.31172975773593903</v>
      </c>
      <c r="AD21" s="1187">
        <f t="shared" si="13"/>
        <v>0.24012861393030094</v>
      </c>
      <c r="AE21" s="1187">
        <f t="shared" si="13"/>
        <v>0.32388987618810594</v>
      </c>
      <c r="AF21" s="1188">
        <f t="shared" si="13"/>
        <v>0.32750451223376031</v>
      </c>
      <c r="AG21" s="1187">
        <f t="shared" si="14"/>
        <v>-3.0173400175139364E-2</v>
      </c>
      <c r="AH21" s="1187">
        <f t="shared" si="14"/>
        <v>0.15365973411219658</v>
      </c>
      <c r="AI21" s="1187">
        <f t="shared" si="14"/>
        <v>0.39590262890013306</v>
      </c>
      <c r="AJ21" s="1187">
        <f t="shared" si="14"/>
        <v>0.29380290981053236</v>
      </c>
      <c r="AK21" s="1188">
        <f t="shared" si="14"/>
        <v>0.2006368190113772</v>
      </c>
      <c r="AL21" s="1187">
        <f t="shared" si="15"/>
        <v>0.32197527898528966</v>
      </c>
      <c r="AM21" s="1187">
        <f t="shared" si="15"/>
        <v>0.12986317979229511</v>
      </c>
      <c r="AN21" s="1187">
        <f t="shared" si="15"/>
        <v>-3.7408152769915493E-3</v>
      </c>
      <c r="AO21" s="1187">
        <f t="shared" si="15"/>
        <v>-3.0849056914370454E-3</v>
      </c>
      <c r="AP21" s="1188">
        <f t="shared" si="15"/>
        <v>9.4974763140219576E-2</v>
      </c>
      <c r="AQ21" s="1187">
        <f t="shared" si="16"/>
        <v>-0.13077169280528267</v>
      </c>
      <c r="AR21" s="1187">
        <f t="shared" si="16"/>
        <v>-0.18704320510189587</v>
      </c>
      <c r="AS21" s="1187">
        <f t="shared" si="16"/>
        <v>-0.20665601962001989</v>
      </c>
      <c r="AT21" s="1187">
        <f t="shared" si="16"/>
        <v>-0.19665771150692501</v>
      </c>
      <c r="AU21" s="1188">
        <f t="shared" si="16"/>
        <v>-0.18036564820864553</v>
      </c>
      <c r="AV21" s="1187">
        <f t="shared" si="17"/>
        <v>6.6773483894759567E-2</v>
      </c>
      <c r="AW21" s="1187">
        <f t="shared" si="17"/>
        <v>0.3284175780823162</v>
      </c>
      <c r="AX21" s="1187">
        <f t="shared" si="17"/>
        <v>0.41977069764174413</v>
      </c>
      <c r="AY21" s="1187">
        <f t="shared" si="17"/>
        <v>0.33422357447420303</v>
      </c>
      <c r="AZ21" s="1188">
        <f t="shared" si="17"/>
        <v>0.28169492203057933</v>
      </c>
      <c r="BA21" s="1187">
        <f t="shared" si="18"/>
        <v>0.20367998136718279</v>
      </c>
      <c r="BB21" s="1187">
        <f t="shared" si="18"/>
        <v>5.5316080527233913E-2</v>
      </c>
      <c r="BC21" s="1187">
        <f t="shared" si="18"/>
        <v>-1.5338491940475318E-3</v>
      </c>
      <c r="BD21" s="1187">
        <f t="shared" si="18"/>
        <v>0.12823504433769273</v>
      </c>
      <c r="BE21" s="1188">
        <f t="shared" si="18"/>
        <v>9.3368421052631545E-2</v>
      </c>
      <c r="BF21" s="1187">
        <f t="shared" si="19"/>
        <v>-4.9235870959207784E-4</v>
      </c>
      <c r="BG21" s="1187">
        <f t="shared" si="19"/>
        <v>0.10282400952725057</v>
      </c>
      <c r="BH21" s="1187">
        <f t="shared" si="19"/>
        <v>8.0425419359423378E-2</v>
      </c>
      <c r="BI21" s="1187">
        <f t="shared" si="19"/>
        <v>1.4094384378572355E-2</v>
      </c>
      <c r="BJ21" s="1188">
        <f t="shared" si="19"/>
        <v>4.8011380528441006E-2</v>
      </c>
      <c r="BK21" s="1187">
        <f t="shared" ref="BK21:BT21" si="27">BK60</f>
        <v>-2.0397619639884512E-2</v>
      </c>
      <c r="BL21" s="1187">
        <f t="shared" si="27"/>
        <v>-8.6930576664659753E-2</v>
      </c>
      <c r="BM21" s="1187">
        <f t="shared" si="27"/>
        <v>-6.5039145644005925E-2</v>
      </c>
      <c r="BN21" s="1187">
        <f t="shared" si="27"/>
        <v>-8.7589342377677459E-2</v>
      </c>
      <c r="BO21" s="1188">
        <f t="shared" si="27"/>
        <v>-6.5939668145506447E-2</v>
      </c>
      <c r="BP21" s="1187">
        <f t="shared" si="27"/>
        <v>5.7814823891502165E-3</v>
      </c>
      <c r="BQ21" s="1187">
        <f t="shared" si="27"/>
        <v>5.1408689732016954E-2</v>
      </c>
      <c r="BR21" s="1187">
        <f t="shared" si="27"/>
        <v>2.091207182256527E-3</v>
      </c>
      <c r="BS21" s="1187">
        <f t="shared" si="27"/>
        <v>2.1888280587770703E-2</v>
      </c>
      <c r="BT21" s="1188">
        <f t="shared" si="27"/>
        <v>2.0383503812351433E-2</v>
      </c>
      <c r="BU21" s="1187">
        <f t="shared" si="21"/>
        <v>0.11126664800223973</v>
      </c>
      <c r="BV21" s="1187">
        <f t="shared" si="21"/>
        <v>0.11176849452541093</v>
      </c>
      <c r="BW21" s="1187">
        <f t="shared" si="21"/>
        <v>0.26028312855763147</v>
      </c>
      <c r="BX21" s="1187">
        <f t="shared" si="21"/>
        <v>0.27155911333720906</v>
      </c>
      <c r="BY21" s="1188">
        <f t="shared" si="21"/>
        <v>0.18900957665240337</v>
      </c>
      <c r="BZ21" s="1187">
        <f t="shared" si="21"/>
        <v>0.28761671900257935</v>
      </c>
      <c r="CA21" s="1187">
        <f t="shared" si="22"/>
        <v>0.21911134286387912</v>
      </c>
      <c r="CB21" s="1187">
        <f t="shared" si="22"/>
        <v>0.2097542389026481</v>
      </c>
      <c r="CC21" s="1187">
        <f t="shared" si="22"/>
        <v>0.25591317846546735</v>
      </c>
      <c r="CD21" s="1188"/>
      <c r="CE21" s="1187">
        <f t="shared" si="23"/>
        <v>0.21098649278735793</v>
      </c>
      <c r="CF21" s="1187">
        <f t="shared" si="23"/>
        <v>0.27117220236661077</v>
      </c>
      <c r="CG21" s="1187">
        <f t="shared" si="23"/>
        <v>0.26519245310857409</v>
      </c>
      <c r="CH21" s="1187">
        <f t="shared" si="23"/>
        <v>0.25091782676031582</v>
      </c>
      <c r="CI21" s="1188"/>
      <c r="CJ21" s="1187">
        <f t="shared" ref="CJ21:CM21" si="28">CJ60</f>
        <v>0.19688012996540238</v>
      </c>
      <c r="CK21" s="1187">
        <f t="shared" si="28"/>
        <v>0.21138027669434867</v>
      </c>
      <c r="CL21" s="1187">
        <f t="shared" si="28"/>
        <v>0.21754452756220499</v>
      </c>
      <c r="CM21" s="1187">
        <f t="shared" si="28"/>
        <v>0.17514357124323854</v>
      </c>
      <c r="CN21" s="1188"/>
      <c r="CO21" s="1796"/>
      <c r="CP21" s="1169"/>
      <c r="CQ21" s="1170"/>
      <c r="CR21" s="1169"/>
    </row>
    <row r="22" spans="1:96" ht="5.25" hidden="1" customHeight="1" outlineLevel="2">
      <c r="A22" s="1184"/>
      <c r="B22" s="1184"/>
      <c r="C22" s="1185"/>
      <c r="D22" s="1185"/>
      <c r="E22" s="1185"/>
      <c r="F22" s="1185"/>
      <c r="G22" s="1186"/>
      <c r="H22" s="1185"/>
      <c r="I22" s="1185"/>
      <c r="J22" s="1185"/>
      <c r="K22" s="1185"/>
      <c r="L22" s="1186"/>
      <c r="M22" s="1185"/>
      <c r="N22" s="1185"/>
      <c r="O22" s="1185"/>
      <c r="P22" s="1185"/>
      <c r="Q22" s="1186"/>
      <c r="R22" s="1185"/>
      <c r="S22" s="1185"/>
      <c r="T22" s="1185"/>
      <c r="U22" s="1185"/>
      <c r="V22" s="1186"/>
      <c r="W22" s="1185"/>
      <c r="X22" s="1185"/>
      <c r="Y22" s="1185"/>
      <c r="Z22" s="1185"/>
      <c r="AA22" s="1186"/>
      <c r="AB22" s="1185"/>
      <c r="AC22" s="1185"/>
      <c r="AD22" s="1185"/>
      <c r="AE22" s="1185"/>
      <c r="AF22" s="1186"/>
      <c r="AG22" s="1185"/>
      <c r="AH22" s="1185"/>
      <c r="AI22" s="1185"/>
      <c r="AJ22" s="1185"/>
      <c r="AK22" s="1186"/>
      <c r="AL22" s="1185"/>
      <c r="AM22" s="1185"/>
      <c r="AN22" s="1185"/>
      <c r="AO22" s="1185"/>
      <c r="AP22" s="1186"/>
      <c r="AQ22" s="1185"/>
      <c r="AR22" s="1185"/>
      <c r="AS22" s="1185"/>
      <c r="AT22" s="1185"/>
      <c r="AU22" s="1186"/>
      <c r="AV22" s="1185"/>
      <c r="AW22" s="1185"/>
      <c r="AX22" s="1185"/>
      <c r="AY22" s="1185"/>
      <c r="AZ22" s="1186"/>
      <c r="BA22" s="1185"/>
      <c r="BB22" s="1185"/>
      <c r="BC22" s="1185"/>
      <c r="BD22" s="1185"/>
      <c r="BE22" s="1186"/>
      <c r="BF22" s="1185"/>
      <c r="BG22" s="1185"/>
      <c r="BH22" s="1185"/>
      <c r="BI22" s="1185"/>
      <c r="BJ22" s="1186"/>
      <c r="BK22" s="1185"/>
      <c r="BL22" s="1185"/>
      <c r="BM22" s="1185"/>
      <c r="BN22" s="1185"/>
      <c r="BO22" s="1186"/>
      <c r="BP22" s="1185"/>
      <c r="BQ22" s="1185"/>
      <c r="BR22" s="1185"/>
      <c r="BS22" s="1185"/>
      <c r="BT22" s="1186"/>
      <c r="BU22" s="1185"/>
      <c r="BV22" s="1185"/>
      <c r="BW22" s="1185"/>
      <c r="BX22" s="1185"/>
      <c r="BY22" s="1186"/>
      <c r="BZ22" s="1185"/>
      <c r="CA22" s="1185"/>
      <c r="CB22" s="1185"/>
      <c r="CC22" s="1185"/>
      <c r="CD22" s="1186"/>
      <c r="CE22" s="1185"/>
      <c r="CF22" s="1185"/>
      <c r="CG22" s="1185"/>
      <c r="CH22" s="1185"/>
      <c r="CI22" s="1186"/>
      <c r="CJ22" s="1185"/>
      <c r="CK22" s="1185"/>
      <c r="CL22" s="1185"/>
      <c r="CM22" s="1185"/>
      <c r="CN22" s="1186"/>
      <c r="CO22" s="1185"/>
      <c r="CP22" s="1175"/>
      <c r="CQ22" s="1189"/>
      <c r="CR22" s="1175"/>
    </row>
    <row r="23" spans="1:96" hidden="1" outlineLevel="1">
      <c r="A23" s="1164" t="s">
        <v>571</v>
      </c>
      <c r="B23" s="1164"/>
      <c r="C23" s="1161"/>
      <c r="D23" s="1161"/>
      <c r="E23" s="1161"/>
      <c r="F23" s="1161"/>
      <c r="G23" s="1190"/>
      <c r="H23" s="1161"/>
      <c r="I23" s="1161"/>
      <c r="J23" s="1161"/>
      <c r="K23" s="1161"/>
      <c r="L23" s="1190"/>
      <c r="M23" s="1161"/>
      <c r="N23" s="1161"/>
      <c r="O23" s="1161"/>
      <c r="P23" s="1161"/>
      <c r="Q23" s="1190"/>
      <c r="R23" s="1161"/>
      <c r="S23" s="1161"/>
      <c r="T23" s="1161"/>
      <c r="U23" s="1161"/>
      <c r="V23" s="1190"/>
      <c r="W23" s="1161"/>
      <c r="X23" s="1161"/>
      <c r="Y23" s="1161"/>
      <c r="Z23" s="1161"/>
      <c r="AA23" s="1190"/>
      <c r="AB23" s="1161"/>
      <c r="AC23" s="1161"/>
      <c r="AD23" s="1161"/>
      <c r="AE23" s="1161"/>
      <c r="AF23" s="1190"/>
      <c r="AG23" s="1161"/>
      <c r="AH23" s="1161"/>
      <c r="AI23" s="1161"/>
      <c r="AJ23" s="1161"/>
      <c r="AK23" s="1190"/>
      <c r="AL23" s="1161"/>
      <c r="AM23" s="1161"/>
      <c r="AN23" s="1161"/>
      <c r="AO23" s="1161"/>
      <c r="AP23" s="1190"/>
      <c r="AQ23" s="1161"/>
      <c r="AR23" s="1161"/>
      <c r="AS23" s="1161"/>
      <c r="AT23" s="1161"/>
      <c r="AU23" s="1190"/>
      <c r="AV23" s="1161"/>
      <c r="AW23" s="1161"/>
      <c r="AX23" s="1161"/>
      <c r="AY23" s="1161"/>
      <c r="AZ23" s="1190"/>
      <c r="BA23" s="1161"/>
      <c r="BB23" s="1161"/>
      <c r="BC23" s="1161"/>
      <c r="BD23" s="1161"/>
      <c r="BE23" s="1190"/>
      <c r="BF23" s="1161"/>
      <c r="BG23" s="1161"/>
      <c r="BH23" s="1161"/>
      <c r="BI23" s="1161"/>
      <c r="BJ23" s="1190"/>
      <c r="BK23" s="1161"/>
      <c r="BL23" s="1161"/>
      <c r="BM23" s="1161"/>
      <c r="BN23" s="1161"/>
      <c r="BO23" s="1190"/>
      <c r="BP23" s="1161"/>
      <c r="BQ23" s="1161"/>
      <c r="BR23" s="1161"/>
      <c r="BS23" s="1161"/>
      <c r="BT23" s="1190"/>
      <c r="BU23" s="1161"/>
      <c r="BV23" s="1161"/>
      <c r="BW23" s="1161"/>
      <c r="BX23" s="1161"/>
      <c r="BY23" s="1190"/>
      <c r="BZ23" s="1161"/>
      <c r="CA23" s="1161"/>
      <c r="CB23" s="1161"/>
      <c r="CC23" s="1161"/>
      <c r="CD23" s="1190"/>
      <c r="CE23" s="1161"/>
      <c r="CF23" s="1161"/>
      <c r="CG23" s="1161"/>
      <c r="CH23" s="1161"/>
      <c r="CI23" s="1190"/>
      <c r="CJ23" s="1161"/>
      <c r="CK23" s="1161"/>
      <c r="CL23" s="1161"/>
      <c r="CM23" s="1161"/>
      <c r="CN23" s="1190"/>
      <c r="CO23" s="1797"/>
      <c r="CP23" s="1161"/>
      <c r="CQ23" s="1162"/>
      <c r="CR23" s="1161"/>
    </row>
    <row r="24" spans="1:96" hidden="1" outlineLevel="1">
      <c r="A24" s="1163" t="s">
        <v>167</v>
      </c>
      <c r="B24" s="1163"/>
      <c r="C24" s="1191" t="s">
        <v>131</v>
      </c>
      <c r="D24" s="1191" t="s">
        <v>131</v>
      </c>
      <c r="E24" s="1191" t="s">
        <v>131</v>
      </c>
      <c r="F24" s="1191" t="s">
        <v>131</v>
      </c>
      <c r="G24" s="1192" t="s">
        <v>131</v>
      </c>
      <c r="H24" s="1193">
        <f t="shared" ref="H24:Q26" si="29">H9/C9-1</f>
        <v>-0.18564971167496014</v>
      </c>
      <c r="I24" s="1193">
        <f t="shared" si="29"/>
        <v>2.5064002540264863E-3</v>
      </c>
      <c r="J24" s="1193">
        <f t="shared" si="29"/>
        <v>1.2019632283516435E-2</v>
      </c>
      <c r="K24" s="1193">
        <f t="shared" si="29"/>
        <v>0.14265334056674495</v>
      </c>
      <c r="L24" s="1194">
        <f t="shared" si="29"/>
        <v>-1.3031100171088328E-2</v>
      </c>
      <c r="M24" s="1193">
        <f t="shared" si="29"/>
        <v>0.18881305009990901</v>
      </c>
      <c r="N24" s="1193">
        <f t="shared" si="29"/>
        <v>-8.0634234415914996E-3</v>
      </c>
      <c r="O24" s="1193">
        <f t="shared" si="29"/>
        <v>7.4385648260855142E-4</v>
      </c>
      <c r="P24" s="1193">
        <f t="shared" si="29"/>
        <v>0.23618426349140331</v>
      </c>
      <c r="Q24" s="1194">
        <f t="shared" si="29"/>
        <v>9.6608427543679598E-2</v>
      </c>
      <c r="R24" s="1193">
        <f t="shared" ref="R24:AA26" si="30">R9/M9-1</f>
        <v>0.25255972696245732</v>
      </c>
      <c r="S24" s="1193">
        <f t="shared" si="30"/>
        <v>0.15946632782719172</v>
      </c>
      <c r="T24" s="1193">
        <f t="shared" si="30"/>
        <v>0.24936224489795911</v>
      </c>
      <c r="U24" s="1193">
        <f t="shared" si="30"/>
        <v>0.1626740947075207</v>
      </c>
      <c r="V24" s="1194">
        <f t="shared" si="30"/>
        <v>0.20368634801624497</v>
      </c>
      <c r="W24" s="1193">
        <f t="shared" si="30"/>
        <v>0.18801089918256131</v>
      </c>
      <c r="X24" s="1193">
        <f t="shared" si="30"/>
        <v>0.32821917808219192</v>
      </c>
      <c r="Y24" s="1193">
        <f t="shared" si="30"/>
        <v>0.16539050535987743</v>
      </c>
      <c r="Z24" s="1193">
        <f t="shared" si="30"/>
        <v>0.20268327743171999</v>
      </c>
      <c r="AA24" s="1194">
        <f t="shared" si="30"/>
        <v>0.21943939787178834</v>
      </c>
      <c r="AB24" s="1193">
        <f t="shared" ref="AB24:AK26" si="31">AB9/W9-1</f>
        <v>0.43899082568807324</v>
      </c>
      <c r="AC24" s="1193">
        <f t="shared" si="31"/>
        <v>0.26196369636963679</v>
      </c>
      <c r="AD24" s="1193">
        <f t="shared" si="31"/>
        <v>0.35917652212001761</v>
      </c>
      <c r="AE24" s="1193">
        <f t="shared" si="31"/>
        <v>0.34223107569721112</v>
      </c>
      <c r="AF24" s="1194">
        <f t="shared" si="31"/>
        <v>0.3480898158986907</v>
      </c>
      <c r="AG24" s="1193">
        <f t="shared" si="31"/>
        <v>-4.9091488683455475E-2</v>
      </c>
      <c r="AH24" s="1193">
        <f t="shared" si="31"/>
        <v>0.2536776724419747</v>
      </c>
      <c r="AI24" s="1193">
        <f t="shared" si="31"/>
        <v>0.2913309700290041</v>
      </c>
      <c r="AJ24" s="1193">
        <f t="shared" si="31"/>
        <v>0.265657465123182</v>
      </c>
      <c r="AK24" s="1194">
        <f t="shared" si="31"/>
        <v>0.19111146195137385</v>
      </c>
      <c r="AL24" s="1193">
        <f t="shared" ref="AL24:AU26" si="32">AL9/AG9-1</f>
        <v>0.33053972510895058</v>
      </c>
      <c r="AM24" s="1193">
        <f t="shared" si="32"/>
        <v>7.8226857887875312E-4</v>
      </c>
      <c r="AN24" s="1193">
        <f t="shared" si="32"/>
        <v>7.2123783379086648E-2</v>
      </c>
      <c r="AO24" s="1193">
        <f t="shared" si="32"/>
        <v>-8.9118198874295063E-3</v>
      </c>
      <c r="AP24" s="1194">
        <f t="shared" si="32"/>
        <v>8.217907084631193E-2</v>
      </c>
      <c r="AQ24" s="1193">
        <f t="shared" si="32"/>
        <v>-0.17838246409674974</v>
      </c>
      <c r="AR24" s="1193">
        <f t="shared" si="32"/>
        <v>-0.17196456487754042</v>
      </c>
      <c r="AS24" s="1193">
        <f t="shared" si="32"/>
        <v>-0.17458100558659218</v>
      </c>
      <c r="AT24" s="1193">
        <f t="shared" si="32"/>
        <v>-9.0866067203028922E-2</v>
      </c>
      <c r="AU24" s="1194">
        <f t="shared" si="32"/>
        <v>-0.15322432482087089</v>
      </c>
      <c r="AV24" s="1193">
        <f t="shared" ref="AV24:AZ26" si="33">AV9/AQ9-1</f>
        <v>0.25237657160380245</v>
      </c>
      <c r="AW24" s="1193">
        <f t="shared" si="33"/>
        <v>0.43234738829452479</v>
      </c>
      <c r="AX24" s="1193">
        <f t="shared" si="33"/>
        <v>0.39283699943598416</v>
      </c>
      <c r="AY24" s="1193">
        <f t="shared" si="33"/>
        <v>0.28292555960437271</v>
      </c>
      <c r="AZ24" s="1194">
        <f t="shared" si="33"/>
        <v>0.3382512475591235</v>
      </c>
      <c r="BA24" s="1193">
        <f t="shared" ref="BA24:BE26" si="34">BA9/AV9-1</f>
        <v>0.23971596474045054</v>
      </c>
      <c r="BB24" s="1193">
        <f t="shared" si="34"/>
        <v>8.1942003514938522E-2</v>
      </c>
      <c r="BC24" s="1193">
        <f t="shared" si="34"/>
        <v>2.7738408584733865E-2</v>
      </c>
      <c r="BD24" s="1193">
        <f t="shared" si="34"/>
        <v>0.12578616352201255</v>
      </c>
      <c r="BE24" s="1194">
        <f t="shared" si="34"/>
        <v>0.11397535667963687</v>
      </c>
      <c r="BF24" s="1193">
        <f t="shared" ref="BF24:BJ26" si="35">BF9/BA9-1</f>
        <v>-6.3203634208967019E-3</v>
      </c>
      <c r="BG24" s="1193">
        <f t="shared" si="35"/>
        <v>0.11939086294416223</v>
      </c>
      <c r="BH24" s="1193">
        <f t="shared" si="35"/>
        <v>9.9881796690307167E-2</v>
      </c>
      <c r="BI24" s="1193">
        <f t="shared" si="35"/>
        <v>5.1721030816363367E-2</v>
      </c>
      <c r="BJ24" s="1194">
        <f t="shared" si="35"/>
        <v>6.5492650269247665E-2</v>
      </c>
      <c r="BK24" s="1193">
        <f t="shared" ref="BK24:BT26" si="36">BK9/BF9-1</f>
        <v>-5.565493937586985E-3</v>
      </c>
      <c r="BL24" s="1193">
        <f t="shared" si="36"/>
        <v>-4.6979865771812013E-2</v>
      </c>
      <c r="BM24" s="1193">
        <f t="shared" si="36"/>
        <v>-4.3345871395307101E-2</v>
      </c>
      <c r="BN24" s="1193">
        <f t="shared" si="36"/>
        <v>-1.5421521590130216E-2</v>
      </c>
      <c r="BO24" s="1194">
        <f t="shared" si="36"/>
        <v>-2.8183763602422252E-2</v>
      </c>
      <c r="BP24" s="1193">
        <f t="shared" si="36"/>
        <v>7.2556466120327734E-2</v>
      </c>
      <c r="BQ24" s="1193">
        <f t="shared" si="36"/>
        <v>0.10239817282070818</v>
      </c>
      <c r="BR24" s="1193">
        <f t="shared" si="36"/>
        <v>8.9683579853959916E-2</v>
      </c>
      <c r="BS24" s="1193">
        <f t="shared" si="36"/>
        <v>7.3094326487991745E-2</v>
      </c>
      <c r="BT24" s="1194">
        <f t="shared" si="36"/>
        <v>8.4332833583208311E-2</v>
      </c>
      <c r="BU24" s="1193">
        <f t="shared" ref="BU24:BZ26" si="37">BU9/BP9-1</f>
        <v>0.20126723816623193</v>
      </c>
      <c r="BV24" s="1193">
        <f t="shared" si="37"/>
        <v>0.15538674033149169</v>
      </c>
      <c r="BW24" s="1193">
        <f t="shared" si="37"/>
        <v>0.19948453608247418</v>
      </c>
      <c r="BX24" s="1193">
        <f t="shared" si="37"/>
        <v>0.25883879338306848</v>
      </c>
      <c r="BY24" s="1194">
        <f t="shared" si="37"/>
        <v>0.20467507777393723</v>
      </c>
      <c r="BZ24" s="1193">
        <f t="shared" si="37"/>
        <v>0.25116351225566236</v>
      </c>
      <c r="CA24" s="1193">
        <f t="shared" ref="CA24:CC26" si="38">CA9/BV9-1</f>
        <v>0.22534369396294074</v>
      </c>
      <c r="CB24" s="1193">
        <f t="shared" si="38"/>
        <v>0.22031227617819793</v>
      </c>
      <c r="CC24" s="1193">
        <f t="shared" si="38"/>
        <v>0.18749677918062368</v>
      </c>
      <c r="CD24" s="1194"/>
      <c r="CE24" s="1193">
        <f t="shared" ref="CE24:CH26" si="39">CE9/BZ9-1</f>
        <v>0.20991940483570981</v>
      </c>
      <c r="CF24" s="1193">
        <f t="shared" si="39"/>
        <v>0.25207317073170743</v>
      </c>
      <c r="CG24" s="1193">
        <f t="shared" si="39"/>
        <v>0.24791642211527165</v>
      </c>
      <c r="CH24" s="1193">
        <f t="shared" si="39"/>
        <v>0.24862351977520647</v>
      </c>
      <c r="CI24" s="1194"/>
      <c r="CJ24" s="1193">
        <f t="shared" ref="CJ24:CJ26" si="40">CJ9/CE9-1</f>
        <v>0.20917074725995355</v>
      </c>
      <c r="CK24" s="1193">
        <f t="shared" ref="CK24:CK26" si="41">CK9/CF9-1</f>
        <v>0.18658984985871663</v>
      </c>
      <c r="CL24" s="1193">
        <f t="shared" ref="CL24:CL26" si="42">CL9/CG9-1</f>
        <v>0.19059518752263704</v>
      </c>
      <c r="CM24" s="1193">
        <f t="shared" ref="CM24:CM26" si="43">CM9/CH9-1</f>
        <v>0.14876629503848604</v>
      </c>
      <c r="CN24" s="1194"/>
      <c r="CO24" s="1798"/>
      <c r="CP24" s="1169"/>
      <c r="CQ24" s="1170"/>
      <c r="CR24" s="1169"/>
    </row>
    <row r="25" spans="1:96" hidden="1" outlineLevel="1">
      <c r="A25" s="1163" t="s">
        <v>563</v>
      </c>
      <c r="B25" s="1163"/>
      <c r="C25" s="1191" t="s">
        <v>131</v>
      </c>
      <c r="D25" s="1191" t="s">
        <v>131</v>
      </c>
      <c r="E25" s="1191" t="s">
        <v>131</v>
      </c>
      <c r="F25" s="1191" t="s">
        <v>131</v>
      </c>
      <c r="G25" s="1192" t="s">
        <v>131</v>
      </c>
      <c r="H25" s="1193">
        <f t="shared" si="29"/>
        <v>-0.18564971167496025</v>
      </c>
      <c r="I25" s="1193">
        <f t="shared" si="29"/>
        <v>-0.14601306645027379</v>
      </c>
      <c r="J25" s="1193">
        <f t="shared" si="29"/>
        <v>-6.6279758995672511E-2</v>
      </c>
      <c r="K25" s="1193">
        <f t="shared" si="29"/>
        <v>8.7194697979225966E-2</v>
      </c>
      <c r="L25" s="1194">
        <f t="shared" si="29"/>
        <v>-8.966299599506089E-2</v>
      </c>
      <c r="M25" s="1193">
        <f t="shared" si="29"/>
        <v>3.9617087449081767E-2</v>
      </c>
      <c r="N25" s="1193">
        <f t="shared" si="29"/>
        <v>2.5627128898187523E-2</v>
      </c>
      <c r="O25" s="1193">
        <f t="shared" si="29"/>
        <v>0.26620619826507208</v>
      </c>
      <c r="P25" s="1193">
        <f t="shared" si="29"/>
        <v>0.1983075710521105</v>
      </c>
      <c r="Q25" s="1194">
        <f t="shared" si="29"/>
        <v>0.12661363057412478</v>
      </c>
      <c r="R25" s="1193">
        <f t="shared" si="30"/>
        <v>0.59434156720635678</v>
      </c>
      <c r="S25" s="1193">
        <f t="shared" si="30"/>
        <v>0.39840610521917608</v>
      </c>
      <c r="T25" s="1193">
        <f t="shared" si="30"/>
        <v>0.28025159867424021</v>
      </c>
      <c r="U25" s="1193">
        <f t="shared" si="30"/>
        <v>0.23293836480796992</v>
      </c>
      <c r="V25" s="1194">
        <f t="shared" si="30"/>
        <v>0.36885244649369286</v>
      </c>
      <c r="W25" s="1193">
        <f t="shared" si="30"/>
        <v>6.2978301033026041E-2</v>
      </c>
      <c r="X25" s="1193">
        <f t="shared" si="30"/>
        <v>0.11443636443526595</v>
      </c>
      <c r="Y25" s="1193">
        <f t="shared" si="30"/>
        <v>0.24505685399854693</v>
      </c>
      <c r="Z25" s="1193">
        <f t="shared" si="30"/>
        <v>0.1746768598110533</v>
      </c>
      <c r="AA25" s="1194">
        <f t="shared" si="30"/>
        <v>0.14580666331094094</v>
      </c>
      <c r="AB25" s="1193">
        <f t="shared" si="31"/>
        <v>0.34092638946649845</v>
      </c>
      <c r="AC25" s="1193">
        <f t="shared" si="31"/>
        <v>0.29936245460889754</v>
      </c>
      <c r="AD25" s="1193">
        <f t="shared" si="31"/>
        <v>0.12812911853257503</v>
      </c>
      <c r="AE25" s="1193">
        <f t="shared" si="31"/>
        <v>0.33120125226027519</v>
      </c>
      <c r="AF25" s="1194">
        <f t="shared" si="31"/>
        <v>0.27456968053449127</v>
      </c>
      <c r="AG25" s="1193">
        <f t="shared" si="31"/>
        <v>2.7295495906699552E-2</v>
      </c>
      <c r="AH25" s="1193">
        <f t="shared" si="31"/>
        <v>9.8681255992911554E-2</v>
      </c>
      <c r="AI25" s="1193">
        <f t="shared" si="31"/>
        <v>0.54504935061375681</v>
      </c>
      <c r="AJ25" s="1193">
        <f t="shared" si="31"/>
        <v>0.40413004127145058</v>
      </c>
      <c r="AK25" s="1194">
        <f t="shared" si="31"/>
        <v>0.26020710737485664</v>
      </c>
      <c r="AL25" s="1193">
        <f t="shared" si="32"/>
        <v>0.40568259818232022</v>
      </c>
      <c r="AM25" s="1193">
        <f t="shared" si="32"/>
        <v>0.38944478660616411</v>
      </c>
      <c r="AN25" s="1193">
        <f t="shared" si="32"/>
        <v>1.4792033455583997E-2</v>
      </c>
      <c r="AO25" s="1193">
        <f t="shared" si="32"/>
        <v>1.6274383213252142E-2</v>
      </c>
      <c r="AP25" s="1194">
        <f t="shared" si="32"/>
        <v>0.18072251893745306</v>
      </c>
      <c r="AQ25" s="1193">
        <f t="shared" si="32"/>
        <v>-6.7379874175607091E-2</v>
      </c>
      <c r="AR25" s="1193">
        <f t="shared" si="32"/>
        <v>-0.23100026635605053</v>
      </c>
      <c r="AS25" s="1193">
        <f t="shared" si="32"/>
        <v>-0.25073362802273302</v>
      </c>
      <c r="AT25" s="1193">
        <f t="shared" si="32"/>
        <v>-0.24278010395757266</v>
      </c>
      <c r="AU25" s="1194">
        <f t="shared" si="32"/>
        <v>-0.19714338396364839</v>
      </c>
      <c r="AV25" s="1193">
        <f t="shared" si="33"/>
        <v>-2.1703708531577659E-2</v>
      </c>
      <c r="AW25" s="1193">
        <f t="shared" si="33"/>
        <v>0.26096936203870524</v>
      </c>
      <c r="AX25" s="1193">
        <f t="shared" si="33"/>
        <v>0.44767823345688496</v>
      </c>
      <c r="AY25" s="1193">
        <f t="shared" si="33"/>
        <v>0.38051318339350737</v>
      </c>
      <c r="AZ25" s="1194">
        <f t="shared" si="33"/>
        <v>0.24722276066386306</v>
      </c>
      <c r="BA25" s="1193">
        <f t="shared" si="34"/>
        <v>0.15790806129247192</v>
      </c>
      <c r="BB25" s="1193">
        <f t="shared" si="34"/>
        <v>8.7824776820031314E-2</v>
      </c>
      <c r="BC25" s="1193">
        <f t="shared" si="34"/>
        <v>1.8518630431147542E-2</v>
      </c>
      <c r="BD25" s="1193">
        <f t="shared" si="34"/>
        <v>0.15962651879637924</v>
      </c>
      <c r="BE25" s="1194">
        <f t="shared" si="34"/>
        <v>0.10533340172343064</v>
      </c>
      <c r="BF25" s="1193">
        <f t="shared" si="35"/>
        <v>3.9727199149990344E-2</v>
      </c>
      <c r="BG25" s="1193">
        <f t="shared" si="35"/>
        <v>8.0029547051984506E-2</v>
      </c>
      <c r="BH25" s="1193">
        <f t="shared" si="35"/>
        <v>3.2965989731256418E-2</v>
      </c>
      <c r="BI25" s="1193">
        <f t="shared" si="35"/>
        <v>-4.593134324859649E-2</v>
      </c>
      <c r="BJ25" s="1194">
        <f t="shared" si="35"/>
        <v>2.4324836029286923E-2</v>
      </c>
      <c r="BK25" s="1193">
        <f t="shared" si="36"/>
        <v>-6.3725743377850086E-2</v>
      </c>
      <c r="BL25" s="1193">
        <f t="shared" si="36"/>
        <v>-0.15353773626055367</v>
      </c>
      <c r="BM25" s="1193">
        <f t="shared" si="36"/>
        <v>-0.11729532051772995</v>
      </c>
      <c r="BN25" s="1193">
        <f t="shared" si="36"/>
        <v>-0.18028071628631814</v>
      </c>
      <c r="BO25" s="1194">
        <f t="shared" si="36"/>
        <v>-0.12980881833959501</v>
      </c>
      <c r="BP25" s="1193">
        <f t="shared" si="36"/>
        <v>-8.6791456598361072E-2</v>
      </c>
      <c r="BQ25" s="1193">
        <f t="shared" si="36"/>
        <v>7.9542573518651682E-3</v>
      </c>
      <c r="BR25" s="1193">
        <f t="shared" si="36"/>
        <v>-8.1580151794177436E-2</v>
      </c>
      <c r="BS25" s="1193">
        <f t="shared" si="36"/>
        <v>-2.2203001933208788E-2</v>
      </c>
      <c r="BT25" s="1194">
        <f t="shared" si="36"/>
        <v>-4.5904395993419445E-2</v>
      </c>
      <c r="BU25" s="1193">
        <f t="shared" si="37"/>
        <v>2.2890058681395153E-3</v>
      </c>
      <c r="BV25" s="1193">
        <f t="shared" si="37"/>
        <v>8.0775774629451291E-3</v>
      </c>
      <c r="BW25" s="1193">
        <f t="shared" si="37"/>
        <v>0.22734282927382243</v>
      </c>
      <c r="BX25" s="1193">
        <f t="shared" si="37"/>
        <v>0.16087474383002531</v>
      </c>
      <c r="BY25" s="1194">
        <f t="shared" si="37"/>
        <v>9.5350759686030795E-2</v>
      </c>
      <c r="BZ25" s="1193">
        <f t="shared" si="37"/>
        <v>0.24162417317970397</v>
      </c>
      <c r="CA25" s="1193">
        <f t="shared" si="38"/>
        <v>0.17395193911043183</v>
      </c>
      <c r="CB25" s="1193">
        <f t="shared" si="38"/>
        <v>0.17780390557047987</v>
      </c>
      <c r="CC25" s="1193">
        <f t="shared" si="38"/>
        <v>0.29513168516269239</v>
      </c>
      <c r="CD25" s="1194"/>
      <c r="CE25" s="1193">
        <f t="shared" si="39"/>
        <v>0.22365321105688785</v>
      </c>
      <c r="CF25" s="1193">
        <f t="shared" si="39"/>
        <v>0.28819493043999644</v>
      </c>
      <c r="CG25" s="1193">
        <f t="shared" si="39"/>
        <v>0.27106019439048334</v>
      </c>
      <c r="CH25" s="1193">
        <f t="shared" si="39"/>
        <v>0.24612631137466479</v>
      </c>
      <c r="CI25" s="1194"/>
      <c r="CJ25" s="1193">
        <f t="shared" si="40"/>
        <v>0.27370302420604142</v>
      </c>
      <c r="CK25" s="1193">
        <f t="shared" si="41"/>
        <v>0.28335713915663985</v>
      </c>
      <c r="CL25" s="1193">
        <f t="shared" si="42"/>
        <v>0.27993228512389101</v>
      </c>
      <c r="CM25" s="1193">
        <f t="shared" si="43"/>
        <v>0.23605881686316899</v>
      </c>
      <c r="CN25" s="1194"/>
      <c r="CO25" s="1798"/>
      <c r="CP25" s="1169"/>
      <c r="CQ25" s="1170"/>
      <c r="CR25" s="1169"/>
    </row>
    <row r="26" spans="1:96" hidden="1" outlineLevel="1">
      <c r="A26" s="1195" t="s">
        <v>526</v>
      </c>
      <c r="B26" s="1195"/>
      <c r="C26" s="1196" t="s">
        <v>131</v>
      </c>
      <c r="D26" s="1196" t="s">
        <v>131</v>
      </c>
      <c r="E26" s="1196" t="s">
        <v>131</v>
      </c>
      <c r="F26" s="1196" t="s">
        <v>131</v>
      </c>
      <c r="G26" s="1197" t="s">
        <v>131</v>
      </c>
      <c r="H26" s="1198">
        <f t="shared" si="29"/>
        <v>-0.18564971167496025</v>
      </c>
      <c r="I26" s="1198">
        <f t="shared" si="29"/>
        <v>-7.7694111766295704E-2</v>
      </c>
      <c r="J26" s="1198">
        <f t="shared" si="29"/>
        <v>-2.4781081617702316E-2</v>
      </c>
      <c r="K26" s="1198">
        <f t="shared" si="29"/>
        <v>0.1138353368110685</v>
      </c>
      <c r="L26" s="1199">
        <f t="shared" si="29"/>
        <v>-5.2802263930000315E-2</v>
      </c>
      <c r="M26" s="1198">
        <f t="shared" si="29"/>
        <v>0.10824723026846228</v>
      </c>
      <c r="N26" s="1198">
        <f t="shared" si="29"/>
        <v>8.7818527282979009E-3</v>
      </c>
      <c r="O26" s="1198">
        <f t="shared" si="29"/>
        <v>0.12020191028471716</v>
      </c>
      <c r="P26" s="1198">
        <f t="shared" si="29"/>
        <v>0.21697312780413602</v>
      </c>
      <c r="Q26" s="1199">
        <f t="shared" si="29"/>
        <v>0.11157481018004978</v>
      </c>
      <c r="R26" s="1198">
        <f t="shared" si="30"/>
        <v>0.42569258492059503</v>
      </c>
      <c r="S26" s="1198">
        <f t="shared" si="30"/>
        <v>0.28093120013993622</v>
      </c>
      <c r="T26" s="1198">
        <f t="shared" si="30"/>
        <v>0.26507417226013885</v>
      </c>
      <c r="U26" s="1198">
        <f t="shared" si="30"/>
        <v>0.19776566848677879</v>
      </c>
      <c r="V26" s="1199">
        <f t="shared" si="30"/>
        <v>0.28718462033954095</v>
      </c>
      <c r="W26" s="1198">
        <f t="shared" si="30"/>
        <v>0.11718220283924863</v>
      </c>
      <c r="X26" s="1198">
        <f t="shared" si="30"/>
        <v>0.20957606349903068</v>
      </c>
      <c r="Y26" s="1198">
        <f t="shared" si="30"/>
        <v>0.20639910035099196</v>
      </c>
      <c r="Z26" s="1198">
        <f t="shared" si="30"/>
        <v>0.18828550274503986</v>
      </c>
      <c r="AA26" s="1199">
        <f t="shared" si="30"/>
        <v>0.17985324445676487</v>
      </c>
      <c r="AB26" s="1198">
        <f t="shared" si="31"/>
        <v>0.38613438447646575</v>
      </c>
      <c r="AC26" s="1198">
        <f t="shared" si="31"/>
        <v>0.28108638809424447</v>
      </c>
      <c r="AD26" s="1198">
        <f t="shared" si="31"/>
        <v>0.23643281133543703</v>
      </c>
      <c r="AE26" s="1198">
        <f t="shared" si="31"/>
        <v>0.33662570953286886</v>
      </c>
      <c r="AF26" s="1199">
        <f t="shared" si="31"/>
        <v>0.30970477353392445</v>
      </c>
      <c r="AG26" s="1198">
        <f t="shared" si="31"/>
        <v>-9.2619431926014295E-3</v>
      </c>
      <c r="AH26" s="1198">
        <f t="shared" si="31"/>
        <v>0.17329445311713165</v>
      </c>
      <c r="AI26" s="1198">
        <f t="shared" si="31"/>
        <v>0.41431207042283935</v>
      </c>
      <c r="AJ26" s="1198">
        <f t="shared" si="31"/>
        <v>0.33574376076519963</v>
      </c>
      <c r="AK26" s="1199">
        <f t="shared" si="31"/>
        <v>0.22621869296780961</v>
      </c>
      <c r="AL26" s="1198">
        <f t="shared" si="32"/>
        <v>0.37116631018760171</v>
      </c>
      <c r="AM26" s="1198">
        <f t="shared" si="32"/>
        <v>0.18952971993503032</v>
      </c>
      <c r="AN26" s="1198">
        <f t="shared" si="32"/>
        <v>4.1765392409878865E-2</v>
      </c>
      <c r="AO26" s="1198">
        <f t="shared" si="32"/>
        <v>4.4885322938374994E-3</v>
      </c>
      <c r="AP26" s="1199">
        <f t="shared" si="32"/>
        <v>0.13363644798521546</v>
      </c>
      <c r="AQ26" s="1198">
        <f t="shared" si="32"/>
        <v>-0.11685730168623554</v>
      </c>
      <c r="AR26" s="1198">
        <f t="shared" si="32"/>
        <v>-0.2054525609830351</v>
      </c>
      <c r="AS26" s="1198">
        <f t="shared" si="32"/>
        <v>-0.21386137274769301</v>
      </c>
      <c r="AT26" s="1198">
        <f t="shared" si="32"/>
        <v>-0.17264047564680907</v>
      </c>
      <c r="AU26" s="1199">
        <f t="shared" si="32"/>
        <v>-0.17711051934850508</v>
      </c>
      <c r="AV26" s="1198">
        <f t="shared" si="33"/>
        <v>9.195183051666489E-2</v>
      </c>
      <c r="AW26" s="1198">
        <f t="shared" si="33"/>
        <v>0.33825902226990379</v>
      </c>
      <c r="AX26" s="1198">
        <f t="shared" si="33"/>
        <v>0.41979793751173822</v>
      </c>
      <c r="AY26" s="1198">
        <f t="shared" si="33"/>
        <v>0.33100307282746333</v>
      </c>
      <c r="AZ26" s="1199">
        <f t="shared" si="33"/>
        <v>0.28994895536199539</v>
      </c>
      <c r="BA26" s="1198">
        <f t="shared" si="34"/>
        <v>0.19681611738674754</v>
      </c>
      <c r="BB26" s="1198">
        <f t="shared" si="34"/>
        <v>8.4985180825738249E-2</v>
      </c>
      <c r="BC26" s="1198">
        <f t="shared" si="34"/>
        <v>2.3116793679612169E-2</v>
      </c>
      <c r="BD26" s="1198">
        <f t="shared" si="34"/>
        <v>0.14307810140622612</v>
      </c>
      <c r="BE26" s="1199">
        <f t="shared" si="34"/>
        <v>0.10954157894736838</v>
      </c>
      <c r="BF26" s="1198">
        <f t="shared" si="35"/>
        <v>1.704183881382404E-2</v>
      </c>
      <c r="BG26" s="1198">
        <f t="shared" si="35"/>
        <v>9.8975839027188872E-2</v>
      </c>
      <c r="BH26" s="1198">
        <f t="shared" si="35"/>
        <v>6.6489540194944352E-2</v>
      </c>
      <c r="BI26" s="1198">
        <f t="shared" si="35"/>
        <v>1.0996727019922936E-3</v>
      </c>
      <c r="BJ26" s="1199">
        <f t="shared" si="35"/>
        <v>4.4451501781911817E-2</v>
      </c>
      <c r="BK26" s="1198">
        <f t="shared" si="36"/>
        <v>-3.573123361588959E-2</v>
      </c>
      <c r="BL26" s="1198">
        <f t="shared" si="36"/>
        <v>-0.10129405602210517</v>
      </c>
      <c r="BM26" s="1198">
        <f t="shared" si="36"/>
        <v>-7.9088082326158049E-2</v>
      </c>
      <c r="BN26" s="1198">
        <f t="shared" si="36"/>
        <v>-9.6866904566214829E-2</v>
      </c>
      <c r="BO26" s="1199">
        <f t="shared" si="36"/>
        <v>-7.9124104697052E-2</v>
      </c>
      <c r="BP26" s="1198">
        <f t="shared" si="36"/>
        <v>-7.6924374400345608E-3</v>
      </c>
      <c r="BQ26" s="1198">
        <f t="shared" si="36"/>
        <v>5.7057104603537301E-2</v>
      </c>
      <c r="BR26" s="1198">
        <f t="shared" si="36"/>
        <v>1.034047184306619E-2</v>
      </c>
      <c r="BS26" s="1198">
        <f t="shared" si="36"/>
        <v>3.0362897535660682E-2</v>
      </c>
      <c r="BT26" s="1199">
        <f t="shared" si="36"/>
        <v>2.2643542675649275E-2</v>
      </c>
      <c r="BU26" s="1198">
        <f t="shared" si="37"/>
        <v>0.10904791425029003</v>
      </c>
      <c r="BV26" s="1198">
        <f t="shared" si="37"/>
        <v>8.7951035753336182E-2</v>
      </c>
      <c r="BW26" s="1198">
        <f t="shared" si="37"/>
        <v>0.21121652979036387</v>
      </c>
      <c r="BX26" s="1198">
        <f t="shared" si="37"/>
        <v>0.21715263181431932</v>
      </c>
      <c r="BY26" s="1199">
        <f t="shared" si="37"/>
        <v>0.15636263236771075</v>
      </c>
      <c r="BZ26" s="1198">
        <f t="shared" si="37"/>
        <v>0.24716795545542158</v>
      </c>
      <c r="CA26" s="1198">
        <f t="shared" si="38"/>
        <v>0.20354461269465962</v>
      </c>
      <c r="CB26" s="1198">
        <f t="shared" si="38"/>
        <v>0.20217233496035369</v>
      </c>
      <c r="CC26" s="1198">
        <f t="shared" si="38"/>
        <v>0.23118040054990652</v>
      </c>
      <c r="CD26" s="1199"/>
      <c r="CE26" s="1198">
        <f t="shared" si="39"/>
        <v>0.21564624620934181</v>
      </c>
      <c r="CF26" s="1198">
        <f t="shared" si="39"/>
        <v>0.26701837194155464</v>
      </c>
      <c r="CG26" s="1198">
        <f t="shared" si="39"/>
        <v>0.2575925550234397</v>
      </c>
      <c r="CH26" s="1198">
        <f t="shared" si="39"/>
        <v>0.24755738399011706</v>
      </c>
      <c r="CI26" s="1199"/>
      <c r="CJ26" s="1198">
        <f t="shared" si="40"/>
        <v>0.2362572146575439</v>
      </c>
      <c r="CK26" s="1198">
        <f t="shared" si="41"/>
        <v>0.22729600805772954</v>
      </c>
      <c r="CL26" s="1198">
        <f t="shared" si="42"/>
        <v>0.22834594559604304</v>
      </c>
      <c r="CM26" s="1198">
        <f t="shared" si="43"/>
        <v>0.18599143237949023</v>
      </c>
      <c r="CN26" s="1199"/>
      <c r="CO26" s="1799"/>
      <c r="CP26" s="1161"/>
      <c r="CQ26" s="1162"/>
      <c r="CR26" s="1161"/>
    </row>
    <row r="27" spans="1:96" ht="5.25" hidden="1" customHeight="1" outlineLevel="1">
      <c r="A27" s="1174"/>
      <c r="B27" s="1174"/>
      <c r="C27" s="1175"/>
      <c r="D27" s="1175"/>
      <c r="E27" s="1175"/>
      <c r="F27" s="1175"/>
      <c r="G27" s="1176"/>
      <c r="H27" s="1175"/>
      <c r="I27" s="1175"/>
      <c r="J27" s="1175"/>
      <c r="K27" s="1175"/>
      <c r="L27" s="1176"/>
      <c r="M27" s="1175"/>
      <c r="N27" s="1175"/>
      <c r="O27" s="1175"/>
      <c r="P27" s="1175"/>
      <c r="Q27" s="1176"/>
      <c r="R27" s="1175"/>
      <c r="S27" s="1175"/>
      <c r="T27" s="1175"/>
      <c r="U27" s="1175"/>
      <c r="V27" s="1176"/>
      <c r="W27" s="1175"/>
      <c r="X27" s="1175"/>
      <c r="Y27" s="1175"/>
      <c r="Z27" s="1175"/>
      <c r="AA27" s="1176"/>
      <c r="AB27" s="1175"/>
      <c r="AC27" s="1175"/>
      <c r="AD27" s="1175"/>
      <c r="AE27" s="1175"/>
      <c r="AF27" s="1176"/>
      <c r="AG27" s="1175"/>
      <c r="AH27" s="1175"/>
      <c r="AI27" s="1175"/>
      <c r="AJ27" s="1175"/>
      <c r="AK27" s="1176"/>
      <c r="AL27" s="1175"/>
      <c r="AM27" s="1175"/>
      <c r="AN27" s="1175"/>
      <c r="AO27" s="1175"/>
      <c r="AP27" s="1176"/>
      <c r="AQ27" s="1175"/>
      <c r="AR27" s="1175"/>
      <c r="AS27" s="1175"/>
      <c r="AT27" s="1175"/>
      <c r="AU27" s="1176"/>
      <c r="AV27" s="1175"/>
      <c r="AW27" s="1175"/>
      <c r="AX27" s="1175"/>
      <c r="AY27" s="1175"/>
      <c r="AZ27" s="1176"/>
      <c r="BA27" s="1175"/>
      <c r="BB27" s="1175"/>
      <c r="BC27" s="1175"/>
      <c r="BD27" s="1175"/>
      <c r="BE27" s="1176"/>
      <c r="BF27" s="1175"/>
      <c r="BG27" s="1175"/>
      <c r="BH27" s="1175"/>
      <c r="BI27" s="1175"/>
      <c r="BJ27" s="1176"/>
      <c r="BK27" s="1175"/>
      <c r="BL27" s="1175"/>
      <c r="BM27" s="1175"/>
      <c r="BN27" s="1175"/>
      <c r="BO27" s="1176"/>
      <c r="BP27" s="1175"/>
      <c r="BQ27" s="1175"/>
      <c r="BR27" s="1175"/>
      <c r="BS27" s="1175"/>
      <c r="BT27" s="1176"/>
      <c r="BU27" s="1175"/>
      <c r="BV27" s="1175"/>
      <c r="BW27" s="1175"/>
      <c r="BX27" s="1175"/>
      <c r="BY27" s="1176"/>
      <c r="BZ27" s="1175"/>
      <c r="CA27" s="1175"/>
      <c r="CB27" s="1175"/>
      <c r="CC27" s="1175"/>
      <c r="CD27" s="1176"/>
      <c r="CE27" s="1175"/>
      <c r="CF27" s="1175"/>
      <c r="CG27" s="1175"/>
      <c r="CH27" s="1175"/>
      <c r="CI27" s="1176"/>
      <c r="CJ27" s="1175"/>
      <c r="CK27" s="1175"/>
      <c r="CL27" s="1175"/>
      <c r="CM27" s="1175"/>
      <c r="CN27" s="1176"/>
      <c r="CO27" s="1175"/>
      <c r="CP27" s="1175"/>
      <c r="CQ27" s="1189"/>
      <c r="CR27" s="1175"/>
    </row>
    <row r="28" spans="1:96" hidden="1" outlineLevel="1">
      <c r="A28" s="1164" t="s">
        <v>6</v>
      </c>
      <c r="B28" s="1164"/>
      <c r="C28" s="1161"/>
      <c r="D28" s="1161"/>
      <c r="E28" s="1161"/>
      <c r="F28" s="1161"/>
      <c r="G28" s="1190"/>
      <c r="H28" s="1161"/>
      <c r="I28" s="1161"/>
      <c r="J28" s="1161"/>
      <c r="K28" s="1161"/>
      <c r="L28" s="1190"/>
      <c r="M28" s="1161"/>
      <c r="N28" s="1161"/>
      <c r="O28" s="1161"/>
      <c r="P28" s="1161"/>
      <c r="Q28" s="1190"/>
      <c r="R28" s="1161"/>
      <c r="S28" s="1161"/>
      <c r="T28" s="1161"/>
      <c r="U28" s="1161"/>
      <c r="V28" s="1190"/>
      <c r="W28" s="1161"/>
      <c r="X28" s="1161"/>
      <c r="Y28" s="1161"/>
      <c r="Z28" s="1161"/>
      <c r="AA28" s="1190"/>
      <c r="AB28" s="1161"/>
      <c r="AC28" s="1161"/>
      <c r="AD28" s="1161"/>
      <c r="AE28" s="1161"/>
      <c r="AF28" s="1190"/>
      <c r="AG28" s="1161"/>
      <c r="AH28" s="1161"/>
      <c r="AI28" s="1161"/>
      <c r="AJ28" s="1161"/>
      <c r="AK28" s="1190"/>
      <c r="AL28" s="1161"/>
      <c r="AM28" s="1161"/>
      <c r="AN28" s="1161"/>
      <c r="AO28" s="1161"/>
      <c r="AP28" s="1190"/>
      <c r="AQ28" s="1161"/>
      <c r="AR28" s="1161"/>
      <c r="AS28" s="1161"/>
      <c r="AT28" s="1161"/>
      <c r="AU28" s="1190"/>
      <c r="AV28" s="1161"/>
      <c r="AW28" s="1161"/>
      <c r="AX28" s="1161"/>
      <c r="AY28" s="1161"/>
      <c r="AZ28" s="1190"/>
      <c r="BA28" s="1161"/>
      <c r="BB28" s="1161"/>
      <c r="BC28" s="1161"/>
      <c r="BD28" s="1161"/>
      <c r="BE28" s="1190"/>
      <c r="BF28" s="1161"/>
      <c r="BG28" s="1161"/>
      <c r="BH28" s="1161"/>
      <c r="BI28" s="1161"/>
      <c r="BJ28" s="1190"/>
      <c r="BK28" s="1161"/>
      <c r="BL28" s="1161"/>
      <c r="BM28" s="1161"/>
      <c r="BN28" s="1161"/>
      <c r="BO28" s="1190"/>
      <c r="BP28" s="1161"/>
      <c r="BQ28" s="1161"/>
      <c r="BR28" s="1161"/>
      <c r="BS28" s="1161"/>
      <c r="BT28" s="1190"/>
      <c r="BU28" s="1161"/>
      <c r="BV28" s="1161"/>
      <c r="BW28" s="1161"/>
      <c r="BX28" s="1161"/>
      <c r="BY28" s="1190"/>
      <c r="BZ28" s="1161"/>
      <c r="CA28" s="1161"/>
      <c r="CB28" s="1161"/>
      <c r="CC28" s="1161"/>
      <c r="CD28" s="1190"/>
      <c r="CE28" s="1161"/>
      <c r="CF28" s="1161"/>
      <c r="CG28" s="1161"/>
      <c r="CH28" s="1161"/>
      <c r="CI28" s="1190"/>
      <c r="CJ28" s="1161"/>
      <c r="CK28" s="1161"/>
      <c r="CL28" s="1161"/>
      <c r="CM28" s="1161"/>
      <c r="CN28" s="1190"/>
      <c r="CO28" s="1797"/>
      <c r="CP28" s="1161"/>
      <c r="CQ28" s="1162"/>
      <c r="CR28" s="1161"/>
    </row>
    <row r="29" spans="1:96" hidden="1" outlineLevel="1">
      <c r="A29" s="1163" t="s">
        <v>167</v>
      </c>
      <c r="B29" s="1163"/>
      <c r="C29" s="1191" t="s">
        <v>131</v>
      </c>
      <c r="D29" s="1191" t="s">
        <v>131</v>
      </c>
      <c r="E29" s="1191" t="s">
        <v>131</v>
      </c>
      <c r="F29" s="1191" t="s">
        <v>131</v>
      </c>
      <c r="G29" s="1192" t="s">
        <v>131</v>
      </c>
      <c r="H29" s="1193">
        <f t="shared" ref="H29:AM29" si="44">H15/C9-1</f>
        <v>-0.18564971167496014</v>
      </c>
      <c r="I29" s="1193">
        <f t="shared" si="44"/>
        <v>2.5064002540264863E-3</v>
      </c>
      <c r="J29" s="1193">
        <f t="shared" si="44"/>
        <v>1.2019632283516435E-2</v>
      </c>
      <c r="K29" s="1193">
        <f t="shared" si="44"/>
        <v>0.14265334056674495</v>
      </c>
      <c r="L29" s="1194">
        <f t="shared" si="44"/>
        <v>-1.3031100171088328E-2</v>
      </c>
      <c r="M29" s="1193">
        <f t="shared" si="44"/>
        <v>0.18881305009990901</v>
      </c>
      <c r="N29" s="1193">
        <f t="shared" si="44"/>
        <v>-8.0634234415914996E-3</v>
      </c>
      <c r="O29" s="1193">
        <f t="shared" si="44"/>
        <v>7.4385648260855142E-4</v>
      </c>
      <c r="P29" s="1193">
        <f t="shared" si="44"/>
        <v>0.23618426349140331</v>
      </c>
      <c r="Q29" s="1194">
        <f t="shared" si="44"/>
        <v>9.6608427543679598E-2</v>
      </c>
      <c r="R29" s="1193">
        <f t="shared" si="44"/>
        <v>0.25255972696245732</v>
      </c>
      <c r="S29" s="1193">
        <f t="shared" si="44"/>
        <v>0.15946632782719172</v>
      </c>
      <c r="T29" s="1193">
        <f t="shared" si="44"/>
        <v>0.24936224489795911</v>
      </c>
      <c r="U29" s="1193">
        <f t="shared" si="44"/>
        <v>0.1626740947075207</v>
      </c>
      <c r="V29" s="1194">
        <f t="shared" si="44"/>
        <v>0.20368634801624497</v>
      </c>
      <c r="W29" s="1193">
        <f t="shared" si="44"/>
        <v>0.18801089918256131</v>
      </c>
      <c r="X29" s="1193">
        <f t="shared" si="44"/>
        <v>0.32821917808219192</v>
      </c>
      <c r="Y29" s="1193">
        <f t="shared" si="44"/>
        <v>0.16539050535987743</v>
      </c>
      <c r="Z29" s="1193">
        <f t="shared" si="44"/>
        <v>0.20268327743171999</v>
      </c>
      <c r="AA29" s="1194">
        <f t="shared" si="44"/>
        <v>0.21943939787178834</v>
      </c>
      <c r="AB29" s="1193">
        <f t="shared" si="44"/>
        <v>0.43899082568807324</v>
      </c>
      <c r="AC29" s="1193">
        <f t="shared" si="44"/>
        <v>0.26196369636963679</v>
      </c>
      <c r="AD29" s="1193">
        <f t="shared" si="44"/>
        <v>0.35917652212001761</v>
      </c>
      <c r="AE29" s="1193">
        <f t="shared" si="44"/>
        <v>0.34223107569721112</v>
      </c>
      <c r="AF29" s="1194">
        <f t="shared" si="44"/>
        <v>0.3480898158986907</v>
      </c>
      <c r="AG29" s="1193">
        <f t="shared" si="44"/>
        <v>-4.9091488683455475E-2</v>
      </c>
      <c r="AH29" s="1193">
        <f t="shared" si="44"/>
        <v>0.2536776724419747</v>
      </c>
      <c r="AI29" s="1193">
        <f t="shared" si="44"/>
        <v>0.2913309700290041</v>
      </c>
      <c r="AJ29" s="1193">
        <f t="shared" si="44"/>
        <v>0.265657465123182</v>
      </c>
      <c r="AK29" s="1194">
        <f t="shared" si="44"/>
        <v>0.19111146195137385</v>
      </c>
      <c r="AL29" s="1193">
        <f t="shared" si="44"/>
        <v>0.33053972510895058</v>
      </c>
      <c r="AM29" s="1193">
        <f t="shared" si="44"/>
        <v>7.8226857887875312E-4</v>
      </c>
      <c r="AN29" s="1193">
        <f>AN15/AI9-1</f>
        <v>7.2123783379086648E-2</v>
      </c>
      <c r="AO29" s="1193">
        <f t="shared" ref="AO29:AZ29" si="45">AO15/AJ9-1</f>
        <v>-8.9118198874295063E-3</v>
      </c>
      <c r="AP29" s="1194">
        <f t="shared" si="45"/>
        <v>8.217907084631193E-2</v>
      </c>
      <c r="AQ29" s="1193">
        <f t="shared" si="45"/>
        <v>-0.17838246409674974</v>
      </c>
      <c r="AR29" s="1193">
        <f t="shared" si="45"/>
        <v>-0.17196456487754042</v>
      </c>
      <c r="AS29" s="1193">
        <f t="shared" si="45"/>
        <v>-0.17458100558659218</v>
      </c>
      <c r="AT29" s="1193">
        <f t="shared" si="45"/>
        <v>-9.0866067203028922E-2</v>
      </c>
      <c r="AU29" s="1194">
        <f t="shared" si="45"/>
        <v>-0.15322432482087089</v>
      </c>
      <c r="AV29" s="1193">
        <f t="shared" si="45"/>
        <v>0.25237657160380245</v>
      </c>
      <c r="AW29" s="1193">
        <f t="shared" si="45"/>
        <v>0.43234738829452479</v>
      </c>
      <c r="AX29" s="1193">
        <f t="shared" si="45"/>
        <v>0.39283699943598416</v>
      </c>
      <c r="AY29" s="1193">
        <f t="shared" si="45"/>
        <v>0.28292555960437271</v>
      </c>
      <c r="AZ29" s="1194">
        <f t="shared" si="45"/>
        <v>0.3382512475591235</v>
      </c>
      <c r="BA29" s="1193">
        <f t="shared" ref="BA29:BE30" si="46">BA15/AV9-1</f>
        <v>0.23971596474045054</v>
      </c>
      <c r="BB29" s="1193">
        <f t="shared" si="46"/>
        <v>8.1942003514938522E-2</v>
      </c>
      <c r="BC29" s="1193">
        <f t="shared" si="46"/>
        <v>2.7738408584733865E-2</v>
      </c>
      <c r="BD29" s="1193">
        <f t="shared" si="46"/>
        <v>0.12578616352201255</v>
      </c>
      <c r="BE29" s="1194">
        <f t="shared" si="46"/>
        <v>0.11397535667963687</v>
      </c>
      <c r="BF29" s="1193">
        <f t="shared" ref="BF29:BJ30" si="47">BF15/BA9-1</f>
        <v>-6.3203634208967019E-3</v>
      </c>
      <c r="BG29" s="1193">
        <f t="shared" si="47"/>
        <v>0.11939086294416223</v>
      </c>
      <c r="BH29" s="1193">
        <f t="shared" si="47"/>
        <v>9.9881796690307167E-2</v>
      </c>
      <c r="BI29" s="1193">
        <f t="shared" si="47"/>
        <v>5.1721030816363367E-2</v>
      </c>
      <c r="BJ29" s="1194">
        <f t="shared" si="47"/>
        <v>6.5492650269247665E-2</v>
      </c>
      <c r="BK29" s="1193">
        <f t="shared" ref="BK29:BT30" si="48">BK15/BF9-1</f>
        <v>-5.565493937586985E-3</v>
      </c>
      <c r="BL29" s="1193">
        <f t="shared" si="48"/>
        <v>-4.6979865771812013E-2</v>
      </c>
      <c r="BM29" s="1193">
        <f t="shared" si="48"/>
        <v>-4.3345871395307101E-2</v>
      </c>
      <c r="BN29" s="1193">
        <f t="shared" si="48"/>
        <v>-1.5421521590130216E-2</v>
      </c>
      <c r="BO29" s="1194">
        <f t="shared" si="48"/>
        <v>-2.8183763602422252E-2</v>
      </c>
      <c r="BP29" s="1193">
        <f t="shared" si="48"/>
        <v>7.2556466120327734E-2</v>
      </c>
      <c r="BQ29" s="1193">
        <f t="shared" si="48"/>
        <v>0.10239817282070818</v>
      </c>
      <c r="BR29" s="1193">
        <f t="shared" si="48"/>
        <v>8.9683579853959916E-2</v>
      </c>
      <c r="BS29" s="1193">
        <f t="shared" si="48"/>
        <v>7.3094326487991745E-2</v>
      </c>
      <c r="BT29" s="1194">
        <f t="shared" si="48"/>
        <v>8.4332833583208311E-2</v>
      </c>
      <c r="BU29" s="1193">
        <f t="shared" ref="BU29:BZ30" si="49">BU15/BP9-1</f>
        <v>0.20126723816623193</v>
      </c>
      <c r="BV29" s="1193">
        <f t="shared" si="49"/>
        <v>0.15538674033149169</v>
      </c>
      <c r="BW29" s="1193">
        <f t="shared" si="49"/>
        <v>0.19948453608247418</v>
      </c>
      <c r="BX29" s="1193">
        <f t="shared" si="49"/>
        <v>0.25883879338306848</v>
      </c>
      <c r="BY29" s="1194">
        <f t="shared" si="49"/>
        <v>0.20467507777393723</v>
      </c>
      <c r="BZ29" s="1193">
        <f t="shared" si="49"/>
        <v>0.25116351225566236</v>
      </c>
      <c r="CA29" s="1193">
        <f t="shared" ref="CA29:CC30" si="50">CA15/BV9-1</f>
        <v>0.22534369396294074</v>
      </c>
      <c r="CB29" s="1193">
        <f t="shared" si="50"/>
        <v>0.22031227617819793</v>
      </c>
      <c r="CC29" s="1193">
        <f t="shared" si="50"/>
        <v>0.18749677918062368</v>
      </c>
      <c r="CD29" s="1194"/>
      <c r="CE29" s="1193">
        <f t="shared" ref="CE29:CH30" si="51">CE15/BZ9-1</f>
        <v>0.20991940483570981</v>
      </c>
      <c r="CF29" s="1193">
        <f t="shared" si="51"/>
        <v>0.25207317073170743</v>
      </c>
      <c r="CG29" s="1193">
        <f t="shared" si="51"/>
        <v>0.24791642211527165</v>
      </c>
      <c r="CH29" s="1193">
        <f t="shared" si="51"/>
        <v>0.24862351977520647</v>
      </c>
      <c r="CI29" s="1194"/>
      <c r="CJ29" s="1193">
        <f t="shared" ref="CJ29:CJ30" si="52">CJ15/CE9-1</f>
        <v>0.20917074725995355</v>
      </c>
      <c r="CK29" s="1193">
        <f t="shared" ref="CK29:CK30" si="53">CK15/CF9-1</f>
        <v>0.18658984985871663</v>
      </c>
      <c r="CL29" s="1193">
        <f t="shared" ref="CL29:CL30" si="54">CL15/CG9-1</f>
        <v>0.19059518752263704</v>
      </c>
      <c r="CM29" s="1193">
        <f t="shared" ref="CM29:CM30" si="55">CM15/CH9-1</f>
        <v>0.14876629503848604</v>
      </c>
      <c r="CN29" s="1194"/>
      <c r="CO29" s="1798"/>
      <c r="CP29" s="1169"/>
      <c r="CQ29" s="1170"/>
      <c r="CR29" s="1169"/>
    </row>
    <row r="30" spans="1:96" hidden="1" outlineLevel="1">
      <c r="A30" s="1163" t="s">
        <v>563</v>
      </c>
      <c r="B30" s="1163"/>
      <c r="C30" s="1191" t="s">
        <v>131</v>
      </c>
      <c r="D30" s="1191" t="s">
        <v>131</v>
      </c>
      <c r="E30" s="1191" t="s">
        <v>131</v>
      </c>
      <c r="F30" s="1191" t="s">
        <v>131</v>
      </c>
      <c r="G30" s="1192" t="s">
        <v>131</v>
      </c>
      <c r="H30" s="1193">
        <f t="shared" ref="H30:AM30" si="56">H16/C10-1</f>
        <v>-6.467395110413221E-2</v>
      </c>
      <c r="I30" s="1193">
        <f t="shared" si="56"/>
        <v>-8.2073921457859189E-4</v>
      </c>
      <c r="J30" s="1193">
        <f t="shared" si="56"/>
        <v>2.2851400404284128E-2</v>
      </c>
      <c r="K30" s="1193">
        <f t="shared" si="56"/>
        <v>0.23641648204003785</v>
      </c>
      <c r="L30" s="1194">
        <f t="shared" si="56"/>
        <v>-0.14232013409293465</v>
      </c>
      <c r="M30" s="1193">
        <f t="shared" si="56"/>
        <v>-0.21716462325550767</v>
      </c>
      <c r="N30" s="1193">
        <f t="shared" si="56"/>
        <v>-0.16680304297743109</v>
      </c>
      <c r="O30" s="1193">
        <f t="shared" si="56"/>
        <v>2.8930171404426108E-2</v>
      </c>
      <c r="P30" s="1193">
        <f t="shared" si="56"/>
        <v>3.0194817270816188E-2</v>
      </c>
      <c r="Q30" s="1194">
        <f t="shared" si="56"/>
        <v>-8.741124150887325E-2</v>
      </c>
      <c r="R30" s="1193">
        <f t="shared" si="56"/>
        <v>0.46198980266177192</v>
      </c>
      <c r="S30" s="1193">
        <f t="shared" si="56"/>
        <v>0.18014229992201725</v>
      </c>
      <c r="T30" s="1193">
        <f t="shared" si="56"/>
        <v>6.7574010058213618E-2</v>
      </c>
      <c r="U30" s="1193">
        <f t="shared" si="56"/>
        <v>2.492590751513557E-2</v>
      </c>
      <c r="V30" s="1194">
        <f t="shared" si="56"/>
        <v>0.17092002213719915</v>
      </c>
      <c r="W30" s="1193">
        <f t="shared" si="56"/>
        <v>-0.26076534101235727</v>
      </c>
      <c r="X30" s="1193">
        <f t="shared" si="56"/>
        <v>-0.15040704240879899</v>
      </c>
      <c r="Y30" s="1193">
        <f t="shared" si="56"/>
        <v>3.9739749675051783E-3</v>
      </c>
      <c r="Z30" s="1193">
        <f t="shared" si="56"/>
        <v>-0.11270802735245899</v>
      </c>
      <c r="AA30" s="1194">
        <f t="shared" si="56"/>
        <v>0.12569351359013226</v>
      </c>
      <c r="AB30" s="1193">
        <f t="shared" si="56"/>
        <v>0.4370493012452823</v>
      </c>
      <c r="AC30" s="1193">
        <f t="shared" si="56"/>
        <v>0.35929250992591588</v>
      </c>
      <c r="AD30" s="1193">
        <f t="shared" si="56"/>
        <v>0.13508593602046814</v>
      </c>
      <c r="AE30" s="1193">
        <f t="shared" si="56"/>
        <v>0.30614062481927373</v>
      </c>
      <c r="AF30" s="1194">
        <f t="shared" si="56"/>
        <v>0.30872639464807339</v>
      </c>
      <c r="AG30" s="1193">
        <f t="shared" si="56"/>
        <v>-1.2809484519191061E-2</v>
      </c>
      <c r="AH30" s="1193">
        <f t="shared" si="56"/>
        <v>6.082122613455665E-2</v>
      </c>
      <c r="AI30" s="1193">
        <f t="shared" si="56"/>
        <v>0.50706941974915343</v>
      </c>
      <c r="AJ30" s="1193">
        <f t="shared" si="56"/>
        <v>0.32126565780899297</v>
      </c>
      <c r="AK30" s="1194">
        <f t="shared" si="56"/>
        <v>0.20985861673672135</v>
      </c>
      <c r="AL30" s="1193">
        <f t="shared" si="56"/>
        <v>0.31469893793060222</v>
      </c>
      <c r="AM30" s="1193">
        <f t="shared" si="56"/>
        <v>0.26658141776472966</v>
      </c>
      <c r="AN30" s="1193">
        <f>AN16/AI10-1</f>
        <v>-7.1146332702123671E-2</v>
      </c>
      <c r="AO30" s="1193">
        <f t="shared" ref="AO30:AZ30" si="57">AO16/AJ10-1</f>
        <v>1.6274383213252142E-2</v>
      </c>
      <c r="AP30" s="1194">
        <f t="shared" si="57"/>
        <v>0.18072251893745306</v>
      </c>
      <c r="AQ30" s="1193">
        <f t="shared" si="57"/>
        <v>-6.7379874175607091E-2</v>
      </c>
      <c r="AR30" s="1193">
        <f t="shared" si="57"/>
        <v>-0.23100026635605053</v>
      </c>
      <c r="AS30" s="1193">
        <f t="shared" si="57"/>
        <v>-0.25073362802273302</v>
      </c>
      <c r="AT30" s="1193">
        <f t="shared" si="57"/>
        <v>-0.24278010395757266</v>
      </c>
      <c r="AU30" s="1194">
        <f t="shared" si="57"/>
        <v>-0.19714338396364839</v>
      </c>
      <c r="AV30" s="1193">
        <f t="shared" si="57"/>
        <v>-2.1703708531577659E-2</v>
      </c>
      <c r="AW30" s="1193">
        <f t="shared" si="57"/>
        <v>0.26096936203870524</v>
      </c>
      <c r="AX30" s="1193">
        <f t="shared" si="57"/>
        <v>0.44767823345688496</v>
      </c>
      <c r="AY30" s="1193">
        <f t="shared" si="57"/>
        <v>0.38051318339350737</v>
      </c>
      <c r="AZ30" s="1194">
        <f t="shared" si="57"/>
        <v>0.24722276066386306</v>
      </c>
      <c r="BA30" s="1193">
        <f t="shared" si="46"/>
        <v>0.15790806129247192</v>
      </c>
      <c r="BB30" s="1193">
        <f t="shared" si="46"/>
        <v>8.7824776820031314E-2</v>
      </c>
      <c r="BC30" s="1193">
        <f t="shared" si="46"/>
        <v>1.8518630431147542E-2</v>
      </c>
      <c r="BD30" s="1193">
        <f t="shared" si="46"/>
        <v>0.15962651879637924</v>
      </c>
      <c r="BE30" s="1194">
        <f t="shared" si="46"/>
        <v>0.10533340172343064</v>
      </c>
      <c r="BF30" s="1193">
        <f t="shared" si="47"/>
        <v>3.9727199149990344E-2</v>
      </c>
      <c r="BG30" s="1193">
        <f t="shared" si="47"/>
        <v>8.0029547051984506E-2</v>
      </c>
      <c r="BH30" s="1193">
        <f t="shared" si="47"/>
        <v>3.2965989731256418E-2</v>
      </c>
      <c r="BI30" s="1193">
        <f t="shared" si="47"/>
        <v>-4.593134324859649E-2</v>
      </c>
      <c r="BJ30" s="1194">
        <f t="shared" si="47"/>
        <v>2.4324836029286923E-2</v>
      </c>
      <c r="BK30" s="1193">
        <f t="shared" si="48"/>
        <v>-6.3725743377850086E-2</v>
      </c>
      <c r="BL30" s="1193">
        <f t="shared" si="48"/>
        <v>-0.15353773626055367</v>
      </c>
      <c r="BM30" s="1193">
        <f t="shared" si="48"/>
        <v>-0.11729532051772995</v>
      </c>
      <c r="BN30" s="1193">
        <f t="shared" si="48"/>
        <v>-0.18028071628631814</v>
      </c>
      <c r="BO30" s="1194">
        <f t="shared" si="48"/>
        <v>-0.12980881833959501</v>
      </c>
      <c r="BP30" s="1193">
        <f t="shared" si="48"/>
        <v>-8.6791456598361072E-2</v>
      </c>
      <c r="BQ30" s="1193">
        <f t="shared" si="48"/>
        <v>7.9542573518651682E-3</v>
      </c>
      <c r="BR30" s="1193">
        <f t="shared" si="48"/>
        <v>-8.1580151794177436E-2</v>
      </c>
      <c r="BS30" s="1193">
        <f t="shared" si="48"/>
        <v>-2.2203001933208788E-2</v>
      </c>
      <c r="BT30" s="1194">
        <f t="shared" si="48"/>
        <v>-4.5904395993419445E-2</v>
      </c>
      <c r="BU30" s="1193">
        <f t="shared" si="49"/>
        <v>2.2890058681395153E-3</v>
      </c>
      <c r="BV30" s="1193">
        <f t="shared" si="49"/>
        <v>8.0775774629451291E-3</v>
      </c>
      <c r="BW30" s="1193">
        <f t="shared" si="49"/>
        <v>0.22734282927382243</v>
      </c>
      <c r="BX30" s="1193">
        <f t="shared" si="49"/>
        <v>0.16087474383002531</v>
      </c>
      <c r="BY30" s="1194">
        <f t="shared" si="49"/>
        <v>9.5350759686030795E-2</v>
      </c>
      <c r="BZ30" s="1193">
        <f t="shared" si="49"/>
        <v>0.24162417317970397</v>
      </c>
      <c r="CA30" s="1193">
        <f t="shared" si="50"/>
        <v>0.17395193911043183</v>
      </c>
      <c r="CB30" s="1193">
        <f t="shared" si="50"/>
        <v>0.17780390557047987</v>
      </c>
      <c r="CC30" s="1193">
        <f t="shared" si="50"/>
        <v>0.29513168516269239</v>
      </c>
      <c r="CD30" s="1194"/>
      <c r="CE30" s="1193">
        <f t="shared" si="51"/>
        <v>0.22365321105688785</v>
      </c>
      <c r="CF30" s="1193">
        <f t="shared" si="51"/>
        <v>0.28819493043999644</v>
      </c>
      <c r="CG30" s="1193">
        <f t="shared" si="51"/>
        <v>0.27106019439048334</v>
      </c>
      <c r="CH30" s="1193">
        <f t="shared" si="51"/>
        <v>0.24612631137466479</v>
      </c>
      <c r="CI30" s="1194"/>
      <c r="CJ30" s="1193">
        <f t="shared" si="52"/>
        <v>0.27370302420604142</v>
      </c>
      <c r="CK30" s="1193">
        <f t="shared" si="53"/>
        <v>0.28335713915663985</v>
      </c>
      <c r="CL30" s="1193">
        <f t="shared" si="54"/>
        <v>0.27993228512389101</v>
      </c>
      <c r="CM30" s="1193">
        <f t="shared" si="55"/>
        <v>0.23605881686316899</v>
      </c>
      <c r="CN30" s="1194"/>
      <c r="CO30" s="1798"/>
      <c r="CP30" s="1169"/>
      <c r="CQ30" s="1170"/>
      <c r="CR30" s="1169"/>
    </row>
    <row r="31" spans="1:96" hidden="1" outlineLevel="1">
      <c r="A31" s="1195" t="s">
        <v>526</v>
      </c>
      <c r="B31" s="1195"/>
      <c r="C31" s="1196" t="s">
        <v>131</v>
      </c>
      <c r="D31" s="1196" t="s">
        <v>131</v>
      </c>
      <c r="E31" s="1196" t="s">
        <v>131</v>
      </c>
      <c r="F31" s="1196" t="s">
        <v>131</v>
      </c>
      <c r="G31" s="1197" t="s">
        <v>131</v>
      </c>
      <c r="H31" s="1198">
        <f t="shared" ref="H31:AM31" si="58">H84</f>
        <v>-0.12144470941645036</v>
      </c>
      <c r="I31" s="1198">
        <f t="shared" si="58"/>
        <v>-2.4852485543214176E-4</v>
      </c>
      <c r="J31" s="1198">
        <f t="shared" si="58"/>
        <v>1.7315481739117899E-2</v>
      </c>
      <c r="K31" s="1198">
        <f t="shared" si="58"/>
        <v>0.19398209672680777</v>
      </c>
      <c r="L31" s="1199">
        <f t="shared" si="58"/>
        <v>-6.4543612819502827E-2</v>
      </c>
      <c r="M31" s="1198">
        <f t="shared" si="58"/>
        <v>0.19924464466875813</v>
      </c>
      <c r="N31" s="1198">
        <f t="shared" si="58"/>
        <v>5.3998855817949387E-2</v>
      </c>
      <c r="O31" s="1198">
        <f t="shared" si="58"/>
        <v>0.16318172720705038</v>
      </c>
      <c r="P31" s="1198">
        <f t="shared" si="58"/>
        <v>0.2567298699205196</v>
      </c>
      <c r="Q31" s="1199">
        <f t="shared" si="58"/>
        <v>6.1394863271256206E-2</v>
      </c>
      <c r="R31" s="1198">
        <f t="shared" si="58"/>
        <v>0.32801495478199372</v>
      </c>
      <c r="S31" s="1198">
        <f t="shared" si="58"/>
        <v>0.23095400223647977</v>
      </c>
      <c r="T31" s="1198">
        <f t="shared" si="58"/>
        <v>0.23060459636126618</v>
      </c>
      <c r="U31" s="1198">
        <f t="shared" si="58"/>
        <v>0.16318540043392682</v>
      </c>
      <c r="V31" s="1199">
        <f t="shared" si="58"/>
        <v>0.23452499287506723</v>
      </c>
      <c r="W31" s="1198">
        <f t="shared" si="58"/>
        <v>9.0528514154899486E-2</v>
      </c>
      <c r="X31" s="1198">
        <f t="shared" si="58"/>
        <v>0.18494702317812162</v>
      </c>
      <c r="Y31" s="1198">
        <f t="shared" si="58"/>
        <v>0.19921577952654501</v>
      </c>
      <c r="Z31" s="1198">
        <f t="shared" si="58"/>
        <v>0.20295365330079984</v>
      </c>
      <c r="AA31" s="1199">
        <f t="shared" si="58"/>
        <v>0.16904008866055742</v>
      </c>
      <c r="AB31" s="1198">
        <f t="shared" si="58"/>
        <v>0.43794434975321561</v>
      </c>
      <c r="AC31" s="1198">
        <f t="shared" si="58"/>
        <v>0.31172975773593903</v>
      </c>
      <c r="AD31" s="1198">
        <f t="shared" si="58"/>
        <v>0.24012861393030094</v>
      </c>
      <c r="AE31" s="1198">
        <f t="shared" si="58"/>
        <v>0.32388987618810594</v>
      </c>
      <c r="AF31" s="1199">
        <f t="shared" si="58"/>
        <v>0.32750451223376031</v>
      </c>
      <c r="AG31" s="1198">
        <f t="shared" si="58"/>
        <v>-3.0173400175139364E-2</v>
      </c>
      <c r="AH31" s="1198">
        <f t="shared" si="58"/>
        <v>0.15365973411219658</v>
      </c>
      <c r="AI31" s="1198">
        <f t="shared" si="58"/>
        <v>0.39590262890013306</v>
      </c>
      <c r="AJ31" s="1198">
        <f t="shared" si="58"/>
        <v>0.29380290981053236</v>
      </c>
      <c r="AK31" s="1199">
        <f t="shared" si="58"/>
        <v>0.2006368190113772</v>
      </c>
      <c r="AL31" s="1198">
        <f t="shared" si="58"/>
        <v>0.32197527898528966</v>
      </c>
      <c r="AM31" s="1198">
        <f t="shared" si="58"/>
        <v>0.12986317979229511</v>
      </c>
      <c r="AN31" s="1200">
        <f>AN84</f>
        <v>-3.7408152769915493E-3</v>
      </c>
      <c r="AO31" s="1198">
        <f t="shared" ref="AO31:AZ31" si="59">AO84</f>
        <v>-3.0849056914370454E-3</v>
      </c>
      <c r="AP31" s="1199">
        <f t="shared" si="59"/>
        <v>9.4974763140219576E-2</v>
      </c>
      <c r="AQ31" s="1198">
        <f t="shared" si="59"/>
        <v>-0.13077169280528267</v>
      </c>
      <c r="AR31" s="1198">
        <f t="shared" si="59"/>
        <v>-0.18704320510189587</v>
      </c>
      <c r="AS31" s="1198">
        <f t="shared" si="59"/>
        <v>-0.20665601962001989</v>
      </c>
      <c r="AT31" s="1198">
        <f t="shared" si="59"/>
        <v>-0.19665771150692501</v>
      </c>
      <c r="AU31" s="1199">
        <f t="shared" si="59"/>
        <v>-0.18036564820864553</v>
      </c>
      <c r="AV31" s="1198">
        <f t="shared" si="59"/>
        <v>6.6773483894759567E-2</v>
      </c>
      <c r="AW31" s="1198">
        <f t="shared" si="59"/>
        <v>0.3284175780823162</v>
      </c>
      <c r="AX31" s="1198">
        <f t="shared" si="59"/>
        <v>0.41977069764174413</v>
      </c>
      <c r="AY31" s="1198">
        <f t="shared" si="59"/>
        <v>0.33422357447420303</v>
      </c>
      <c r="AZ31" s="1199">
        <f t="shared" si="59"/>
        <v>0.28169492203057933</v>
      </c>
      <c r="BA31" s="1198">
        <f t="shared" ref="BA31:BJ31" si="60">BA84</f>
        <v>0.20367998136718279</v>
      </c>
      <c r="BB31" s="1198">
        <f t="shared" si="60"/>
        <v>5.5316080527233913E-2</v>
      </c>
      <c r="BC31" s="1198">
        <f t="shared" si="60"/>
        <v>-1.5338491940475318E-3</v>
      </c>
      <c r="BD31" s="1198">
        <f t="shared" si="60"/>
        <v>0.12823504433769273</v>
      </c>
      <c r="BE31" s="1199">
        <f t="shared" si="60"/>
        <v>9.3368421052631545E-2</v>
      </c>
      <c r="BF31" s="1198">
        <f t="shared" si="60"/>
        <v>-4.9235870959207784E-4</v>
      </c>
      <c r="BG31" s="1198">
        <f t="shared" si="60"/>
        <v>0.10282400952725057</v>
      </c>
      <c r="BH31" s="1198">
        <f t="shared" si="60"/>
        <v>8.0425419359423378E-2</v>
      </c>
      <c r="BI31" s="1198">
        <f t="shared" si="60"/>
        <v>1.4094384378572355E-2</v>
      </c>
      <c r="BJ31" s="1199">
        <f t="shared" si="60"/>
        <v>4.8011380528441006E-2</v>
      </c>
      <c r="BK31" s="1198">
        <f t="shared" ref="BK31:BT31" si="61">BK84</f>
        <v>-2.0397619639884512E-2</v>
      </c>
      <c r="BL31" s="1198">
        <f t="shared" si="61"/>
        <v>-8.6930576664659753E-2</v>
      </c>
      <c r="BM31" s="1198">
        <f t="shared" si="61"/>
        <v>-6.5039145644005925E-2</v>
      </c>
      <c r="BN31" s="1198">
        <f t="shared" si="61"/>
        <v>-8.7589342377677459E-2</v>
      </c>
      <c r="BO31" s="1199">
        <f t="shared" si="61"/>
        <v>-6.5939668145506447E-2</v>
      </c>
      <c r="BP31" s="1198">
        <f t="shared" si="61"/>
        <v>5.7814823891502165E-3</v>
      </c>
      <c r="BQ31" s="1198">
        <f t="shared" si="61"/>
        <v>5.1408689732016954E-2</v>
      </c>
      <c r="BR31" s="1198">
        <f t="shared" si="61"/>
        <v>2.091207182256527E-3</v>
      </c>
      <c r="BS31" s="1198">
        <f t="shared" si="61"/>
        <v>2.1888280587770703E-2</v>
      </c>
      <c r="BT31" s="1199">
        <f t="shared" si="61"/>
        <v>2.0383503812351433E-2</v>
      </c>
      <c r="BU31" s="1198">
        <f t="shared" ref="BU31:CC31" si="62">BU84</f>
        <v>0.11126664800223973</v>
      </c>
      <c r="BV31" s="1198">
        <f t="shared" si="62"/>
        <v>0.11176849452541093</v>
      </c>
      <c r="BW31" s="1198">
        <f t="shared" si="62"/>
        <v>0.26028312855763147</v>
      </c>
      <c r="BX31" s="1198">
        <f t="shared" si="62"/>
        <v>0.27155911333720906</v>
      </c>
      <c r="BY31" s="1199">
        <f t="shared" si="62"/>
        <v>0.18900957665240337</v>
      </c>
      <c r="BZ31" s="1198">
        <f t="shared" si="62"/>
        <v>0.28761671900257935</v>
      </c>
      <c r="CA31" s="1198">
        <f t="shared" si="62"/>
        <v>0.21911134286387912</v>
      </c>
      <c r="CB31" s="1198">
        <f t="shared" si="62"/>
        <v>0.2097542389026481</v>
      </c>
      <c r="CC31" s="1198">
        <f t="shared" si="62"/>
        <v>0.25591317846546735</v>
      </c>
      <c r="CD31" s="1199"/>
      <c r="CE31" s="1198">
        <f>CE84</f>
        <v>0.21098649278735793</v>
      </c>
      <c r="CF31" s="1198">
        <f>CF84</f>
        <v>0.27117220236661077</v>
      </c>
      <c r="CG31" s="1198">
        <f>CG84</f>
        <v>0.26519245310857409</v>
      </c>
      <c r="CH31" s="1198">
        <f>CH84</f>
        <v>0.25091782676031582</v>
      </c>
      <c r="CI31" s="1199"/>
      <c r="CJ31" s="1198">
        <f>CJ84</f>
        <v>0.19688012996540238</v>
      </c>
      <c r="CK31" s="1198">
        <f>CK84</f>
        <v>0.21138027669434867</v>
      </c>
      <c r="CL31" s="1198">
        <f>CL84</f>
        <v>0.21754452756220499</v>
      </c>
      <c r="CM31" s="1198">
        <f>CM84</f>
        <v>0.17514357124323854</v>
      </c>
      <c r="CN31" s="1199"/>
      <c r="CO31" s="1799"/>
      <c r="CP31" s="1161"/>
      <c r="CQ31" s="1162"/>
      <c r="CR31" s="1161"/>
    </row>
    <row r="32" spans="1:96" ht="5.25" hidden="1" customHeight="1" outlineLevel="1">
      <c r="A32" s="1201"/>
      <c r="B32" s="1201"/>
      <c r="C32" s="1202"/>
      <c r="D32" s="1202"/>
      <c r="E32" s="1202"/>
      <c r="F32" s="1202"/>
      <c r="G32" s="1203"/>
      <c r="H32" s="1202"/>
      <c r="I32" s="1202"/>
      <c r="J32" s="1202"/>
      <c r="K32" s="1202"/>
      <c r="L32" s="1203"/>
      <c r="M32" s="1202"/>
      <c r="N32" s="1202"/>
      <c r="O32" s="1202"/>
      <c r="P32" s="1202"/>
      <c r="Q32" s="1203"/>
      <c r="R32" s="1202"/>
      <c r="S32" s="1202"/>
      <c r="T32" s="1202"/>
      <c r="U32" s="1202"/>
      <c r="V32" s="1203"/>
      <c r="W32" s="1202"/>
      <c r="X32" s="1202"/>
      <c r="Y32" s="1202"/>
      <c r="Z32" s="1202"/>
      <c r="AA32" s="1203"/>
      <c r="AB32" s="1202"/>
      <c r="AC32" s="1202"/>
      <c r="AD32" s="1202"/>
      <c r="AE32" s="1202"/>
      <c r="AF32" s="1203"/>
      <c r="AG32" s="1202"/>
      <c r="AH32" s="1202"/>
      <c r="AI32" s="1202"/>
      <c r="AJ32" s="1202"/>
      <c r="AK32" s="1203"/>
      <c r="AL32" s="1202"/>
      <c r="AM32" s="1202"/>
      <c r="AN32" s="1202"/>
      <c r="AO32" s="1202"/>
      <c r="AP32" s="1203"/>
      <c r="AQ32" s="1202"/>
      <c r="AR32" s="1202"/>
      <c r="AS32" s="1202"/>
      <c r="AT32" s="1202"/>
      <c r="AU32" s="1203"/>
      <c r="AV32" s="1202"/>
      <c r="AW32" s="1202"/>
      <c r="AX32" s="1202"/>
      <c r="AY32" s="1202"/>
      <c r="AZ32" s="1203"/>
      <c r="BA32" s="1202"/>
      <c r="BB32" s="1202"/>
      <c r="BC32" s="1202"/>
      <c r="BD32" s="1202"/>
      <c r="BE32" s="1203"/>
      <c r="BF32" s="1202"/>
      <c r="BG32" s="1202"/>
      <c r="BH32" s="1202"/>
      <c r="BI32" s="1202"/>
      <c r="BJ32" s="1203"/>
      <c r="BK32" s="1202"/>
      <c r="BL32" s="1202"/>
      <c r="BM32" s="1202"/>
      <c r="BN32" s="1202"/>
      <c r="BO32" s="1203"/>
      <c r="BP32" s="1202"/>
      <c r="BQ32" s="1202"/>
      <c r="BR32" s="1202"/>
      <c r="BS32" s="1202"/>
      <c r="BT32" s="1203"/>
      <c r="BU32" s="1202"/>
      <c r="BV32" s="1202"/>
      <c r="BW32" s="1202"/>
      <c r="BX32" s="1202"/>
      <c r="BY32" s="1203"/>
      <c r="BZ32" s="1202"/>
      <c r="CA32" s="1202"/>
      <c r="CB32" s="1202"/>
      <c r="CC32" s="1202"/>
      <c r="CD32" s="1203"/>
      <c r="CE32" s="1202"/>
      <c r="CF32" s="1202"/>
      <c r="CG32" s="1202"/>
      <c r="CH32" s="1202"/>
      <c r="CI32" s="1203"/>
      <c r="CJ32" s="1202"/>
      <c r="CK32" s="1202"/>
      <c r="CL32" s="1202"/>
      <c r="CM32" s="1202"/>
      <c r="CN32" s="1203"/>
      <c r="CO32" s="1202"/>
      <c r="CP32" s="1202"/>
      <c r="CQ32" s="1204"/>
      <c r="CR32" s="1202"/>
    </row>
    <row r="33" spans="1:96" hidden="1" outlineLevel="1">
      <c r="A33" s="1164" t="s">
        <v>129</v>
      </c>
      <c r="B33" s="1164"/>
      <c r="C33" s="1161"/>
      <c r="D33" s="1161"/>
      <c r="E33" s="1161"/>
      <c r="F33" s="1161"/>
      <c r="G33" s="1190"/>
      <c r="H33" s="1161"/>
      <c r="I33" s="1161"/>
      <c r="J33" s="1161"/>
      <c r="K33" s="1161"/>
      <c r="L33" s="1190"/>
      <c r="M33" s="1161"/>
      <c r="N33" s="1161"/>
      <c r="O33" s="1161"/>
      <c r="P33" s="1161"/>
      <c r="Q33" s="1190"/>
      <c r="R33" s="1161"/>
      <c r="S33" s="1161"/>
      <c r="T33" s="1161"/>
      <c r="U33" s="1161"/>
      <c r="V33" s="1190"/>
      <c r="W33" s="1161"/>
      <c r="X33" s="1161"/>
      <c r="Y33" s="1161"/>
      <c r="Z33" s="1161"/>
      <c r="AA33" s="1190"/>
      <c r="AB33" s="1161"/>
      <c r="AC33" s="1161"/>
      <c r="AD33" s="1161"/>
      <c r="AE33" s="1161"/>
      <c r="AF33" s="1190"/>
      <c r="AG33" s="1161"/>
      <c r="AH33" s="1161"/>
      <c r="AI33" s="1161"/>
      <c r="AJ33" s="1161"/>
      <c r="AK33" s="1190"/>
      <c r="AL33" s="1161"/>
      <c r="AM33" s="1161"/>
      <c r="AN33" s="1161"/>
      <c r="AO33" s="1161"/>
      <c r="AP33" s="1190"/>
      <c r="AQ33" s="1161"/>
      <c r="AR33" s="1161"/>
      <c r="AS33" s="1161"/>
      <c r="AT33" s="1161"/>
      <c r="AU33" s="1190"/>
      <c r="AV33" s="1161"/>
      <c r="AW33" s="1161"/>
      <c r="AX33" s="1161"/>
      <c r="AY33" s="1161"/>
      <c r="AZ33" s="1190"/>
      <c r="BA33" s="1161"/>
      <c r="BB33" s="1161"/>
      <c r="BC33" s="1161"/>
      <c r="BD33" s="1161"/>
      <c r="BE33" s="1190"/>
      <c r="BF33" s="1161"/>
      <c r="BG33" s="1161"/>
      <c r="BH33" s="1161"/>
      <c r="BI33" s="1161"/>
      <c r="BJ33" s="1190"/>
      <c r="BK33" s="1161"/>
      <c r="BL33" s="1161"/>
      <c r="BM33" s="1161"/>
      <c r="BN33" s="1161"/>
      <c r="BO33" s="1190"/>
      <c r="BP33" s="1161"/>
      <c r="BQ33" s="1161"/>
      <c r="BR33" s="1161"/>
      <c r="BS33" s="1161"/>
      <c r="BT33" s="1190"/>
      <c r="BU33" s="1161"/>
      <c r="BV33" s="1161"/>
      <c r="BW33" s="1161"/>
      <c r="BX33" s="1161"/>
      <c r="BY33" s="1190"/>
      <c r="BZ33" s="1161"/>
      <c r="CA33" s="1161"/>
      <c r="CB33" s="1161"/>
      <c r="CC33" s="1161"/>
      <c r="CD33" s="1190"/>
      <c r="CE33" s="1161"/>
      <c r="CF33" s="1161"/>
      <c r="CG33" s="1161"/>
      <c r="CH33" s="1161"/>
      <c r="CI33" s="1190"/>
      <c r="CJ33" s="1161"/>
      <c r="CK33" s="1161"/>
      <c r="CL33" s="1161"/>
      <c r="CM33" s="1161"/>
      <c r="CN33" s="1190"/>
      <c r="CO33" s="1797"/>
      <c r="CP33" s="1161"/>
      <c r="CQ33" s="1162"/>
      <c r="CR33" s="1161"/>
    </row>
    <row r="34" spans="1:96" hidden="1" outlineLevel="1">
      <c r="A34" s="1163" t="s">
        <v>333</v>
      </c>
      <c r="B34" s="1163"/>
      <c r="C34" s="1193">
        <f t="shared" ref="C34:AH34" si="63">C9/C11</f>
        <v>0.46</v>
      </c>
      <c r="D34" s="1193">
        <f t="shared" si="63"/>
        <v>0.45999999999999996</v>
      </c>
      <c r="E34" s="1193">
        <f t="shared" si="63"/>
        <v>0.53</v>
      </c>
      <c r="F34" s="1193">
        <f t="shared" si="63"/>
        <v>0.48036947153549581</v>
      </c>
      <c r="G34" s="1194">
        <f t="shared" si="63"/>
        <v>0.48101031129037508</v>
      </c>
      <c r="H34" s="1193">
        <f t="shared" si="63"/>
        <v>0.46</v>
      </c>
      <c r="I34" s="1193">
        <f t="shared" si="63"/>
        <v>0.5</v>
      </c>
      <c r="J34" s="1193">
        <f t="shared" si="63"/>
        <v>0.55000000000000004</v>
      </c>
      <c r="K34" s="1193">
        <f t="shared" si="63"/>
        <v>0.49279795964079859</v>
      </c>
      <c r="L34" s="1194">
        <f t="shared" si="63"/>
        <v>0.50120708661146918</v>
      </c>
      <c r="M34" s="1193">
        <f t="shared" si="63"/>
        <v>0.49344044190707154</v>
      </c>
      <c r="N34" s="1193">
        <f t="shared" si="63"/>
        <v>0.49165068437525389</v>
      </c>
      <c r="O34" s="1193">
        <f t="shared" si="63"/>
        <v>0.49134813644938308</v>
      </c>
      <c r="P34" s="1193">
        <f t="shared" si="63"/>
        <v>0.50057726737797936</v>
      </c>
      <c r="Q34" s="1194">
        <f t="shared" si="63"/>
        <v>0.49445877154568196</v>
      </c>
      <c r="R34" s="1193">
        <f t="shared" si="63"/>
        <v>0.43351815933150789</v>
      </c>
      <c r="S34" s="1193">
        <f t="shared" si="63"/>
        <v>0.44502968896692152</v>
      </c>
      <c r="T34" s="1193">
        <f t="shared" si="63"/>
        <v>0.48524570672730388</v>
      </c>
      <c r="U34" s="1193">
        <f t="shared" si="63"/>
        <v>0.48591159063287265</v>
      </c>
      <c r="V34" s="1194">
        <f t="shared" si="63"/>
        <v>0.46238376652559937</v>
      </c>
      <c r="W34" s="1193">
        <f t="shared" si="63"/>
        <v>0.46100295634005944</v>
      </c>
      <c r="X34" s="1193">
        <f t="shared" si="63"/>
        <v>0.48868110533859915</v>
      </c>
      <c r="Y34" s="1193">
        <f t="shared" si="63"/>
        <v>0.46875096244859243</v>
      </c>
      <c r="Z34" s="1193">
        <f t="shared" si="63"/>
        <v>0.49179910300546065</v>
      </c>
      <c r="AA34" s="1194">
        <f t="shared" si="63"/>
        <v>0.47789755589245098</v>
      </c>
      <c r="AB34" s="1193">
        <f t="shared" si="63"/>
        <v>0.47858204241789953</v>
      </c>
      <c r="AC34" s="1193">
        <f t="shared" si="63"/>
        <v>0.48138659482324497</v>
      </c>
      <c r="AD34" s="1193">
        <f t="shared" si="63"/>
        <v>0.51528501754426759</v>
      </c>
      <c r="AE34" s="1193">
        <f t="shared" si="63"/>
        <v>0.49386154579103603</v>
      </c>
      <c r="AF34" s="1194">
        <f t="shared" si="63"/>
        <v>0.49190385586145297</v>
      </c>
      <c r="AG34" s="1193">
        <f t="shared" si="63"/>
        <v>0.45934213828923925</v>
      </c>
      <c r="AH34" s="1193">
        <f t="shared" si="63"/>
        <v>0.514366725368406</v>
      </c>
      <c r="AI34" s="1193">
        <f t="shared" ref="AI34:AZ34" si="64">AI9/AI11</f>
        <v>0.47047855665116017</v>
      </c>
      <c r="AJ34" s="1193">
        <f t="shared" si="64"/>
        <v>0.46794869684408985</v>
      </c>
      <c r="AK34" s="1194">
        <f t="shared" si="64"/>
        <v>0.47782041185212493</v>
      </c>
      <c r="AL34" s="1193">
        <f t="shared" si="64"/>
        <v>0.44573219008473292</v>
      </c>
      <c r="AM34" s="1193">
        <f t="shared" si="64"/>
        <v>0.43275009414964266</v>
      </c>
      <c r="AN34" s="1193">
        <f t="shared" si="64"/>
        <v>0.48418891031572592</v>
      </c>
      <c r="AO34" s="1193">
        <f t="shared" si="64"/>
        <v>0.46170603987103698</v>
      </c>
      <c r="AP34" s="1194">
        <f t="shared" si="64"/>
        <v>0.4561314610592675</v>
      </c>
      <c r="AQ34" s="1193">
        <f t="shared" si="64"/>
        <v>0.41467973906077144</v>
      </c>
      <c r="AR34" s="1193">
        <f t="shared" si="64"/>
        <v>0.45098932412622594</v>
      </c>
      <c r="AS34" s="1193">
        <f t="shared" si="64"/>
        <v>0.50838199473266932</v>
      </c>
      <c r="AT34" s="1193">
        <f t="shared" si="64"/>
        <v>0.50734005649143055</v>
      </c>
      <c r="AU34" s="1194">
        <f t="shared" si="64"/>
        <v>0.46937168962606085</v>
      </c>
      <c r="AV34" s="1193">
        <f t="shared" si="64"/>
        <v>0.47560265517642941</v>
      </c>
      <c r="AW34" s="1193">
        <f t="shared" si="64"/>
        <v>0.48269682461414476</v>
      </c>
      <c r="AX34" s="1193">
        <f t="shared" si="64"/>
        <v>0.49872818758400067</v>
      </c>
      <c r="AY34" s="1193">
        <f t="shared" si="64"/>
        <v>0.48901429243233269</v>
      </c>
      <c r="AZ34" s="1194">
        <f t="shared" si="64"/>
        <v>0.48694736842105263</v>
      </c>
      <c r="BA34" s="1193">
        <f t="shared" ref="BA34:BJ34" si="65">BA9/BA11</f>
        <v>0.49265062187045705</v>
      </c>
      <c r="BB34" s="1193">
        <f t="shared" si="65"/>
        <v>0.48134295172203495</v>
      </c>
      <c r="BC34" s="1193">
        <f t="shared" si="65"/>
        <v>0.50098103851908582</v>
      </c>
      <c r="BD34" s="1193">
        <f t="shared" si="65"/>
        <v>0.48161671849680737</v>
      </c>
      <c r="BE34" s="1194">
        <f t="shared" si="65"/>
        <v>0.48889323186579198</v>
      </c>
      <c r="BF34" s="1193">
        <f t="shared" si="65"/>
        <v>0.48133407320946786</v>
      </c>
      <c r="BG34" s="1193">
        <f t="shared" si="65"/>
        <v>0.49028457493403427</v>
      </c>
      <c r="BH34" s="1193">
        <f t="shared" si="65"/>
        <v>0.51666697514297877</v>
      </c>
      <c r="BI34" s="1193">
        <f t="shared" si="65"/>
        <v>0.50597003020561326</v>
      </c>
      <c r="BJ34" s="1194">
        <f t="shared" si="65"/>
        <v>0.49874230103615691</v>
      </c>
      <c r="BK34" s="1193">
        <f t="shared" ref="BK34:BT34" si="66">BK9/BK11</f>
        <v>0.49639190651996834</v>
      </c>
      <c r="BL34" s="1193">
        <f t="shared" si="66"/>
        <v>0.51991541231548399</v>
      </c>
      <c r="BM34" s="1193">
        <f t="shared" si="66"/>
        <v>0.53671972899723552</v>
      </c>
      <c r="BN34" s="1193">
        <f t="shared" si="66"/>
        <v>0.55159887837081545</v>
      </c>
      <c r="BO34" s="1194">
        <f t="shared" si="66"/>
        <v>0.5263313638650241</v>
      </c>
      <c r="BP34" s="1193">
        <f t="shared" si="66"/>
        <v>0.53653561572611286</v>
      </c>
      <c r="BQ34" s="1193">
        <f t="shared" si="66"/>
        <v>0.54221649716160147</v>
      </c>
      <c r="BR34" s="1193">
        <f t="shared" si="66"/>
        <v>0.57886889813001474</v>
      </c>
      <c r="BS34" s="1193">
        <f t="shared" si="66"/>
        <v>0.57447490422312664</v>
      </c>
      <c r="BT34" s="1194">
        <f t="shared" si="66"/>
        <v>0.55808143831842527</v>
      </c>
      <c r="BU34" s="1193">
        <f t="shared" ref="BU34:CC34" si="67">BU9/BU11</f>
        <v>0.58114951482219768</v>
      </c>
      <c r="BV34" s="1193">
        <f t="shared" si="67"/>
        <v>0.57582531807206949</v>
      </c>
      <c r="BW34" s="1193">
        <f t="shared" si="67"/>
        <v>0.57326190210286365</v>
      </c>
      <c r="BX34" s="1193">
        <f t="shared" si="67"/>
        <v>0.59415004853016384</v>
      </c>
      <c r="BY34" s="1194">
        <f t="shared" si="67"/>
        <v>0.58139789482288762</v>
      </c>
      <c r="BZ34" s="1193">
        <f t="shared" si="67"/>
        <v>0.5830113457694629</v>
      </c>
      <c r="CA34" s="1193">
        <f t="shared" si="67"/>
        <v>0.58625489647953932</v>
      </c>
      <c r="CB34" s="1193">
        <f t="shared" si="67"/>
        <v>0.58191202397321795</v>
      </c>
      <c r="CC34" s="1193">
        <f t="shared" si="67"/>
        <v>0.5730689577777931</v>
      </c>
      <c r="CD34" s="1194"/>
      <c r="CE34" s="1193">
        <f>CE9/CE11</f>
        <v>0.58026481197588553</v>
      </c>
      <c r="CF34" s="1193">
        <f>CF9/CF11</f>
        <v>0.57933968705387118</v>
      </c>
      <c r="CG34" s="1193">
        <f>CG9/CG11</f>
        <v>0.57743469301070993</v>
      </c>
      <c r="CH34" s="1193">
        <f>CH9/CH11</f>
        <v>0.57355869021900285</v>
      </c>
      <c r="CI34" s="1194"/>
      <c r="CJ34" s="1193">
        <f>CJ9/CJ11</f>
        <v>0.56755117623309426</v>
      </c>
      <c r="CK34" s="1193">
        <f>CK9/CK11</f>
        <v>0.56012452396578893</v>
      </c>
      <c r="CL34" s="1193">
        <f>CL9/CL11</f>
        <v>0.55968839159033834</v>
      </c>
      <c r="CM34" s="1193">
        <f>CM9/CM11</f>
        <v>0.5555561984356584</v>
      </c>
      <c r="CN34" s="1194"/>
      <c r="CO34" s="1798"/>
      <c r="CP34" s="1169"/>
      <c r="CQ34" s="1170"/>
      <c r="CR34" s="1169"/>
    </row>
    <row r="35" spans="1:96" hidden="1" outlineLevel="1">
      <c r="A35" s="1163" t="s">
        <v>643</v>
      </c>
      <c r="B35" s="1163"/>
      <c r="C35" s="1205">
        <f t="shared" ref="C35:AH35" si="68">1-C34</f>
        <v>0.54</v>
      </c>
      <c r="D35" s="1205">
        <f t="shared" si="68"/>
        <v>0.54</v>
      </c>
      <c r="E35" s="1205">
        <f t="shared" si="68"/>
        <v>0.47</v>
      </c>
      <c r="F35" s="1205">
        <f t="shared" si="68"/>
        <v>0.51963052846450419</v>
      </c>
      <c r="G35" s="1206">
        <f t="shared" si="68"/>
        <v>0.51898968870962492</v>
      </c>
      <c r="H35" s="1205">
        <f t="shared" si="68"/>
        <v>0.54</v>
      </c>
      <c r="I35" s="1205">
        <f t="shared" si="68"/>
        <v>0.5</v>
      </c>
      <c r="J35" s="1205">
        <f t="shared" si="68"/>
        <v>0.44999999999999996</v>
      </c>
      <c r="K35" s="1205">
        <f t="shared" si="68"/>
        <v>0.50720204035920147</v>
      </c>
      <c r="L35" s="1206">
        <f t="shared" si="68"/>
        <v>0.49879291338853082</v>
      </c>
      <c r="M35" s="1205">
        <f t="shared" si="68"/>
        <v>0.50655955809292852</v>
      </c>
      <c r="N35" s="1205">
        <f t="shared" si="68"/>
        <v>0.50834931562474606</v>
      </c>
      <c r="O35" s="1205">
        <f t="shared" si="68"/>
        <v>0.50865186355061698</v>
      </c>
      <c r="P35" s="1205">
        <f t="shared" si="68"/>
        <v>0.49942273262202064</v>
      </c>
      <c r="Q35" s="1206">
        <f t="shared" si="68"/>
        <v>0.50554122845431804</v>
      </c>
      <c r="R35" s="1205">
        <f t="shared" si="68"/>
        <v>0.56648184066849216</v>
      </c>
      <c r="S35" s="1205">
        <f t="shared" si="68"/>
        <v>0.55497031103307848</v>
      </c>
      <c r="T35" s="1205">
        <f t="shared" si="68"/>
        <v>0.51475429327269606</v>
      </c>
      <c r="U35" s="1205">
        <f t="shared" si="68"/>
        <v>0.51408840936712741</v>
      </c>
      <c r="V35" s="1206">
        <f t="shared" si="68"/>
        <v>0.53761623347440057</v>
      </c>
      <c r="W35" s="1205">
        <f t="shared" si="68"/>
        <v>0.5389970436599405</v>
      </c>
      <c r="X35" s="1205">
        <f t="shared" si="68"/>
        <v>0.5113188946614009</v>
      </c>
      <c r="Y35" s="1205">
        <f t="shared" si="68"/>
        <v>0.53124903755140762</v>
      </c>
      <c r="Z35" s="1205">
        <f t="shared" si="68"/>
        <v>0.5082008969945393</v>
      </c>
      <c r="AA35" s="1206">
        <f t="shared" si="68"/>
        <v>0.52210244410754902</v>
      </c>
      <c r="AB35" s="1205">
        <f t="shared" si="68"/>
        <v>0.52141795758210052</v>
      </c>
      <c r="AC35" s="1205">
        <f t="shared" si="68"/>
        <v>0.51861340517675503</v>
      </c>
      <c r="AD35" s="1205">
        <f t="shared" si="68"/>
        <v>0.48471498245573241</v>
      </c>
      <c r="AE35" s="1205">
        <f t="shared" si="68"/>
        <v>0.50613845420896397</v>
      </c>
      <c r="AF35" s="1206">
        <f t="shared" si="68"/>
        <v>0.50809614413854698</v>
      </c>
      <c r="AG35" s="1205">
        <f t="shared" si="68"/>
        <v>0.54065786171076069</v>
      </c>
      <c r="AH35" s="1205">
        <f t="shared" si="68"/>
        <v>0.485633274631594</v>
      </c>
      <c r="AI35" s="1205">
        <f t="shared" ref="AI35:AZ35" si="69">1-AI34</f>
        <v>0.52952144334883977</v>
      </c>
      <c r="AJ35" s="1205">
        <f t="shared" si="69"/>
        <v>0.5320513031559102</v>
      </c>
      <c r="AK35" s="1206">
        <f t="shared" si="69"/>
        <v>0.52217958814787502</v>
      </c>
      <c r="AL35" s="1205">
        <f t="shared" si="69"/>
        <v>0.55426780991526714</v>
      </c>
      <c r="AM35" s="1205">
        <f t="shared" si="69"/>
        <v>0.56724990585035728</v>
      </c>
      <c r="AN35" s="1205">
        <f t="shared" si="69"/>
        <v>0.51581108968427403</v>
      </c>
      <c r="AO35" s="1205">
        <f t="shared" si="69"/>
        <v>0.53829396012896302</v>
      </c>
      <c r="AP35" s="1206">
        <f t="shared" si="69"/>
        <v>0.5438685389407325</v>
      </c>
      <c r="AQ35" s="1205">
        <f t="shared" si="69"/>
        <v>0.58532026093922851</v>
      </c>
      <c r="AR35" s="1205">
        <f t="shared" si="69"/>
        <v>0.54901067587377406</v>
      </c>
      <c r="AS35" s="1205">
        <f t="shared" si="69"/>
        <v>0.49161800526733068</v>
      </c>
      <c r="AT35" s="1205">
        <f t="shared" si="69"/>
        <v>0.49265994350856945</v>
      </c>
      <c r="AU35" s="1206">
        <f t="shared" si="69"/>
        <v>0.53062831037393909</v>
      </c>
      <c r="AV35" s="1205">
        <f t="shared" si="69"/>
        <v>0.52439734482357059</v>
      </c>
      <c r="AW35" s="1205">
        <f t="shared" si="69"/>
        <v>0.51730317538585524</v>
      </c>
      <c r="AX35" s="1205">
        <f t="shared" si="69"/>
        <v>0.50127181241599938</v>
      </c>
      <c r="AY35" s="1205">
        <f t="shared" si="69"/>
        <v>0.51098570756766737</v>
      </c>
      <c r="AZ35" s="1206">
        <f t="shared" si="69"/>
        <v>0.51305263157894743</v>
      </c>
      <c r="BA35" s="1205">
        <f t="shared" ref="BA35:BJ35" si="70">1-BA34</f>
        <v>0.50734937812954295</v>
      </c>
      <c r="BB35" s="1205">
        <f t="shared" si="70"/>
        <v>0.5186570482779651</v>
      </c>
      <c r="BC35" s="1205">
        <f t="shared" si="70"/>
        <v>0.49901896148091418</v>
      </c>
      <c r="BD35" s="1205">
        <f t="shared" si="70"/>
        <v>0.51838328150319257</v>
      </c>
      <c r="BE35" s="1206">
        <f t="shared" si="70"/>
        <v>0.51110676813420808</v>
      </c>
      <c r="BF35" s="1205">
        <f t="shared" si="70"/>
        <v>0.51866592679053214</v>
      </c>
      <c r="BG35" s="1205">
        <f t="shared" si="70"/>
        <v>0.50971542506596568</v>
      </c>
      <c r="BH35" s="1205">
        <f t="shared" si="70"/>
        <v>0.48333302485702123</v>
      </c>
      <c r="BI35" s="1205">
        <f t="shared" si="70"/>
        <v>0.49402996979438674</v>
      </c>
      <c r="BJ35" s="1206">
        <f t="shared" si="70"/>
        <v>0.50125769896384309</v>
      </c>
      <c r="BK35" s="1205">
        <f t="shared" ref="BK35:BT35" si="71">1-BK34</f>
        <v>0.50360809348003166</v>
      </c>
      <c r="BL35" s="1205">
        <f t="shared" si="71"/>
        <v>0.48008458768451601</v>
      </c>
      <c r="BM35" s="1205">
        <f t="shared" si="71"/>
        <v>0.46328027100276448</v>
      </c>
      <c r="BN35" s="1205">
        <f t="shared" si="71"/>
        <v>0.44840112162918455</v>
      </c>
      <c r="BO35" s="1206">
        <f t="shared" si="71"/>
        <v>0.4736686361349759</v>
      </c>
      <c r="BP35" s="1205">
        <f t="shared" si="71"/>
        <v>0.46346438427388714</v>
      </c>
      <c r="BQ35" s="1205">
        <f t="shared" si="71"/>
        <v>0.45778350283839853</v>
      </c>
      <c r="BR35" s="1205">
        <f t="shared" si="71"/>
        <v>0.42113110186998526</v>
      </c>
      <c r="BS35" s="1205">
        <f t="shared" si="71"/>
        <v>0.42552509577687336</v>
      </c>
      <c r="BT35" s="1206">
        <f t="shared" si="71"/>
        <v>0.44191856168157473</v>
      </c>
      <c r="BU35" s="1205">
        <f t="shared" ref="BU35:CC35" si="72">1-BU34</f>
        <v>0.41885048517780232</v>
      </c>
      <c r="BV35" s="1205">
        <f t="shared" si="72"/>
        <v>0.42417468192793051</v>
      </c>
      <c r="BW35" s="1205">
        <f t="shared" si="72"/>
        <v>0.42673809789713635</v>
      </c>
      <c r="BX35" s="1205">
        <f t="shared" si="72"/>
        <v>0.40584995146983616</v>
      </c>
      <c r="BY35" s="1206">
        <f t="shared" si="72"/>
        <v>0.41860210517711238</v>
      </c>
      <c r="BZ35" s="1205">
        <f t="shared" si="72"/>
        <v>0.4169886542305371</v>
      </c>
      <c r="CA35" s="1205">
        <f t="shared" si="72"/>
        <v>0.41374510352046068</v>
      </c>
      <c r="CB35" s="1205">
        <f t="shared" si="72"/>
        <v>0.41808797602678205</v>
      </c>
      <c r="CC35" s="1205">
        <f t="shared" si="72"/>
        <v>0.4269310422222069</v>
      </c>
      <c r="CD35" s="1206"/>
      <c r="CE35" s="1205">
        <f>1-CE34</f>
        <v>0.41973518802411447</v>
      </c>
      <c r="CF35" s="1205">
        <f>1-CF34</f>
        <v>0.42066031294612882</v>
      </c>
      <c r="CG35" s="1205">
        <f>1-CG34</f>
        <v>0.42256530698929007</v>
      </c>
      <c r="CH35" s="1205">
        <f>1-CH34</f>
        <v>0.42644130978099715</v>
      </c>
      <c r="CI35" s="1206"/>
      <c r="CJ35" s="1205">
        <f>1-CJ34</f>
        <v>0.43244882376690574</v>
      </c>
      <c r="CK35" s="1205">
        <f>1-CK34</f>
        <v>0.43987547603421107</v>
      </c>
      <c r="CL35" s="1205">
        <f>1-CL34</f>
        <v>0.44031160840966166</v>
      </c>
      <c r="CM35" s="1205">
        <f>1-CM34</f>
        <v>0.4444438015643416</v>
      </c>
      <c r="CN35" s="1206"/>
      <c r="CO35" s="1800"/>
      <c r="CP35" s="1169"/>
      <c r="CQ35" s="1170"/>
      <c r="CR35" s="1169"/>
    </row>
    <row r="36" spans="1:96" ht="5.25" customHeight="1" collapsed="1">
      <c r="A36" s="652"/>
      <c r="B36" s="652"/>
      <c r="C36" s="653"/>
      <c r="D36" s="653"/>
      <c r="E36" s="653"/>
      <c r="F36" s="653"/>
      <c r="G36" s="870"/>
      <c r="H36" s="653"/>
      <c r="I36" s="653"/>
      <c r="J36" s="653"/>
      <c r="K36" s="653"/>
      <c r="L36" s="870"/>
      <c r="M36" s="653"/>
      <c r="N36" s="653"/>
      <c r="O36" s="653"/>
      <c r="P36" s="653"/>
      <c r="Q36" s="870"/>
      <c r="R36" s="653"/>
      <c r="S36" s="653"/>
      <c r="T36" s="653"/>
      <c r="U36" s="653"/>
      <c r="V36" s="870"/>
      <c r="W36" s="653"/>
      <c r="X36" s="653"/>
      <c r="Y36" s="653"/>
      <c r="Z36" s="653"/>
      <c r="AA36" s="870"/>
      <c r="AB36" s="653"/>
      <c r="AC36" s="653"/>
      <c r="AD36" s="653"/>
      <c r="AE36" s="653"/>
      <c r="AF36" s="870"/>
      <c r="AG36" s="653"/>
      <c r="AH36" s="653"/>
      <c r="AI36" s="653"/>
      <c r="AJ36" s="653"/>
      <c r="AK36" s="870"/>
      <c r="AL36" s="653"/>
      <c r="AM36" s="653"/>
      <c r="AN36" s="653"/>
      <c r="AO36" s="653"/>
      <c r="AP36" s="870"/>
      <c r="AQ36" s="653"/>
      <c r="AR36" s="653"/>
      <c r="AS36" s="653"/>
      <c r="AT36" s="653"/>
      <c r="AU36" s="870"/>
      <c r="AV36" s="653"/>
      <c r="AW36" s="653"/>
      <c r="AX36" s="653"/>
      <c r="AY36" s="653"/>
      <c r="AZ36" s="870"/>
      <c r="BA36" s="653"/>
      <c r="BB36" s="653"/>
      <c r="BC36" s="653"/>
      <c r="BD36" s="653"/>
      <c r="BE36" s="870"/>
      <c r="BF36" s="653"/>
      <c r="BG36" s="653"/>
      <c r="BH36" s="653"/>
      <c r="BI36" s="653"/>
      <c r="BJ36" s="870"/>
      <c r="BK36" s="653"/>
      <c r="BL36" s="653"/>
      <c r="BM36" s="653"/>
      <c r="BN36" s="653"/>
      <c r="BO36" s="870"/>
      <c r="BP36" s="653"/>
      <c r="BQ36" s="653"/>
      <c r="BR36" s="653"/>
      <c r="BS36" s="653"/>
      <c r="BT36" s="870"/>
      <c r="BU36" s="653"/>
      <c r="BV36" s="653"/>
      <c r="BW36" s="653"/>
      <c r="BX36" s="653"/>
      <c r="BY36" s="870"/>
      <c r="BZ36" s="653"/>
      <c r="CA36" s="653"/>
      <c r="CB36" s="653"/>
      <c r="CC36" s="653"/>
      <c r="CD36" s="870"/>
      <c r="CE36" s="653"/>
      <c r="CF36" s="653"/>
      <c r="CG36" s="653"/>
      <c r="CH36" s="653"/>
      <c r="CI36" s="870"/>
      <c r="CJ36" s="653"/>
      <c r="CK36" s="653"/>
      <c r="CL36" s="653"/>
      <c r="CM36" s="653"/>
      <c r="CN36" s="870"/>
      <c r="CO36" s="653"/>
      <c r="CP36" s="653"/>
      <c r="CQ36" s="871"/>
      <c r="CR36" s="653"/>
    </row>
    <row r="37" spans="1:96">
      <c r="A37" s="411" t="s">
        <v>570</v>
      </c>
      <c r="B37" s="411"/>
      <c r="C37" s="411"/>
      <c r="D37" s="411"/>
      <c r="E37" s="411"/>
      <c r="F37" s="411"/>
      <c r="G37" s="845"/>
      <c r="H37" s="411"/>
      <c r="I37" s="411"/>
      <c r="J37" s="411"/>
      <c r="K37" s="411"/>
      <c r="L37" s="845"/>
      <c r="M37" s="872"/>
      <c r="N37" s="872"/>
      <c r="O37" s="411"/>
      <c r="P37" s="872"/>
      <c r="Q37" s="845"/>
      <c r="R37" s="411"/>
      <c r="S37" s="411"/>
      <c r="T37" s="872"/>
      <c r="U37" s="872"/>
      <c r="V37" s="845"/>
      <c r="W37" s="872"/>
      <c r="X37" s="872"/>
      <c r="Y37" s="411"/>
      <c r="Z37" s="411"/>
      <c r="AA37" s="845"/>
      <c r="AB37" s="411"/>
      <c r="AC37" s="411"/>
      <c r="AD37" s="411"/>
      <c r="AE37" s="411"/>
      <c r="AF37" s="845"/>
      <c r="AG37" s="411"/>
      <c r="AH37" s="411"/>
      <c r="AI37" s="411"/>
      <c r="AJ37" s="411"/>
      <c r="AK37" s="845"/>
      <c r="AL37" s="411"/>
      <c r="AM37" s="411"/>
      <c r="AN37" s="411"/>
      <c r="AO37" s="411"/>
      <c r="AP37" s="845"/>
      <c r="AQ37" s="411"/>
      <c r="AR37" s="411"/>
      <c r="AS37" s="411"/>
      <c r="AT37" s="411"/>
      <c r="AU37" s="845"/>
      <c r="AV37" s="411"/>
      <c r="AW37" s="411"/>
      <c r="AX37" s="411"/>
      <c r="AY37" s="411"/>
      <c r="AZ37" s="845"/>
      <c r="BA37" s="411"/>
      <c r="BB37" s="411"/>
      <c r="BC37" s="411"/>
      <c r="BD37" s="411"/>
      <c r="BE37" s="845"/>
      <c r="BF37" s="411"/>
      <c r="BG37" s="411"/>
      <c r="BH37" s="411"/>
      <c r="BI37" s="411"/>
      <c r="BJ37" s="845"/>
      <c r="BK37" s="411"/>
      <c r="BL37" s="411"/>
      <c r="BM37" s="411"/>
      <c r="BN37" s="411"/>
      <c r="BO37" s="845"/>
      <c r="BP37" s="411"/>
      <c r="BQ37" s="411"/>
      <c r="BR37" s="411"/>
      <c r="BS37" s="411"/>
      <c r="BT37" s="845"/>
      <c r="BU37" s="411"/>
      <c r="BV37" s="411"/>
      <c r="BW37" s="411"/>
      <c r="BX37" s="411"/>
      <c r="BY37" s="845"/>
      <c r="BZ37" s="411"/>
      <c r="CA37" s="411"/>
      <c r="CB37" s="411"/>
      <c r="CC37" s="411"/>
      <c r="CD37" s="845"/>
      <c r="CE37" s="411"/>
      <c r="CF37" s="411"/>
      <c r="CG37" s="411"/>
      <c r="CH37" s="411"/>
      <c r="CI37" s="845"/>
      <c r="CJ37" s="411"/>
      <c r="CK37" s="411"/>
      <c r="CL37" s="411"/>
      <c r="CM37" s="411"/>
      <c r="CN37" s="845"/>
      <c r="CO37" s="1801"/>
      <c r="CP37" s="414"/>
      <c r="CQ37" s="415"/>
      <c r="CR37" s="414"/>
    </row>
    <row r="38" spans="1:96" collapsed="1">
      <c r="A38" s="279" t="s">
        <v>7</v>
      </c>
      <c r="B38" s="279"/>
      <c r="C38" s="279"/>
      <c r="D38" s="279"/>
      <c r="E38" s="279"/>
      <c r="F38" s="279"/>
      <c r="G38" s="864"/>
      <c r="H38" s="279"/>
      <c r="I38" s="279"/>
      <c r="J38" s="279"/>
      <c r="K38" s="279"/>
      <c r="L38" s="864"/>
      <c r="M38" s="279"/>
      <c r="N38" s="279"/>
      <c r="O38" s="279"/>
      <c r="P38" s="279"/>
      <c r="Q38" s="864"/>
      <c r="R38" s="279"/>
      <c r="S38" s="279"/>
      <c r="T38" s="279"/>
      <c r="U38" s="279"/>
      <c r="V38" s="864"/>
      <c r="W38" s="279"/>
      <c r="X38" s="279"/>
      <c r="Y38" s="279"/>
      <c r="Z38" s="279"/>
      <c r="AA38" s="864"/>
      <c r="AB38" s="279"/>
      <c r="AC38" s="279"/>
      <c r="AD38" s="279"/>
      <c r="AE38" s="279"/>
      <c r="AF38" s="864"/>
      <c r="AG38" s="279"/>
      <c r="AH38" s="279"/>
      <c r="AI38" s="279"/>
      <c r="AJ38" s="279"/>
      <c r="AK38" s="864"/>
      <c r="AL38" s="279"/>
      <c r="AM38" s="279"/>
      <c r="AN38" s="279"/>
      <c r="AO38" s="279"/>
      <c r="AP38" s="864"/>
      <c r="AQ38" s="279"/>
      <c r="AR38" s="279"/>
      <c r="AS38" s="279"/>
      <c r="AT38" s="279"/>
      <c r="AU38" s="864"/>
      <c r="AV38" s="279"/>
      <c r="AW38" s="279"/>
      <c r="AX38" s="279"/>
      <c r="AY38" s="279"/>
      <c r="AZ38" s="864"/>
      <c r="BA38" s="279"/>
      <c r="BB38" s="279"/>
      <c r="BC38" s="279"/>
      <c r="BD38" s="279"/>
      <c r="BE38" s="864"/>
      <c r="BF38" s="279"/>
      <c r="BG38" s="279"/>
      <c r="BH38" s="279"/>
      <c r="BI38" s="279"/>
      <c r="BJ38" s="864"/>
      <c r="BK38" s="279"/>
      <c r="BL38" s="279"/>
      <c r="BM38" s="279"/>
      <c r="BN38" s="279"/>
      <c r="BO38" s="864"/>
      <c r="BP38" s="279"/>
      <c r="BQ38" s="279"/>
      <c r="BR38" s="279"/>
      <c r="BS38" s="279"/>
      <c r="BT38" s="864"/>
      <c r="BU38" s="279"/>
      <c r="BV38" s="279"/>
      <c r="BW38" s="279"/>
      <c r="BX38" s="279"/>
      <c r="BY38" s="864"/>
      <c r="BZ38" s="279"/>
      <c r="CA38" s="279"/>
      <c r="CB38" s="279"/>
      <c r="CC38" s="279"/>
      <c r="CD38" s="864"/>
      <c r="CE38" s="279"/>
      <c r="CF38" s="279"/>
      <c r="CG38" s="279"/>
      <c r="CH38" s="279"/>
      <c r="CI38" s="864"/>
      <c r="CJ38" s="279"/>
      <c r="CK38" s="279"/>
      <c r="CL38" s="279"/>
      <c r="CM38" s="279"/>
      <c r="CN38" s="864"/>
      <c r="CO38" s="1802"/>
      <c r="CP38" s="279"/>
      <c r="CQ38" s="280"/>
      <c r="CR38" s="279"/>
    </row>
    <row r="39" spans="1:96">
      <c r="A39" s="687" t="s">
        <v>167</v>
      </c>
      <c r="B39" s="687"/>
      <c r="C39" s="700">
        <f>0.46*C43</f>
        <v>151.32574</v>
      </c>
      <c r="D39" s="700">
        <f>0.46*D43</f>
        <v>158.28278</v>
      </c>
      <c r="E39" s="700">
        <f>0.53*E43</f>
        <v>154.82254</v>
      </c>
      <c r="F39" s="700">
        <f>591.508-SUM(C39:E39)</f>
        <v>127.07694000000004</v>
      </c>
      <c r="G39" s="705">
        <f>SUM(C39:F39)</f>
        <v>591.50800000000004</v>
      </c>
      <c r="H39" s="700">
        <f>0.46*H43</f>
        <v>123.23216000000001</v>
      </c>
      <c r="I39" s="700">
        <f>0.5*I43</f>
        <v>158.67950000000002</v>
      </c>
      <c r="J39" s="700">
        <f>0.55*J43</f>
        <v>156.68345000000002</v>
      </c>
      <c r="K39" s="700">
        <f>583.8-SUM(H39:J39)</f>
        <v>145.20488999999986</v>
      </c>
      <c r="L39" s="705">
        <f>SUM(H39:K39)</f>
        <v>583.79999999999995</v>
      </c>
      <c r="M39" s="700">
        <v>146.5</v>
      </c>
      <c r="N39" s="700">
        <v>157.4</v>
      </c>
      <c r="O39" s="700">
        <v>156.80000000000001</v>
      </c>
      <c r="P39" s="700">
        <f>640.2-SUM(M39:O39)</f>
        <v>179.50000000000006</v>
      </c>
      <c r="Q39" s="705">
        <f>SUM(M39:P39)</f>
        <v>640.20000000000005</v>
      </c>
      <c r="R39" s="700">
        <v>183.5</v>
      </c>
      <c r="S39" s="700">
        <v>182.5</v>
      </c>
      <c r="T39" s="700">
        <v>195.9</v>
      </c>
      <c r="U39" s="700">
        <f>770.6-SUM(R39:T39)</f>
        <v>208.70000000000005</v>
      </c>
      <c r="V39" s="705">
        <f>SUM(R39:U39)</f>
        <v>770.6</v>
      </c>
      <c r="W39" s="700">
        <v>218</v>
      </c>
      <c r="X39" s="700">
        <v>242.4</v>
      </c>
      <c r="Y39" s="700">
        <v>228.3</v>
      </c>
      <c r="Z39" s="700">
        <v>251</v>
      </c>
      <c r="AA39" s="705">
        <f>SUM(W39:Z39)</f>
        <v>939.7</v>
      </c>
      <c r="AB39" s="700">
        <v>313.7</v>
      </c>
      <c r="AC39" s="700">
        <v>305.89999999999998</v>
      </c>
      <c r="AD39" s="700">
        <v>310.3</v>
      </c>
      <c r="AE39" s="700">
        <v>336.9</v>
      </c>
      <c r="AF39" s="705">
        <f>SUM(AB39:AE39)</f>
        <v>1266.7999999999997</v>
      </c>
      <c r="AG39" s="700">
        <v>298.3</v>
      </c>
      <c r="AH39" s="700">
        <v>383.5</v>
      </c>
      <c r="AI39" s="700">
        <v>400.7</v>
      </c>
      <c r="AJ39" s="700">
        <v>426.4</v>
      </c>
      <c r="AK39" s="705">
        <f>SUM(AG39:AJ39)</f>
        <v>1508.9</v>
      </c>
      <c r="AL39" s="700">
        <v>396.9</v>
      </c>
      <c r="AM39" s="700">
        <v>383.8</v>
      </c>
      <c r="AN39" s="700">
        <v>429.6</v>
      </c>
      <c r="AO39" s="700">
        <v>422.6</v>
      </c>
      <c r="AP39" s="705">
        <f>SUM(AL39:AO39)</f>
        <v>1632.9</v>
      </c>
      <c r="AQ39" s="700">
        <v>326.10000000000002</v>
      </c>
      <c r="AR39" s="700">
        <v>317.8</v>
      </c>
      <c r="AS39" s="700">
        <v>354.6</v>
      </c>
      <c r="AT39" s="700">
        <v>384.2</v>
      </c>
      <c r="AU39" s="705">
        <f>SUM(AQ39:AT39)</f>
        <v>1382.7</v>
      </c>
      <c r="AV39" s="700">
        <v>408.4</v>
      </c>
      <c r="AW39" s="700">
        <v>455.2</v>
      </c>
      <c r="AX39" s="700">
        <v>493.9</v>
      </c>
      <c r="AY39" s="700">
        <v>492.9</v>
      </c>
      <c r="AZ39" s="705">
        <f>SUM(AV39:AY39)</f>
        <v>1850.4</v>
      </c>
      <c r="BA39" s="715">
        <v>506.3</v>
      </c>
      <c r="BB39" s="715">
        <v>492.5</v>
      </c>
      <c r="BC39" s="715">
        <v>507.6</v>
      </c>
      <c r="BD39" s="715">
        <v>554.9</v>
      </c>
      <c r="BE39" s="705">
        <f>BE91*BE$43</f>
        <v>2062.3734626020623</v>
      </c>
      <c r="BF39" s="715">
        <v>503.1</v>
      </c>
      <c r="BG39" s="715">
        <v>551.29999999999995</v>
      </c>
      <c r="BH39" s="715">
        <v>558.29999999999995</v>
      </c>
      <c r="BI39" s="715">
        <v>583.6</v>
      </c>
      <c r="BJ39" s="705">
        <f>BJ91*BJ$43</f>
        <v>2195.5144383507759</v>
      </c>
      <c r="BK39" s="715">
        <v>500.3</v>
      </c>
      <c r="BL39" s="715">
        <v>525.4</v>
      </c>
      <c r="BM39" s="715">
        <v>534.1</v>
      </c>
      <c r="BN39" s="715">
        <v>574.6</v>
      </c>
      <c r="BO39" s="705">
        <f>BO91*BO$43</f>
        <v>2133.6908102443736</v>
      </c>
      <c r="BP39" s="715">
        <v>536.6</v>
      </c>
      <c r="BQ39" s="715">
        <v>579.20000000000005</v>
      </c>
      <c r="BR39" s="715">
        <v>582</v>
      </c>
      <c r="BS39" s="715">
        <v>616.6</v>
      </c>
      <c r="BT39" s="705">
        <f>BT91*BT$43</f>
        <v>2314.16171168458</v>
      </c>
      <c r="BU39" s="715">
        <v>644.6</v>
      </c>
      <c r="BV39" s="715">
        <v>669.2</v>
      </c>
      <c r="BW39" s="715">
        <v>698.1</v>
      </c>
      <c r="BX39" s="715">
        <v>776.2</v>
      </c>
      <c r="BY39" s="705">
        <f>SUM(BU39:BX39)</f>
        <v>2788.1000000000004</v>
      </c>
      <c r="BZ39" s="715">
        <v>806.5</v>
      </c>
      <c r="CA39" s="715">
        <v>820</v>
      </c>
      <c r="CB39" s="715">
        <v>851.9</v>
      </c>
      <c r="CC39" s="715">
        <f>3400.135-SUM(BZ39:CB39)</f>
        <v>921.73500000000013</v>
      </c>
      <c r="CD39" s="705">
        <f>SUM(BZ39:CC39)</f>
        <v>3400.1350000000002</v>
      </c>
      <c r="CE39" s="715">
        <v>975.8</v>
      </c>
      <c r="CF39" s="715">
        <v>1026.7</v>
      </c>
      <c r="CG39" s="715">
        <v>1063.0999999999999</v>
      </c>
      <c r="CH39" s="715">
        <f>4216.5-SUM(CE39:CG39)</f>
        <v>1150.9000000000001</v>
      </c>
      <c r="CI39" s="705">
        <f>SUM(CE39:CH39)</f>
        <v>4216.5</v>
      </c>
      <c r="CJ39" s="715">
        <f t="shared" ref="CJ39:CJ41" si="73">CJ91*CJ$43</f>
        <v>1179.9088151762626</v>
      </c>
      <c r="CK39" s="715">
        <f t="shared" ref="CK39:CL39" si="74">CK91*CK$43</f>
        <v>1218.2717988499444</v>
      </c>
      <c r="CL39" s="715">
        <f t="shared" si="74"/>
        <v>1265.7217438553153</v>
      </c>
      <c r="CM39" s="715">
        <f t="shared" ref="CM39:CM41" si="75">CM91*CM$43</f>
        <v>1322.1151289597938</v>
      </c>
      <c r="CN39" s="705"/>
      <c r="CO39" s="1803"/>
      <c r="CP39" s="710"/>
      <c r="CQ39" s="750"/>
      <c r="CR39" s="710"/>
    </row>
    <row r="40" spans="1:96">
      <c r="A40" s="687" t="s">
        <v>168</v>
      </c>
      <c r="B40" s="687"/>
      <c r="C40" s="700">
        <f>0.3*C43</f>
        <v>98.690699999999993</v>
      </c>
      <c r="D40" s="700">
        <f>0.23*D43</f>
        <v>79.141390000000001</v>
      </c>
      <c r="E40" s="700">
        <f>0.25*E43</f>
        <v>73.029499999999999</v>
      </c>
      <c r="F40" s="700">
        <f>326.499-SUM(C40:E40)</f>
        <v>75.637410000000045</v>
      </c>
      <c r="G40" s="705">
        <f>SUM(C40:F40)</f>
        <v>326.49900000000002</v>
      </c>
      <c r="H40" s="700">
        <f>0.28*H43</f>
        <v>75.010880000000014</v>
      </c>
      <c r="I40" s="700">
        <f>0.26*I43</f>
        <v>82.513340000000014</v>
      </c>
      <c r="J40" s="700">
        <f>0.24*J43</f>
        <v>68.370959999999997</v>
      </c>
      <c r="K40" s="700">
        <f>317.6-SUM(H40:J40)</f>
        <v>91.704820000000012</v>
      </c>
      <c r="L40" s="705">
        <f>SUM(H40:K40)</f>
        <v>317.60000000000002</v>
      </c>
      <c r="M40" s="700">
        <v>89.3</v>
      </c>
      <c r="N40" s="700">
        <v>86.6</v>
      </c>
      <c r="O40" s="700">
        <v>84.3</v>
      </c>
      <c r="P40" s="700">
        <f>370.2-SUM(M40:O40)</f>
        <v>110</v>
      </c>
      <c r="Q40" s="705">
        <f>SUM(M40:P40)</f>
        <v>370.2</v>
      </c>
      <c r="R40" s="700">
        <v>144.1</v>
      </c>
      <c r="S40" s="700">
        <v>134.30000000000001</v>
      </c>
      <c r="T40" s="700">
        <v>123.5</v>
      </c>
      <c r="U40" s="700">
        <f>541.5-SUM(R40:T40)</f>
        <v>139.60000000000002</v>
      </c>
      <c r="V40" s="705">
        <f>SUM(R40:U40)</f>
        <v>541.5</v>
      </c>
      <c r="W40" s="700">
        <v>150.5</v>
      </c>
      <c r="X40" s="700">
        <v>145.1</v>
      </c>
      <c r="Y40" s="700">
        <v>153</v>
      </c>
      <c r="Z40" s="700">
        <v>164.1</v>
      </c>
      <c r="AA40" s="705">
        <f>SUM(W40:Z40)</f>
        <v>612.70000000000005</v>
      </c>
      <c r="AB40" s="700">
        <v>207</v>
      </c>
      <c r="AC40" s="700">
        <v>181.3</v>
      </c>
      <c r="AD40" s="700">
        <v>165.4</v>
      </c>
      <c r="AE40" s="700">
        <v>216.4</v>
      </c>
      <c r="AF40" s="705">
        <f>SUM(AB40:AE40)</f>
        <v>770.1</v>
      </c>
      <c r="AG40" s="700">
        <v>215.7</v>
      </c>
      <c r="AH40" s="700">
        <v>210.9</v>
      </c>
      <c r="AI40" s="700">
        <v>281.5</v>
      </c>
      <c r="AJ40" s="700">
        <v>318.3</v>
      </c>
      <c r="AK40" s="705">
        <f>SUM(AG40:AJ40)</f>
        <v>1026.4000000000001</v>
      </c>
      <c r="AL40" s="700">
        <v>323.89999999999998</v>
      </c>
      <c r="AM40" s="700">
        <v>294.60000000000002</v>
      </c>
      <c r="AN40" s="700">
        <v>296</v>
      </c>
      <c r="AO40" s="700">
        <v>314.7</v>
      </c>
      <c r="AP40" s="705">
        <f>SUM(AL40:AO40)</f>
        <v>1229.2</v>
      </c>
      <c r="AQ40" s="700">
        <v>277.5</v>
      </c>
      <c r="AR40" s="700">
        <v>215.2</v>
      </c>
      <c r="AS40" s="700">
        <v>196.2</v>
      </c>
      <c r="AT40" s="700">
        <v>240</v>
      </c>
      <c r="AU40" s="705">
        <f>SUM(AQ40:AT40)</f>
        <v>928.9</v>
      </c>
      <c r="AV40" s="700">
        <v>275.39999999999998</v>
      </c>
      <c r="AW40" s="700">
        <v>277.39999999999998</v>
      </c>
      <c r="AX40" s="700">
        <v>299.5</v>
      </c>
      <c r="AY40" s="700">
        <v>324.5</v>
      </c>
      <c r="AZ40" s="705">
        <f>SUM(AV40:AY40)</f>
        <v>1176.8</v>
      </c>
      <c r="BA40" s="715">
        <v>315.10000000000002</v>
      </c>
      <c r="BB40" s="715">
        <v>311.7</v>
      </c>
      <c r="BC40" s="715">
        <v>293.10000000000002</v>
      </c>
      <c r="BD40" s="715">
        <v>381</v>
      </c>
      <c r="BE40" s="705">
        <f>BE92*BE$43</f>
        <v>1297.7694657725704</v>
      </c>
      <c r="BF40" s="715">
        <v>330.7</v>
      </c>
      <c r="BG40" s="715">
        <v>325</v>
      </c>
      <c r="BH40" s="715">
        <v>290</v>
      </c>
      <c r="BI40" s="715">
        <v>348.9</v>
      </c>
      <c r="BJ40" s="705">
        <f>BJ92*BJ$43</f>
        <v>1294.9972049436719</v>
      </c>
      <c r="BK40" s="715">
        <v>297.5</v>
      </c>
      <c r="BL40" s="715">
        <v>262.8</v>
      </c>
      <c r="BM40" s="715">
        <v>263.8</v>
      </c>
      <c r="BN40" s="715">
        <v>305.10000000000002</v>
      </c>
      <c r="BO40" s="705">
        <f>BO92*BO$43</f>
        <v>1128.5870526788633</v>
      </c>
      <c r="BP40" s="715">
        <v>299.8</v>
      </c>
      <c r="BQ40" s="715">
        <v>296.60000000000002</v>
      </c>
      <c r="BR40" s="715">
        <v>275.2</v>
      </c>
      <c r="BS40" s="715">
        <v>308.2</v>
      </c>
      <c r="BT40" s="705">
        <f>BT92*BT$43</f>
        <v>1180.1396627360605</v>
      </c>
      <c r="BU40" s="715">
        <v>307.10000000000002</v>
      </c>
      <c r="BV40" s="715">
        <v>323.89999999999998</v>
      </c>
      <c r="BW40" s="715">
        <v>350.1</v>
      </c>
      <c r="BX40" s="715">
        <v>355.4</v>
      </c>
      <c r="BY40" s="705">
        <f t="shared" ref="BY40:BY43" si="76">SUM(BU40:BX40)</f>
        <v>1336.5</v>
      </c>
      <c r="BZ40" s="715">
        <v>385.6</v>
      </c>
      <c r="CA40" s="715">
        <v>380.6</v>
      </c>
      <c r="CB40" s="715">
        <v>400.2</v>
      </c>
      <c r="CC40" s="715">
        <f>1619.153-SUM(BZ40:CB40)</f>
        <v>452.75299999999993</v>
      </c>
      <c r="CD40" s="705">
        <f t="shared" ref="CD40:CD43" si="77">SUM(BZ40:CC40)</f>
        <v>1619.153</v>
      </c>
      <c r="CE40" s="715">
        <v>459.1</v>
      </c>
      <c r="CF40" s="715">
        <v>475.9</v>
      </c>
      <c r="CG40" s="715">
        <v>500.8</v>
      </c>
      <c r="CH40" s="715">
        <f>1985.1-SUM(CE40:CG40)</f>
        <v>549.29999999999995</v>
      </c>
      <c r="CI40" s="705">
        <f t="shared" ref="CI40:CI43" si="78">SUM(CE40:CH40)</f>
        <v>1985.1</v>
      </c>
      <c r="CJ40" s="715">
        <f t="shared" si="73"/>
        <v>573.26405996772144</v>
      </c>
      <c r="CK40" s="715">
        <f t="shared" ref="CK40:CL40" si="79">CK92*CK$43</f>
        <v>604.10089277232146</v>
      </c>
      <c r="CL40" s="715">
        <f t="shared" si="79"/>
        <v>632.64178563332803</v>
      </c>
      <c r="CM40" s="715">
        <f t="shared" si="75"/>
        <v>670.50352963209809</v>
      </c>
      <c r="CN40" s="705"/>
      <c r="CO40" s="1803"/>
      <c r="CP40" s="710"/>
      <c r="CQ40" s="750"/>
      <c r="CR40" s="710"/>
    </row>
    <row r="41" spans="1:96">
      <c r="A41" s="687" t="s">
        <v>169</v>
      </c>
      <c r="B41" s="687"/>
      <c r="C41" s="700">
        <f>0.24*C43</f>
        <v>78.952559999999991</v>
      </c>
      <c r="D41" s="700">
        <f>0.31*D43</f>
        <v>106.66883</v>
      </c>
      <c r="E41" s="700">
        <f>0.22*E43</f>
        <v>64.265959999999993</v>
      </c>
      <c r="F41" s="700">
        <f>311.713-SUM(C41:E41)</f>
        <v>61.825650000000053</v>
      </c>
      <c r="G41" s="705">
        <f>SUM(C41:F41)</f>
        <v>311.71300000000002</v>
      </c>
      <c r="H41" s="700">
        <f>0.26*H43</f>
        <v>69.652960000000007</v>
      </c>
      <c r="I41" s="700">
        <f>0.24*I43</f>
        <v>76.166160000000005</v>
      </c>
      <c r="J41" s="700">
        <f>0.21*J43</f>
        <v>59.824590000000001</v>
      </c>
      <c r="K41" s="700">
        <f>263.4-SUM(H41:J41)</f>
        <v>57.756289999999979</v>
      </c>
      <c r="L41" s="705">
        <f>SUM(H41:K41)</f>
        <v>263.39999999999998</v>
      </c>
      <c r="M41" s="700">
        <v>61.1</v>
      </c>
      <c r="N41" s="700">
        <v>76.099999999999994</v>
      </c>
      <c r="O41" s="700">
        <v>78</v>
      </c>
      <c r="P41" s="700">
        <f>284.3-SUM(M41:O41)</f>
        <v>69.100000000000023</v>
      </c>
      <c r="Q41" s="705">
        <f>SUM(M41:P41)</f>
        <v>284.3</v>
      </c>
      <c r="R41" s="700">
        <v>95.7</v>
      </c>
      <c r="S41" s="700">
        <v>93.3</v>
      </c>
      <c r="T41" s="700">
        <v>84.3</v>
      </c>
      <c r="U41" s="700">
        <f>354.5-SUM(R41:T41)</f>
        <v>81.199999999999989</v>
      </c>
      <c r="V41" s="705">
        <f>SUM(R41:U41)</f>
        <v>354.5</v>
      </c>
      <c r="W41" s="700">
        <v>104.4</v>
      </c>
      <c r="X41" s="700">
        <v>108.5</v>
      </c>
      <c r="Y41" s="700">
        <v>105.7</v>
      </c>
      <c r="Z41" s="700">
        <v>95.3</v>
      </c>
      <c r="AA41" s="705">
        <f>SUM(W41:Z41)</f>
        <v>413.90000000000003</v>
      </c>
      <c r="AB41" s="700">
        <v>134.80000000000001</v>
      </c>
      <c r="AC41" s="700">
        <v>148.30000000000001</v>
      </c>
      <c r="AD41" s="700">
        <f>AD43-SUM(AD39:AD40,AD42)</f>
        <v>126.49099999999987</v>
      </c>
      <c r="AE41" s="700">
        <f>AE43-SUM(AE39:AE40,AE42)</f>
        <v>128.875</v>
      </c>
      <c r="AF41" s="705">
        <f>SUM(AB41:AE41)</f>
        <v>538.46599999999989</v>
      </c>
      <c r="AG41" s="700">
        <v>135.4</v>
      </c>
      <c r="AH41" s="700">
        <v>151.19999999999999</v>
      </c>
      <c r="AI41" s="700">
        <v>169.5</v>
      </c>
      <c r="AJ41" s="700">
        <v>166.5</v>
      </c>
      <c r="AK41" s="705">
        <f>SUM(AG41:AJ41)</f>
        <v>622.6</v>
      </c>
      <c r="AL41" s="700">
        <v>169.6</v>
      </c>
      <c r="AM41" s="700">
        <v>208.5</v>
      </c>
      <c r="AN41" s="700">
        <v>161.69999999999999</v>
      </c>
      <c r="AO41" s="700">
        <v>178</v>
      </c>
      <c r="AP41" s="705">
        <f>SUM(AL41:AO41)</f>
        <v>717.8</v>
      </c>
      <c r="AQ41" s="700">
        <v>182.8</v>
      </c>
      <c r="AR41" s="700">
        <v>171.7</v>
      </c>
      <c r="AS41" s="700">
        <v>146.69999999999999</v>
      </c>
      <c r="AT41" s="700">
        <v>133.1</v>
      </c>
      <c r="AU41" s="705">
        <f>SUM(AQ41:AT41)</f>
        <v>634.29999999999995</v>
      </c>
      <c r="AV41" s="700">
        <v>174.9</v>
      </c>
      <c r="AW41" s="700">
        <v>210.4</v>
      </c>
      <c r="AX41" s="700">
        <v>196.9</v>
      </c>
      <c r="AY41" s="700">
        <v>190.6</v>
      </c>
      <c r="AZ41" s="705">
        <f>SUM(AV41:AY41)</f>
        <v>772.80000000000007</v>
      </c>
      <c r="BA41" s="715">
        <v>206.3</v>
      </c>
      <c r="BB41" s="715">
        <v>219</v>
      </c>
      <c r="BC41" s="715">
        <v>212.5</v>
      </c>
      <c r="BD41" s="715">
        <v>216.3</v>
      </c>
      <c r="BE41" s="705">
        <f>BE93*BE$43</f>
        <v>856.1537472915162</v>
      </c>
      <c r="BF41" s="715">
        <v>211.4</v>
      </c>
      <c r="BG41" s="715">
        <v>248.1</v>
      </c>
      <c r="BH41" s="715">
        <v>232.3</v>
      </c>
      <c r="BI41" s="715">
        <v>220.9</v>
      </c>
      <c r="BJ41" s="705">
        <f>BJ93*BJ$43</f>
        <v>913.08996739398856</v>
      </c>
      <c r="BK41" s="715">
        <v>210.1</v>
      </c>
      <c r="BL41" s="715">
        <v>222.3</v>
      </c>
      <c r="BM41" s="715">
        <v>197.2</v>
      </c>
      <c r="BN41" s="715">
        <v>162</v>
      </c>
      <c r="BO41" s="705">
        <f>BO93*BO$43</f>
        <v>792.92175435911031</v>
      </c>
      <c r="BP41" s="715">
        <v>163.69999999999999</v>
      </c>
      <c r="BQ41" s="715">
        <v>192.4</v>
      </c>
      <c r="BR41" s="715">
        <v>148.19999999999999</v>
      </c>
      <c r="BS41" s="715">
        <v>148.5</v>
      </c>
      <c r="BT41" s="705">
        <f>BT93*BT$43</f>
        <v>652.6988013077289</v>
      </c>
      <c r="BU41" s="715">
        <v>157.5</v>
      </c>
      <c r="BV41" s="715">
        <v>169.1</v>
      </c>
      <c r="BW41" s="715">
        <v>169.6</v>
      </c>
      <c r="BX41" s="715">
        <v>174.8</v>
      </c>
      <c r="BY41" s="705">
        <f t="shared" si="76"/>
        <v>671</v>
      </c>
      <c r="BZ41" s="715">
        <v>191.2</v>
      </c>
      <c r="CA41" s="715">
        <v>198.1</v>
      </c>
      <c r="CB41" s="715">
        <v>211.9</v>
      </c>
      <c r="CC41" s="715">
        <f>835.142-SUM(BZ41:CB41)</f>
        <v>233.94200000000012</v>
      </c>
      <c r="CD41" s="705">
        <f t="shared" si="77"/>
        <v>835.14200000000005</v>
      </c>
      <c r="CE41" s="715">
        <v>246.7</v>
      </c>
      <c r="CF41" s="715">
        <v>269.60000000000002</v>
      </c>
      <c r="CG41" s="715">
        <v>277.2</v>
      </c>
      <c r="CH41" s="715">
        <f>1099.9-SUM(CE41:CG41)</f>
        <v>306.40000000000009</v>
      </c>
      <c r="CI41" s="705">
        <f t="shared" si="78"/>
        <v>1099.9000000000001</v>
      </c>
      <c r="CJ41" s="715">
        <f t="shared" si="73"/>
        <v>325.7741248560161</v>
      </c>
      <c r="CK41" s="715">
        <f t="shared" ref="CK41:CL41" si="80">CK93*CK$43</f>
        <v>352.62902089756221</v>
      </c>
      <c r="CL41" s="715">
        <f t="shared" si="80"/>
        <v>363.11225395364602</v>
      </c>
      <c r="CM41" s="715">
        <f t="shared" si="75"/>
        <v>387.18581966363115</v>
      </c>
      <c r="CN41" s="705"/>
      <c r="CO41" s="1803"/>
      <c r="CP41" s="710"/>
      <c r="CQ41" s="750"/>
      <c r="CR41" s="710"/>
    </row>
    <row r="42" spans="1:96">
      <c r="A42" s="687" t="s">
        <v>165</v>
      </c>
      <c r="B42" s="687"/>
      <c r="C42" s="700">
        <v>0</v>
      </c>
      <c r="D42" s="700">
        <v>0</v>
      </c>
      <c r="E42" s="700">
        <v>0</v>
      </c>
      <c r="F42" s="700">
        <v>0</v>
      </c>
      <c r="G42" s="768">
        <v>0</v>
      </c>
      <c r="H42" s="700">
        <v>0</v>
      </c>
      <c r="I42" s="700">
        <v>0</v>
      </c>
      <c r="J42" s="700">
        <v>0</v>
      </c>
      <c r="K42" s="700">
        <v>0</v>
      </c>
      <c r="L42" s="768">
        <v>0</v>
      </c>
      <c r="M42" s="700">
        <v>0</v>
      </c>
      <c r="N42" s="700">
        <v>0</v>
      </c>
      <c r="O42" s="700">
        <v>0</v>
      </c>
      <c r="P42" s="700">
        <v>0</v>
      </c>
      <c r="Q42" s="768">
        <v>0</v>
      </c>
      <c r="R42" s="700">
        <v>0</v>
      </c>
      <c r="S42" s="700">
        <v>0</v>
      </c>
      <c r="T42" s="700">
        <v>0</v>
      </c>
      <c r="U42" s="700">
        <v>0</v>
      </c>
      <c r="V42" s="768">
        <v>0</v>
      </c>
      <c r="W42" s="700">
        <v>0</v>
      </c>
      <c r="X42" s="700">
        <v>0</v>
      </c>
      <c r="Y42" s="700">
        <v>0</v>
      </c>
      <c r="Z42" s="700">
        <v>0</v>
      </c>
      <c r="AA42" s="705">
        <f>SUM(W42:Z42)</f>
        <v>0</v>
      </c>
      <c r="AB42" s="700">
        <v>0</v>
      </c>
      <c r="AC42" s="700">
        <v>0</v>
      </c>
      <c r="AD42" s="700">
        <v>0</v>
      </c>
      <c r="AE42" s="700">
        <v>0</v>
      </c>
      <c r="AF42" s="705">
        <f>SUM(AB42:AE42)</f>
        <v>0</v>
      </c>
      <c r="AG42" s="700">
        <v>0</v>
      </c>
      <c r="AH42" s="700">
        <v>0</v>
      </c>
      <c r="AI42" s="700">
        <v>0</v>
      </c>
      <c r="AJ42" s="700">
        <v>0</v>
      </c>
      <c r="AK42" s="768">
        <v>0</v>
      </c>
      <c r="AL42" s="700">
        <v>0</v>
      </c>
      <c r="AM42" s="700">
        <v>0</v>
      </c>
      <c r="AN42" s="700">
        <v>0</v>
      </c>
      <c r="AO42" s="700">
        <v>0</v>
      </c>
      <c r="AP42" s="768">
        <v>0</v>
      </c>
      <c r="AQ42" s="700">
        <v>0</v>
      </c>
      <c r="AR42" s="700">
        <v>0</v>
      </c>
      <c r="AS42" s="700">
        <v>0</v>
      </c>
      <c r="AT42" s="700">
        <v>0</v>
      </c>
      <c r="AU42" s="768">
        <v>0</v>
      </c>
      <c r="AV42" s="700">
        <v>0</v>
      </c>
      <c r="AW42" s="700">
        <v>0</v>
      </c>
      <c r="AX42" s="700">
        <v>0</v>
      </c>
      <c r="AY42" s="700">
        <v>0</v>
      </c>
      <c r="AZ42" s="768">
        <v>0</v>
      </c>
      <c r="BA42" s="700">
        <v>0</v>
      </c>
      <c r="BB42" s="700">
        <v>0</v>
      </c>
      <c r="BC42" s="700">
        <v>0</v>
      </c>
      <c r="BD42" s="700">
        <v>0</v>
      </c>
      <c r="BE42" s="768">
        <v>0</v>
      </c>
      <c r="BF42" s="700">
        <v>0</v>
      </c>
      <c r="BG42" s="700">
        <v>0</v>
      </c>
      <c r="BH42" s="700">
        <v>0</v>
      </c>
      <c r="BI42" s="700">
        <v>0</v>
      </c>
      <c r="BJ42" s="768">
        <v>0</v>
      </c>
      <c r="BK42" s="700">
        <v>0</v>
      </c>
      <c r="BL42" s="700">
        <v>0</v>
      </c>
      <c r="BM42" s="700">
        <v>0</v>
      </c>
      <c r="BN42" s="700">
        <v>0</v>
      </c>
      <c r="BO42" s="768">
        <v>0</v>
      </c>
      <c r="BP42" s="700">
        <v>0</v>
      </c>
      <c r="BQ42" s="700">
        <v>0</v>
      </c>
      <c r="BR42" s="700">
        <v>0</v>
      </c>
      <c r="BS42" s="700">
        <v>0</v>
      </c>
      <c r="BT42" s="768">
        <v>0</v>
      </c>
      <c r="BU42" s="700">
        <v>0</v>
      </c>
      <c r="BV42" s="700">
        <v>0</v>
      </c>
      <c r="BW42" s="700">
        <v>0</v>
      </c>
      <c r="BX42" s="700">
        <v>0</v>
      </c>
      <c r="BY42" s="768">
        <f t="shared" si="76"/>
        <v>0</v>
      </c>
      <c r="BZ42" s="700">
        <v>0</v>
      </c>
      <c r="CA42" s="700">
        <v>0</v>
      </c>
      <c r="CB42" s="700">
        <v>0</v>
      </c>
      <c r="CC42" s="700">
        <v>0</v>
      </c>
      <c r="CD42" s="768">
        <f t="shared" si="77"/>
        <v>0</v>
      </c>
      <c r="CE42" s="700">
        <v>0</v>
      </c>
      <c r="CF42" s="700">
        <v>0</v>
      </c>
      <c r="CG42" s="700">
        <v>0</v>
      </c>
      <c r="CH42" s="700">
        <v>0</v>
      </c>
      <c r="CI42" s="768">
        <f t="shared" si="78"/>
        <v>0</v>
      </c>
      <c r="CJ42" s="700">
        <v>0</v>
      </c>
      <c r="CK42" s="700">
        <v>0</v>
      </c>
      <c r="CL42" s="700">
        <v>0</v>
      </c>
      <c r="CM42" s="700">
        <v>0</v>
      </c>
      <c r="CN42" s="768"/>
      <c r="CO42" s="1804"/>
      <c r="CP42" s="710"/>
      <c r="CQ42" s="750"/>
      <c r="CR42" s="710"/>
    </row>
    <row r="43" spans="1:96">
      <c r="A43" s="714" t="s">
        <v>526</v>
      </c>
      <c r="B43" s="714"/>
      <c r="C43" s="707">
        <f>Model!C24</f>
        <v>328.96899999999999</v>
      </c>
      <c r="D43" s="707">
        <f>Model!D24</f>
        <v>344.09300000000002</v>
      </c>
      <c r="E43" s="707">
        <f>Model!E24</f>
        <v>292.11799999999999</v>
      </c>
      <c r="F43" s="707">
        <f>Model!F24</f>
        <v>264.53999999999996</v>
      </c>
      <c r="G43" s="708">
        <f>SUM(C43:F43)</f>
        <v>1229.72</v>
      </c>
      <c r="H43" s="707">
        <f>Model!H24</f>
        <v>267.89600000000002</v>
      </c>
      <c r="I43" s="707">
        <f>Model!I24</f>
        <v>317.35900000000004</v>
      </c>
      <c r="J43" s="707">
        <f>Model!J24</f>
        <v>284.87900000000002</v>
      </c>
      <c r="K43" s="707">
        <f>Model!K24</f>
        <v>294.654</v>
      </c>
      <c r="L43" s="708">
        <f>SUM(H43:K43)</f>
        <v>1164.788</v>
      </c>
      <c r="M43" s="707">
        <f>Model!M24</f>
        <v>296.89499999999998</v>
      </c>
      <c r="N43" s="707">
        <f>Model!N24</f>
        <v>320.14599999999996</v>
      </c>
      <c r="O43" s="707">
        <f>Model!O24</f>
        <v>319.12199999999996</v>
      </c>
      <c r="P43" s="707">
        <f>Model!P24</f>
        <v>358.5859999999999</v>
      </c>
      <c r="Q43" s="708">
        <f>SUM(M43:P43)</f>
        <v>1294.7489999999998</v>
      </c>
      <c r="R43" s="707">
        <f>Model!R24</f>
        <v>423.28100000000001</v>
      </c>
      <c r="S43" s="707">
        <f>Model!S24</f>
        <v>410.08499999999998</v>
      </c>
      <c r="T43" s="707">
        <f>Model!T24</f>
        <v>403.71299999999997</v>
      </c>
      <c r="U43" s="707">
        <f>Model!U24</f>
        <v>429.50199999999995</v>
      </c>
      <c r="V43" s="708">
        <f>SUM(R43:U43)</f>
        <v>1666.5809999999999</v>
      </c>
      <c r="W43" s="707">
        <f>Model!W24</f>
        <v>472.88200000000001</v>
      </c>
      <c r="X43" s="707">
        <f>Model!X24</f>
        <v>496.029</v>
      </c>
      <c r="Y43" s="707">
        <f>Model!Y24</f>
        <v>487.03899999999999</v>
      </c>
      <c r="Z43" s="707">
        <f>Model!Z24</f>
        <v>510.37100000000009</v>
      </c>
      <c r="AA43" s="708">
        <f>SUM(W43:Z43)</f>
        <v>1966.3210000000001</v>
      </c>
      <c r="AB43" s="707">
        <f>Model!AB24</f>
        <v>655.47800000000007</v>
      </c>
      <c r="AC43" s="707">
        <f>Model!AC24</f>
        <v>635.45600000000002</v>
      </c>
      <c r="AD43" s="707">
        <f>Model!AD24</f>
        <v>602.19099999999992</v>
      </c>
      <c r="AE43" s="707">
        <f>Model!AE24</f>
        <v>682.17499999999995</v>
      </c>
      <c r="AF43" s="708">
        <f>SUM(AB43:AE43)</f>
        <v>2575.3000000000002</v>
      </c>
      <c r="AG43" s="707">
        <f>Model!AG24</f>
        <v>649.40700000000004</v>
      </c>
      <c r="AH43" s="707">
        <f>Model!AH24</f>
        <v>745.577</v>
      </c>
      <c r="AI43" s="707">
        <f>Model!AI24</f>
        <v>851.68599999999992</v>
      </c>
      <c r="AJ43" s="707">
        <f>Model!AJ24</f>
        <v>911.21100000000001</v>
      </c>
      <c r="AK43" s="708">
        <f>SUM(AG43:AJ43)</f>
        <v>3157.8810000000003</v>
      </c>
      <c r="AL43" s="707">
        <f>Model!AL24</f>
        <v>890.44499999999994</v>
      </c>
      <c r="AM43" s="707">
        <f>Model!AM24</f>
        <v>886.88600000000008</v>
      </c>
      <c r="AN43" s="707">
        <f>Model!AN24</f>
        <v>887.25699999999995</v>
      </c>
      <c r="AO43" s="707">
        <f>Model!AO24</f>
        <v>915.30100000000004</v>
      </c>
      <c r="AP43" s="708">
        <f>SUM(AL43:AO43)</f>
        <v>3579.8890000000001</v>
      </c>
      <c r="AQ43" s="707">
        <f>Model!AQ24</f>
        <v>786.39</v>
      </c>
      <c r="AR43" s="707">
        <f>Model!AR24</f>
        <v>704.673</v>
      </c>
      <c r="AS43" s="707">
        <f>Model!AS24</f>
        <v>697.50700000000006</v>
      </c>
      <c r="AT43" s="707">
        <f>Model!AT24</f>
        <v>757.28300000000002</v>
      </c>
      <c r="AU43" s="708">
        <f>SUM(AQ43:AT43)</f>
        <v>2945.8530000000001</v>
      </c>
      <c r="AV43" s="707">
        <f>Model!AV24</f>
        <v>858.7</v>
      </c>
      <c r="AW43" s="707">
        <f>Model!AW24</f>
        <v>943.03499999999997</v>
      </c>
      <c r="AX43" s="707">
        <f>Model!AX24</f>
        <v>990.31900000000007</v>
      </c>
      <c r="AY43" s="707">
        <f>Model!AY24</f>
        <v>1007.9459999999999</v>
      </c>
      <c r="AZ43" s="764">
        <f>SUM(AV43:AY43)</f>
        <v>3800</v>
      </c>
      <c r="BA43" s="707">
        <f>Model!BA24</f>
        <v>1027.7060000000001</v>
      </c>
      <c r="BB43" s="707">
        <f>Model!BB24</f>
        <v>1023.179</v>
      </c>
      <c r="BC43" s="707">
        <f>Model!BC24</f>
        <v>1013.212</v>
      </c>
      <c r="BD43" s="707">
        <f>Model!BD24</f>
        <v>1152.1609999999998</v>
      </c>
      <c r="BE43" s="708">
        <f>SUM(BA43:BD43)</f>
        <v>4216.2579999999998</v>
      </c>
      <c r="BF43" s="707">
        <f>Model!BF24</f>
        <v>1045.22</v>
      </c>
      <c r="BG43" s="707">
        <f>Model!BG24</f>
        <v>1124.4490000000001</v>
      </c>
      <c r="BH43" s="707">
        <f>Model!BH24</f>
        <v>1080.58</v>
      </c>
      <c r="BI43" s="707">
        <f>Model!BI24</f>
        <v>1153.4279999999999</v>
      </c>
      <c r="BJ43" s="708">
        <f>SUM(BF43:BI43)</f>
        <v>4403.6769999999997</v>
      </c>
      <c r="BK43" s="707">
        <f>Model!BK24</f>
        <v>1007.8729999999999</v>
      </c>
      <c r="BL43" s="707">
        <f>Model!BL24</f>
        <v>1010.549</v>
      </c>
      <c r="BM43" s="707">
        <f>Model!BM24</f>
        <v>995.11900000000003</v>
      </c>
      <c r="BN43" s="707">
        <f>Model!BN24</f>
        <v>1041.6989999999998</v>
      </c>
      <c r="BO43" s="708">
        <f>SUM(BK43:BN43)</f>
        <v>4055.24</v>
      </c>
      <c r="BP43" s="707">
        <f>Model!BP24</f>
        <v>1000.12</v>
      </c>
      <c r="BQ43" s="707">
        <f>Model!BQ24</f>
        <v>1068.2080000000001</v>
      </c>
      <c r="BR43" s="707">
        <f>Model!BR24</f>
        <v>1005.4090000000001</v>
      </c>
      <c r="BS43" s="707">
        <f>Model!BS24</f>
        <v>1073.328</v>
      </c>
      <c r="BT43" s="708">
        <f>SUM(BP43:BS43)</f>
        <v>4147.0650000000005</v>
      </c>
      <c r="BU43" s="707">
        <f>Model!BU24</f>
        <v>1109.181</v>
      </c>
      <c r="BV43" s="707">
        <f>Model!BV24</f>
        <v>1162.1579999999999</v>
      </c>
      <c r="BW43" s="707">
        <f>Model!BW24</f>
        <v>1217.768</v>
      </c>
      <c r="BX43" s="707">
        <f>Model!BX24</f>
        <v>1306.4039999999998</v>
      </c>
      <c r="BY43" s="708">
        <f t="shared" si="76"/>
        <v>4795.5109999999995</v>
      </c>
      <c r="BZ43" s="707">
        <f>Model!BZ24</f>
        <v>1383.335</v>
      </c>
      <c r="CA43" s="707">
        <f>Model!CA24</f>
        <v>1398.7090000000001</v>
      </c>
      <c r="CB43" s="707">
        <f>Model!CB24</f>
        <v>1463.9670000000001</v>
      </c>
      <c r="CC43" s="707">
        <f>Model!CC24</f>
        <v>1608.4189999999999</v>
      </c>
      <c r="CD43" s="708">
        <f t="shared" si="77"/>
        <v>5854.43</v>
      </c>
      <c r="CE43" s="707">
        <f>Model!CE24</f>
        <v>1681.646</v>
      </c>
      <c r="CF43" s="707">
        <f>Model!CF24</f>
        <v>1772.19</v>
      </c>
      <c r="CG43" s="707">
        <f>Model!CG24</f>
        <v>1841.0740000000001</v>
      </c>
      <c r="CH43" s="707">
        <f>Model!CH24</f>
        <v>2006.595</v>
      </c>
      <c r="CI43" s="708">
        <f t="shared" si="78"/>
        <v>7301.5050000000001</v>
      </c>
      <c r="CJ43" s="707">
        <f>Model!CJ24</f>
        <v>2078.9470000000001</v>
      </c>
      <c r="CK43" s="707">
        <f>Model!CK24</f>
        <v>2175.0017125198278</v>
      </c>
      <c r="CL43" s="707">
        <f>Model!CL24</f>
        <v>2261.4757834422894</v>
      </c>
      <c r="CM43" s="707">
        <f>Model!CM24</f>
        <v>2379.804478255523</v>
      </c>
      <c r="CN43" s="708"/>
      <c r="CO43" s="1299"/>
      <c r="CP43" s="707"/>
      <c r="CQ43" s="876"/>
      <c r="CR43" s="707"/>
    </row>
    <row r="44" spans="1:96">
      <c r="A44" s="714"/>
      <c r="B44" s="714"/>
      <c r="C44" s="707"/>
      <c r="D44" s="707"/>
      <c r="E44" s="707"/>
      <c r="F44" s="707"/>
      <c r="G44" s="708"/>
      <c r="H44" s="707"/>
      <c r="I44" s="707"/>
      <c r="J44" s="707"/>
      <c r="K44" s="707"/>
      <c r="L44" s="708"/>
      <c r="M44" s="707"/>
      <c r="N44" s="707"/>
      <c r="O44" s="707"/>
      <c r="P44" s="707"/>
      <c r="Q44" s="708"/>
      <c r="R44" s="707"/>
      <c r="S44" s="707"/>
      <c r="T44" s="707"/>
      <c r="U44" s="707"/>
      <c r="V44" s="708"/>
      <c r="W44" s="707"/>
      <c r="X44" s="707"/>
      <c r="Y44" s="707"/>
      <c r="Z44" s="707"/>
      <c r="AA44" s="708"/>
      <c r="AB44" s="707"/>
      <c r="AC44" s="707"/>
      <c r="AD44" s="707"/>
      <c r="AE44" s="707"/>
      <c r="AF44" s="708"/>
      <c r="AG44" s="707"/>
      <c r="AH44" s="707"/>
      <c r="AI44" s="707"/>
      <c r="AJ44" s="707"/>
      <c r="AK44" s="708"/>
      <c r="AL44" s="707"/>
      <c r="AM44" s="707"/>
      <c r="AN44" s="707"/>
      <c r="AO44" s="707"/>
      <c r="AP44" s="708"/>
      <c r="AQ44" s="707"/>
      <c r="AR44" s="707"/>
      <c r="AS44" s="707"/>
      <c r="AT44" s="707"/>
      <c r="AU44" s="708"/>
      <c r="AV44" s="707"/>
      <c r="AW44" s="707"/>
      <c r="AX44" s="707"/>
      <c r="AY44" s="707"/>
      <c r="AZ44" s="708"/>
      <c r="BA44" s="707"/>
      <c r="BB44" s="707"/>
      <c r="BC44" s="707"/>
      <c r="BD44" s="707"/>
      <c r="BE44" s="708"/>
      <c r="BF44" s="707"/>
      <c r="BG44" s="707"/>
      <c r="BH44" s="707"/>
      <c r="BI44" s="707"/>
      <c r="BJ44" s="708"/>
      <c r="BK44" s="707"/>
      <c r="BL44" s="707"/>
      <c r="BM44" s="1418"/>
      <c r="BN44" s="707"/>
      <c r="BO44" s="708"/>
      <c r="BP44" s="707"/>
      <c r="BQ44" s="707"/>
      <c r="BR44" s="707"/>
      <c r="BS44" s="707"/>
      <c r="BT44" s="708"/>
      <c r="BU44" s="707"/>
      <c r="BV44" s="707"/>
      <c r="BW44" s="707"/>
      <c r="BX44" s="707"/>
      <c r="BY44" s="708"/>
      <c r="BZ44" s="707"/>
      <c r="CA44" s="707"/>
      <c r="CB44" s="707"/>
      <c r="CC44" s="707"/>
      <c r="CD44" s="708"/>
      <c r="CE44" s="707"/>
      <c r="CF44" s="707"/>
      <c r="CG44" s="707"/>
      <c r="CH44" s="707"/>
      <c r="CI44" s="708"/>
      <c r="CJ44" s="707"/>
      <c r="CK44" s="707"/>
      <c r="CL44" s="707"/>
      <c r="CM44" s="707"/>
      <c r="CN44" s="708"/>
      <c r="CO44" s="1299"/>
      <c r="CP44" s="707"/>
      <c r="CQ44" s="876"/>
      <c r="CR44" s="707"/>
    </row>
    <row r="45" spans="1:96">
      <c r="A45" s="714"/>
      <c r="B45" s="714"/>
      <c r="C45" s="707"/>
      <c r="D45" s="707"/>
      <c r="E45" s="707"/>
      <c r="F45" s="707"/>
      <c r="G45" s="708"/>
      <c r="H45" s="707"/>
      <c r="I45" s="707"/>
      <c r="J45" s="707"/>
      <c r="K45" s="707"/>
      <c r="L45" s="708"/>
      <c r="M45" s="707"/>
      <c r="N45" s="707"/>
      <c r="O45" s="707"/>
      <c r="P45" s="707"/>
      <c r="Q45" s="708"/>
      <c r="R45" s="707"/>
      <c r="S45" s="707"/>
      <c r="T45" s="707"/>
      <c r="U45" s="707"/>
      <c r="V45" s="708"/>
      <c r="W45" s="707"/>
      <c r="X45" s="707"/>
      <c r="Y45" s="707"/>
      <c r="Z45" s="707"/>
      <c r="AA45" s="708"/>
      <c r="AB45" s="707"/>
      <c r="AC45" s="707"/>
      <c r="AD45" s="707"/>
      <c r="AE45" s="707"/>
      <c r="AF45" s="708"/>
      <c r="AG45" s="707"/>
      <c r="AH45" s="707"/>
      <c r="AI45" s="707"/>
      <c r="AJ45" s="707"/>
      <c r="AK45" s="708"/>
      <c r="AL45" s="707"/>
      <c r="AM45" s="707"/>
      <c r="AN45" s="707"/>
      <c r="AO45" s="707"/>
      <c r="AP45" s="708"/>
      <c r="AQ45" s="707"/>
      <c r="AR45" s="707"/>
      <c r="AS45" s="707"/>
      <c r="AT45" s="707"/>
      <c r="AU45" s="708"/>
      <c r="AV45" s="707"/>
      <c r="AW45" s="707"/>
      <c r="AX45" s="707"/>
      <c r="AY45" s="707"/>
      <c r="AZ45" s="708"/>
      <c r="BA45" s="1011"/>
      <c r="BB45" s="707"/>
      <c r="BC45" s="707"/>
      <c r="BD45" s="707"/>
      <c r="BE45" s="708"/>
      <c r="BF45" s="707"/>
      <c r="BG45" s="707"/>
      <c r="BH45" s="707"/>
      <c r="BI45" s="1352"/>
      <c r="BJ45" s="708"/>
      <c r="BK45" s="707"/>
      <c r="BL45" s="707"/>
      <c r="BM45" s="707"/>
      <c r="BN45" s="707"/>
      <c r="BO45" s="708"/>
      <c r="BP45" s="707"/>
      <c r="BQ45" s="707"/>
      <c r="BR45" s="707"/>
      <c r="BS45" s="707"/>
      <c r="BT45" s="708"/>
      <c r="BU45" s="707"/>
      <c r="BV45" s="707"/>
      <c r="BW45" s="707"/>
      <c r="BX45" s="707"/>
      <c r="BY45" s="708"/>
      <c r="BZ45" s="707"/>
      <c r="CA45" s="707"/>
      <c r="CB45" s="707"/>
      <c r="CC45" s="707"/>
      <c r="CD45" s="708"/>
      <c r="CE45" s="707"/>
      <c r="CF45" s="707"/>
      <c r="CG45" s="707"/>
      <c r="CH45" s="707"/>
      <c r="CI45" s="708"/>
      <c r="CJ45" s="707"/>
      <c r="CK45" s="707"/>
      <c r="CL45" s="707"/>
      <c r="CM45" s="707"/>
      <c r="CN45" s="708"/>
      <c r="CO45" s="1299"/>
      <c r="CP45" s="707"/>
      <c r="CQ45" s="876"/>
      <c r="CR45" s="707"/>
    </row>
    <row r="46" spans="1:96">
      <c r="A46" s="865" t="s">
        <v>92</v>
      </c>
      <c r="B46" s="865"/>
      <c r="C46" s="553"/>
      <c r="D46" s="553"/>
      <c r="E46" s="553"/>
      <c r="F46" s="553"/>
      <c r="G46" s="557"/>
      <c r="H46" s="553"/>
      <c r="I46" s="553"/>
      <c r="J46" s="553"/>
      <c r="K46" s="553"/>
      <c r="L46" s="557"/>
      <c r="M46" s="553"/>
      <c r="N46" s="553"/>
      <c r="O46" s="553"/>
      <c r="P46" s="553"/>
      <c r="Q46" s="557"/>
      <c r="R46" s="553"/>
      <c r="S46" s="553"/>
      <c r="T46" s="553"/>
      <c r="U46" s="553"/>
      <c r="V46" s="557"/>
      <c r="W46" s="553"/>
      <c r="X46" s="553"/>
      <c r="Y46" s="553"/>
      <c r="Z46" s="553"/>
      <c r="AA46" s="557"/>
      <c r="AB46" s="553"/>
      <c r="AC46" s="553"/>
      <c r="AD46" s="553"/>
      <c r="AE46" s="553"/>
      <c r="AF46" s="557"/>
      <c r="AG46" s="553"/>
      <c r="AH46" s="553"/>
      <c r="AI46" s="553"/>
      <c r="AJ46" s="553"/>
      <c r="AK46" s="557"/>
      <c r="AL46" s="553"/>
      <c r="AM46" s="553"/>
      <c r="AN46" s="553"/>
      <c r="AO46" s="553"/>
      <c r="AP46" s="557"/>
      <c r="AQ46" s="553"/>
      <c r="AR46" s="553"/>
      <c r="AS46" s="553"/>
      <c r="AT46" s="553"/>
      <c r="AU46" s="557"/>
      <c r="AV46" s="553"/>
      <c r="AW46" s="553"/>
      <c r="AX46" s="553"/>
      <c r="AY46" s="553"/>
      <c r="AZ46" s="557"/>
      <c r="BA46" s="553"/>
      <c r="BB46" s="553"/>
      <c r="BC46" s="553"/>
      <c r="BD46" s="553"/>
      <c r="BE46" s="557"/>
      <c r="BF46" s="553"/>
      <c r="BG46" s="553"/>
      <c r="BH46" s="553"/>
      <c r="BI46" s="553"/>
      <c r="BJ46" s="557"/>
      <c r="BK46" s="553"/>
      <c r="BL46" s="553"/>
      <c r="BM46" s="553"/>
      <c r="BN46" s="553"/>
      <c r="BO46" s="557"/>
      <c r="BP46" s="553"/>
      <c r="BQ46" s="553"/>
      <c r="BR46" s="553"/>
      <c r="BS46" s="553"/>
      <c r="BT46" s="557"/>
      <c r="BU46" s="553"/>
      <c r="BV46" s="553"/>
      <c r="BW46" s="553"/>
      <c r="BX46" s="553"/>
      <c r="BY46" s="557"/>
      <c r="BZ46" s="553"/>
      <c r="CA46" s="553"/>
      <c r="CB46" s="553"/>
      <c r="CC46" s="553"/>
      <c r="CD46" s="557"/>
      <c r="CE46" s="553"/>
      <c r="CF46" s="553"/>
      <c r="CG46" s="553"/>
      <c r="CH46" s="553"/>
      <c r="CI46" s="557"/>
      <c r="CJ46" s="553"/>
      <c r="CK46" s="553"/>
      <c r="CL46" s="553"/>
      <c r="CM46" s="553"/>
      <c r="CN46" s="557"/>
      <c r="CO46" s="555"/>
      <c r="CP46" s="200"/>
      <c r="CQ46" s="201"/>
      <c r="CR46" s="200"/>
    </row>
    <row r="47" spans="1:96">
      <c r="A47" s="560" t="s">
        <v>168</v>
      </c>
      <c r="B47" s="560"/>
      <c r="C47" s="650"/>
      <c r="D47" s="650"/>
      <c r="E47" s="650"/>
      <c r="F47" s="650"/>
      <c r="G47" s="649"/>
      <c r="H47" s="650"/>
      <c r="I47" s="650"/>
      <c r="J47" s="650"/>
      <c r="K47" s="650"/>
      <c r="L47" s="649"/>
      <c r="M47" s="650"/>
      <c r="N47" s="650"/>
      <c r="O47" s="650"/>
      <c r="P47" s="650"/>
      <c r="Q47" s="597">
        <v>50.8</v>
      </c>
      <c r="R47" s="650"/>
      <c r="S47" s="650"/>
      <c r="T47" s="650"/>
      <c r="U47" s="650"/>
      <c r="V47" s="597">
        <v>50.2</v>
      </c>
      <c r="W47" s="1153">
        <v>8.3000000000000007</v>
      </c>
      <c r="X47" s="650"/>
      <c r="Y47" s="650"/>
      <c r="Z47" s="650"/>
      <c r="AA47" s="597">
        <v>15</v>
      </c>
      <c r="AB47" s="650"/>
      <c r="AC47" s="650"/>
      <c r="AD47" s="650"/>
      <c r="AE47" s="650"/>
      <c r="AF47" s="597">
        <v>-13.8</v>
      </c>
      <c r="AG47" s="1153">
        <f>27.2-AH47</f>
        <v>13.5</v>
      </c>
      <c r="AH47" s="1153">
        <v>13.7</v>
      </c>
      <c r="AI47" s="1153">
        <v>13.8</v>
      </c>
      <c r="AJ47" s="1153">
        <f>65.9-AI47-AH47-AG47</f>
        <v>24.900000000000006</v>
      </c>
      <c r="AK47" s="597">
        <f>SUM(AG47:AJ47)</f>
        <v>65.900000000000006</v>
      </c>
      <c r="AL47" s="1153">
        <f>54.5-AM47</f>
        <v>25.4</v>
      </c>
      <c r="AM47" s="1153">
        <v>29.1</v>
      </c>
      <c r="AN47" s="1153">
        <v>28.7</v>
      </c>
      <c r="AO47" s="1153">
        <f>69.3+13.2-AN47-AM47-AL47</f>
        <v>-0.70000000000000284</v>
      </c>
      <c r="AP47" s="597">
        <f>SUM(AL47:AO47)</f>
        <v>82.5</v>
      </c>
      <c r="AQ47" s="1153">
        <v>-2.5</v>
      </c>
      <c r="AR47" s="1153">
        <v>-19.899999999999999</v>
      </c>
      <c r="AS47" s="1153">
        <v>-14.8</v>
      </c>
      <c r="AT47" s="1153">
        <v>16</v>
      </c>
      <c r="AU47" s="597">
        <f>SUM(AQ47:AT47)</f>
        <v>-21.200000000000003</v>
      </c>
      <c r="AV47" s="1153">
        <v>18.100000000000001</v>
      </c>
      <c r="AW47" s="1153">
        <v>-1.4</v>
      </c>
      <c r="AX47" s="1154">
        <f>-AX48</f>
        <v>-12.650643993853723</v>
      </c>
      <c r="AY47" s="1154">
        <f>AT40*AY72</f>
        <v>-13.949737087167504</v>
      </c>
      <c r="AZ47" s="597">
        <f>SUM(AV47:AY47)</f>
        <v>-9.9003810810212247</v>
      </c>
      <c r="BA47" s="1153">
        <v>-9.1</v>
      </c>
      <c r="BB47" s="1153">
        <v>16</v>
      </c>
      <c r="BC47" s="1154">
        <v>15</v>
      </c>
      <c r="BD47" s="1154">
        <v>5</v>
      </c>
      <c r="BE47" s="597">
        <f>SUM(BA47:BD47)</f>
        <v>26.9</v>
      </c>
      <c r="BF47" s="1154">
        <v>6</v>
      </c>
      <c r="BG47" s="1154">
        <v>-6.3</v>
      </c>
      <c r="BH47" s="1154">
        <f>-18.5+-1.9+6-0.6</f>
        <v>-14.999999999999998</v>
      </c>
      <c r="BI47" s="1154">
        <v>-9</v>
      </c>
      <c r="BJ47" s="597">
        <f>SUM(BF47:BI47)</f>
        <v>-24.299999999999997</v>
      </c>
      <c r="BK47" s="1154">
        <v>4</v>
      </c>
      <c r="BL47" s="1154">
        <v>-5</v>
      </c>
      <c r="BM47" s="1154">
        <f>4.7+1.5-6</f>
        <v>0.20000000000000018</v>
      </c>
      <c r="BN47" s="1154">
        <f>5.8-SUM(BK47:BM47)+3.7-23.4</f>
        <v>-13.099999999999998</v>
      </c>
      <c r="BO47" s="597">
        <f>SUM(BK47:BN47)</f>
        <v>-13.899999999999999</v>
      </c>
      <c r="BP47" s="1154">
        <f>0.1</f>
        <v>0.1</v>
      </c>
      <c r="BQ47" s="1154">
        <f>12.6</f>
        <v>12.6</v>
      </c>
      <c r="BR47" s="1154">
        <f>10.2+0.7</f>
        <v>10.899999999999999</v>
      </c>
      <c r="BS47" s="1154">
        <f>25+10.1-BR47-BQ47-BP47</f>
        <v>11.500000000000004</v>
      </c>
      <c r="BT47" s="597">
        <f>SUM(BP47:BS47)</f>
        <v>35.1</v>
      </c>
      <c r="BU47" s="1154">
        <f>-17.3+12.1+3.2</f>
        <v>-2.0000000000000009</v>
      </c>
      <c r="BV47" s="1154">
        <f>-33.9+14.5+2.1</f>
        <v>-17.299999999999997</v>
      </c>
      <c r="BW47" s="1154">
        <f>-40.6+7+0.2</f>
        <v>-33.4</v>
      </c>
      <c r="BX47" s="1154">
        <f>-132.7+40.1-BW47-BV47-BU47</f>
        <v>-39.9</v>
      </c>
      <c r="BY47" s="597">
        <f>SUM(BU47:BX47)</f>
        <v>-92.6</v>
      </c>
      <c r="BZ47" s="1154">
        <f>-35+1.2+1.9</f>
        <v>-31.9</v>
      </c>
      <c r="CA47" s="1154">
        <f>-17.1+0.3+3.3</f>
        <v>-13.5</v>
      </c>
      <c r="CB47" s="1154">
        <f>+-0.4-11.7</f>
        <v>-12.1</v>
      </c>
      <c r="CC47" s="1154">
        <f>+-90.2+18.7-17.9-SUM(BZ47:CB47)</f>
        <v>-31.900000000000006</v>
      </c>
      <c r="CD47" s="597"/>
      <c r="CE47" s="1154">
        <f>+-3.9-16.4+7.9+5</f>
        <v>-7.3999999999999968</v>
      </c>
      <c r="CF47" s="1154">
        <f>+-7.6-15.6+2.1+5.8</f>
        <v>-15.299999999999997</v>
      </c>
      <c r="CG47" s="1154">
        <f>+-0.4-11.7</f>
        <v>-12.1</v>
      </c>
      <c r="CH47" s="1154">
        <f>+-2.3+13.7-46.1+7.1</f>
        <v>-27.6</v>
      </c>
      <c r="CI47" s="597"/>
      <c r="CJ47" s="1154">
        <f t="shared" ref="CJ47:CL48" si="81">CE40*CJ72</f>
        <v>59.34996469147422</v>
      </c>
      <c r="CK47" s="1154">
        <f t="shared" si="81"/>
        <v>27.158419165757852</v>
      </c>
      <c r="CL47" s="1154">
        <f t="shared" si="81"/>
        <v>15.894985225289492</v>
      </c>
      <c r="CM47" s="1154">
        <f t="shared" ref="CM47:CM48" si="82">CH40*CM72</f>
        <v>17.330985558297421</v>
      </c>
      <c r="CN47" s="597"/>
      <c r="CO47" s="1805"/>
      <c r="CP47" s="200"/>
      <c r="CQ47" s="201"/>
      <c r="CR47" s="200"/>
    </row>
    <row r="48" spans="1:96">
      <c r="A48" s="560" t="s">
        <v>169</v>
      </c>
      <c r="B48" s="560"/>
      <c r="C48" s="650"/>
      <c r="D48" s="650"/>
      <c r="E48" s="650"/>
      <c r="F48" s="650"/>
      <c r="G48" s="649"/>
      <c r="H48" s="650"/>
      <c r="I48" s="650"/>
      <c r="J48" s="650"/>
      <c r="K48" s="650"/>
      <c r="L48" s="649"/>
      <c r="M48" s="650"/>
      <c r="N48" s="650"/>
      <c r="O48" s="650"/>
      <c r="P48" s="650"/>
      <c r="Q48" s="597">
        <v>7.6</v>
      </c>
      <c r="R48" s="650"/>
      <c r="S48" s="650"/>
      <c r="T48" s="650"/>
      <c r="U48" s="650"/>
      <c r="V48" s="597">
        <v>18</v>
      </c>
      <c r="W48" s="1153">
        <v>3</v>
      </c>
      <c r="X48" s="650"/>
      <c r="Y48" s="650"/>
      <c r="Z48" s="650"/>
      <c r="AA48" s="597">
        <v>3</v>
      </c>
      <c r="AB48" s="650"/>
      <c r="AC48" s="650"/>
      <c r="AD48" s="650"/>
      <c r="AE48" s="650"/>
      <c r="AF48" s="597">
        <v>-21.2</v>
      </c>
      <c r="AG48" s="1153">
        <f>-1-AH48</f>
        <v>0.19999999999999996</v>
      </c>
      <c r="AH48" s="1153">
        <v>-1.2</v>
      </c>
      <c r="AI48" s="1153">
        <v>-2.7</v>
      </c>
      <c r="AJ48" s="1153">
        <f>0-AI48-AH48-AG48</f>
        <v>3.7</v>
      </c>
      <c r="AK48" s="597">
        <f>SUM(AG48:AJ48)</f>
        <v>0</v>
      </c>
      <c r="AL48" s="1153">
        <f>21.9-AM48</f>
        <v>6.4999999999999982</v>
      </c>
      <c r="AM48" s="1153">
        <v>15.4</v>
      </c>
      <c r="AN48" s="1153">
        <v>10.1</v>
      </c>
      <c r="AO48" s="1153">
        <f>39.6-AN48-AM48-AL48</f>
        <v>7.6000000000000014</v>
      </c>
      <c r="AP48" s="597">
        <f>SUM(AL48:AO48)</f>
        <v>39.6</v>
      </c>
      <c r="AQ48" s="1153">
        <v>14.9</v>
      </c>
      <c r="AR48" s="1153">
        <v>3.6</v>
      </c>
      <c r="AS48" s="1153">
        <v>8.4</v>
      </c>
      <c r="AT48" s="1153">
        <v>6</v>
      </c>
      <c r="AU48" s="597">
        <f>SUM(AQ48:AT48)</f>
        <v>32.9</v>
      </c>
      <c r="AV48" s="1153">
        <v>1.7</v>
      </c>
      <c r="AW48" s="1153">
        <v>8.3000000000000007</v>
      </c>
      <c r="AX48" s="1154">
        <f>AS41*AX73</f>
        <v>12.650643993853723</v>
      </c>
      <c r="AY48" s="1154">
        <f>AT41*AY73</f>
        <v>11.564905938619468</v>
      </c>
      <c r="AZ48" s="597">
        <f>SUM(AV48:AY48)</f>
        <v>34.215549932473195</v>
      </c>
      <c r="BA48" s="1153">
        <v>3.2</v>
      </c>
      <c r="BB48" s="1153">
        <v>12</v>
      </c>
      <c r="BC48" s="1154">
        <v>9.4</v>
      </c>
      <c r="BD48" s="1154">
        <v>10</v>
      </c>
      <c r="BE48" s="597">
        <f>SUM(BA48:BD48)</f>
        <v>34.6</v>
      </c>
      <c r="BF48" s="1154">
        <v>12</v>
      </c>
      <c r="BG48" s="1154">
        <f>BB41*BG73</f>
        <v>2.313632755917217</v>
      </c>
      <c r="BH48" s="1154">
        <f>0.5-1.3+1.7</f>
        <v>0.89999999999999991</v>
      </c>
      <c r="BI48" s="1154">
        <v>-6</v>
      </c>
      <c r="BJ48" s="597">
        <f>SUM(BF48:BI48)</f>
        <v>9.2136327559172173</v>
      </c>
      <c r="BK48" s="1154">
        <v>-20</v>
      </c>
      <c r="BL48" s="1154">
        <v>-11.2</v>
      </c>
      <c r="BM48" s="1154">
        <f>-20.5-2.2+9-1.7</f>
        <v>-15.399999999999999</v>
      </c>
      <c r="BN48" s="1154">
        <f>-63.6-5.6+32.3-SUM(BK48:BM48)-7.3</f>
        <v>2.3999999999999888</v>
      </c>
      <c r="BO48" s="597">
        <f>SUM(BK48:BN48)</f>
        <v>-44.2</v>
      </c>
      <c r="BP48" s="1154">
        <f>-13.2-3.3+2.8</f>
        <v>-13.7</v>
      </c>
      <c r="BQ48" s="1154">
        <f>-6.1-3.4+2.6</f>
        <v>-6.9</v>
      </c>
      <c r="BR48" s="1154">
        <f>-2.4-0.7+0.4</f>
        <v>-2.6999999999999997</v>
      </c>
      <c r="BS48" s="1154">
        <f>-25.7-8.9+8.6-BR48-BQ48-BP48</f>
        <v>-2.6999999999999993</v>
      </c>
      <c r="BT48" s="597">
        <f>SUM(BP48:BS48)</f>
        <v>-26</v>
      </c>
      <c r="BU48" s="1154">
        <f>-6.2-2.4+8.4</f>
        <v>-0.19999999999999929</v>
      </c>
      <c r="BV48" s="1154">
        <f>-8.5-5.2+5.6</f>
        <v>-8.1</v>
      </c>
      <c r="BW48" s="1154">
        <f>-10.5-7.3+1.9</f>
        <v>-15.9</v>
      </c>
      <c r="BX48" s="1154">
        <f>-35-23.9+16.2-BW48-BV48-BU48</f>
        <v>-18.500000000000004</v>
      </c>
      <c r="BY48" s="597">
        <f>SUM(BU48:BX48)</f>
        <v>-42.7</v>
      </c>
      <c r="BZ48" s="1154">
        <f>-4.3-8.8+0.1</f>
        <v>-13.000000000000002</v>
      </c>
      <c r="CA48" s="1154">
        <f>0.9-5.5</f>
        <v>-4.5999999999999996</v>
      </c>
      <c r="CB48" s="1154">
        <f>6.8-3.9</f>
        <v>2.9</v>
      </c>
      <c r="CC48" s="1154">
        <f>+-15-0.1-SUM(BZ48:CB48)</f>
        <v>-0.39999999999999858</v>
      </c>
      <c r="CD48" s="597"/>
      <c r="CE48" s="1154">
        <f>7.6+0.8+5.4</f>
        <v>13.8</v>
      </c>
      <c r="CF48" s="1154">
        <f>4.1-0.1+5.5</f>
        <v>9.5</v>
      </c>
      <c r="CG48" s="1154">
        <f>+-1+1.8+0.2</f>
        <v>1</v>
      </c>
      <c r="CH48" s="1154">
        <f>4+6.1+12.1</f>
        <v>22.2</v>
      </c>
      <c r="CI48" s="597"/>
      <c r="CJ48" s="1154">
        <f t="shared" si="81"/>
        <v>6.8683522727271606</v>
      </c>
      <c r="CK48" s="1154">
        <f t="shared" si="81"/>
        <v>1.0472807991119901</v>
      </c>
      <c r="CL48" s="1154">
        <f t="shared" si="81"/>
        <v>3.9912246799406712</v>
      </c>
      <c r="CM48" s="1154">
        <f t="shared" si="82"/>
        <v>4.4362783583992238</v>
      </c>
      <c r="CN48" s="597"/>
      <c r="CO48" s="1805"/>
      <c r="CP48" s="200"/>
      <c r="CQ48" s="201"/>
      <c r="CR48" s="200"/>
    </row>
    <row r="49" spans="1:96">
      <c r="A49" s="560" t="s">
        <v>445</v>
      </c>
      <c r="B49" s="560"/>
      <c r="C49" s="650"/>
      <c r="D49" s="650"/>
      <c r="E49" s="650"/>
      <c r="F49" s="650"/>
      <c r="G49" s="649"/>
      <c r="H49" s="650"/>
      <c r="I49" s="650"/>
      <c r="J49" s="650"/>
      <c r="K49" s="650"/>
      <c r="L49" s="649"/>
      <c r="M49" s="650"/>
      <c r="N49" s="650"/>
      <c r="O49" s="650"/>
      <c r="P49" s="650"/>
      <c r="Q49" s="597">
        <f>Q47+Q48</f>
        <v>58.4</v>
      </c>
      <c r="R49" s="1153">
        <f>45-S49</f>
        <v>29</v>
      </c>
      <c r="S49" s="1153">
        <v>16</v>
      </c>
      <c r="T49" s="1153">
        <v>11</v>
      </c>
      <c r="U49" s="1153">
        <f>V49-55.8</f>
        <v>12.400000000000006</v>
      </c>
      <c r="V49" s="597">
        <f>V47+V48</f>
        <v>68.2</v>
      </c>
      <c r="W49" s="1154">
        <f>W47+W48</f>
        <v>11.3</v>
      </c>
      <c r="X49" s="1153">
        <v>10.1</v>
      </c>
      <c r="Y49" s="1153">
        <v>2.9</v>
      </c>
      <c r="Z49" s="1153">
        <f>AA49-Y49-X49-W49</f>
        <v>-6.3000000000000007</v>
      </c>
      <c r="AA49" s="597">
        <f>AA47+AA48</f>
        <v>18</v>
      </c>
      <c r="AB49" s="1153">
        <f>-39.7-AC49</f>
        <v>-24.500000000000004</v>
      </c>
      <c r="AC49" s="1153">
        <v>-15.2</v>
      </c>
      <c r="AD49" s="1153">
        <v>-1.8</v>
      </c>
      <c r="AE49" s="1153">
        <f>AF49-AD49-AC49-AB49</f>
        <v>6.5</v>
      </c>
      <c r="AF49" s="597">
        <f>AF47+AF48</f>
        <v>-35</v>
      </c>
      <c r="AG49" s="1154">
        <f>AG47+AG48</f>
        <v>13.7</v>
      </c>
      <c r="AH49" s="1154">
        <f>AH47+AH48</f>
        <v>12.5</v>
      </c>
      <c r="AI49" s="1154">
        <f>AI47+AI48</f>
        <v>11.100000000000001</v>
      </c>
      <c r="AJ49" s="1154">
        <f>AJ47+AJ48</f>
        <v>28.600000000000005</v>
      </c>
      <c r="AK49" s="597">
        <f>SUM(AG49:AJ49)</f>
        <v>65.900000000000006</v>
      </c>
      <c r="AL49" s="1154">
        <f>AL47+AL48</f>
        <v>31.9</v>
      </c>
      <c r="AM49" s="1154">
        <f>AM47+AM48</f>
        <v>44.5</v>
      </c>
      <c r="AN49" s="1154">
        <f>AN47+AN48</f>
        <v>38.799999999999997</v>
      </c>
      <c r="AO49" s="1154">
        <f>AO47+AO48</f>
        <v>6.8999999999999986</v>
      </c>
      <c r="AP49" s="597">
        <f>SUM(AL49:AO49)</f>
        <v>122.1</v>
      </c>
      <c r="AQ49" s="1154">
        <f>AQ47+AQ48</f>
        <v>12.4</v>
      </c>
      <c r="AR49" s="1154">
        <f>AR47+AR48</f>
        <v>-16.299999999999997</v>
      </c>
      <c r="AS49" s="1154">
        <f>AS47+AS48</f>
        <v>-6.4</v>
      </c>
      <c r="AT49" s="1154">
        <f>AT47+AT48</f>
        <v>22</v>
      </c>
      <c r="AU49" s="597">
        <f>SUM(AQ49:AT49)</f>
        <v>11.700000000000003</v>
      </c>
      <c r="AV49" s="1154">
        <f>AV47+AV48</f>
        <v>19.8</v>
      </c>
      <c r="AW49" s="1154">
        <f>AW47+AW48</f>
        <v>6.9</v>
      </c>
      <c r="AX49" s="1154">
        <f>AX47+AX48</f>
        <v>0</v>
      </c>
      <c r="AY49" s="1154">
        <f>AY47+AY48</f>
        <v>-2.3848311485480362</v>
      </c>
      <c r="AZ49" s="597">
        <f>SUM(AV49:AY49)</f>
        <v>24.315168851451965</v>
      </c>
      <c r="BA49" s="1154">
        <f>BA47+BA48</f>
        <v>-5.8999999999999995</v>
      </c>
      <c r="BB49" s="1154">
        <f>BB47+BB48</f>
        <v>28</v>
      </c>
      <c r="BC49" s="1154">
        <f>BC47+BC48</f>
        <v>24.4</v>
      </c>
      <c r="BD49" s="1154">
        <f>BD47+BD48</f>
        <v>15</v>
      </c>
      <c r="BE49" s="597">
        <f>SUM(BA49:BD49)</f>
        <v>61.5</v>
      </c>
      <c r="BF49" s="1154">
        <f>BF47+BF48</f>
        <v>18</v>
      </c>
      <c r="BG49" s="1154">
        <f>BG47+BG48</f>
        <v>-3.9863672440827829</v>
      </c>
      <c r="BH49" s="1154">
        <f>BH47+BH48</f>
        <v>-14.099999999999998</v>
      </c>
      <c r="BI49" s="1154">
        <f>BI47+BI48</f>
        <v>-15</v>
      </c>
      <c r="BJ49" s="597">
        <f>SUM(BF49:BI49)</f>
        <v>-15.08636724408278</v>
      </c>
      <c r="BK49" s="1154">
        <f>BK47+BK48</f>
        <v>-16</v>
      </c>
      <c r="BL49" s="1154">
        <f>BL47+BL48</f>
        <v>-16.2</v>
      </c>
      <c r="BM49" s="1154">
        <f>BM47+BM48-1</f>
        <v>-16.2</v>
      </c>
      <c r="BN49" s="1154">
        <f>BN47+BN48</f>
        <v>-10.70000000000001</v>
      </c>
      <c r="BO49" s="597">
        <f>SUM(BK49:BN49)</f>
        <v>-59.100000000000016</v>
      </c>
      <c r="BP49" s="1154">
        <f>BP47+BP48</f>
        <v>-13.6</v>
      </c>
      <c r="BQ49" s="1154">
        <f>BQ47+BQ48</f>
        <v>5.6999999999999993</v>
      </c>
      <c r="BR49" s="1154">
        <f>BR47+BR48</f>
        <v>8.1999999999999993</v>
      </c>
      <c r="BS49" s="1154">
        <f>BS47+BS48</f>
        <v>8.8000000000000043</v>
      </c>
      <c r="BT49" s="597">
        <f>SUM(BP49:BS49)</f>
        <v>9.1000000000000032</v>
      </c>
      <c r="BU49" s="1154">
        <f>BU47+BU48</f>
        <v>-2.2000000000000002</v>
      </c>
      <c r="BV49" s="1154">
        <f>BV47+BV48</f>
        <v>-25.4</v>
      </c>
      <c r="BW49" s="1154">
        <f>BW47+BW48</f>
        <v>-49.3</v>
      </c>
      <c r="BX49" s="1154">
        <f>BX47+BX48</f>
        <v>-58.400000000000006</v>
      </c>
      <c r="BY49" s="597">
        <f>SUM(BU49:BX49)</f>
        <v>-135.30000000000001</v>
      </c>
      <c r="BZ49" s="1154">
        <f>BZ47+BZ48</f>
        <v>-44.9</v>
      </c>
      <c r="CA49" s="1154">
        <f>CA47+CA48</f>
        <v>-18.100000000000001</v>
      </c>
      <c r="CB49" s="1154">
        <f>CB47+CB48</f>
        <v>-9.1999999999999993</v>
      </c>
      <c r="CC49" s="1154">
        <f>CC47+CC48</f>
        <v>-32.300000000000004</v>
      </c>
      <c r="CD49" s="597"/>
      <c r="CE49" s="1154">
        <f>CE47+CE48</f>
        <v>6.4000000000000039</v>
      </c>
      <c r="CF49" s="1154">
        <f>CF47+CF48</f>
        <v>-5.7999999999999972</v>
      </c>
      <c r="CG49" s="1154">
        <f>CG47+CG48</f>
        <v>-11.1</v>
      </c>
      <c r="CH49" s="1154">
        <f>CH47+CH48</f>
        <v>-5.4000000000000021</v>
      </c>
      <c r="CI49" s="597"/>
      <c r="CJ49" s="1154">
        <f>CJ47+CJ48</f>
        <v>66.218316964201378</v>
      </c>
      <c r="CK49" s="1154">
        <f>CK47+CK48</f>
        <v>28.205699964869844</v>
      </c>
      <c r="CL49" s="1154">
        <f>CL47+CL48</f>
        <v>19.886209905230164</v>
      </c>
      <c r="CM49" s="1154">
        <f>CM47+CM48</f>
        <v>21.767263916696646</v>
      </c>
      <c r="CN49" s="597"/>
      <c r="CO49" s="1805"/>
      <c r="CP49" s="200"/>
      <c r="CQ49" s="201"/>
      <c r="CR49" s="200"/>
    </row>
    <row r="50" spans="1:96" ht="3.75" customHeight="1">
      <c r="A50" s="560"/>
      <c r="B50" s="560"/>
      <c r="C50" s="650"/>
      <c r="D50" s="650"/>
      <c r="E50" s="650"/>
      <c r="F50" s="650"/>
      <c r="G50" s="649"/>
      <c r="H50" s="650"/>
      <c r="I50" s="650"/>
      <c r="J50" s="650"/>
      <c r="K50" s="650"/>
      <c r="L50" s="649"/>
      <c r="M50" s="650"/>
      <c r="N50" s="650"/>
      <c r="O50" s="650"/>
      <c r="P50" s="650"/>
      <c r="Q50" s="649"/>
      <c r="R50" s="650"/>
      <c r="S50" s="650"/>
      <c r="T50" s="650"/>
      <c r="U50" s="650"/>
      <c r="V50" s="649"/>
      <c r="W50" s="650"/>
      <c r="X50" s="650"/>
      <c r="Y50" s="650"/>
      <c r="Z50" s="650"/>
      <c r="AA50" s="649"/>
      <c r="AB50" s="650"/>
      <c r="AC50" s="650"/>
      <c r="AD50" s="650"/>
      <c r="AE50" s="650"/>
      <c r="AF50" s="649"/>
      <c r="AG50" s="650"/>
      <c r="AH50" s="650"/>
      <c r="AI50" s="650"/>
      <c r="AJ50" s="650"/>
      <c r="AK50" s="649"/>
      <c r="AL50" s="650"/>
      <c r="AM50" s="650"/>
      <c r="AN50" s="1151"/>
      <c r="AO50" s="650"/>
      <c r="AP50" s="649"/>
      <c r="AQ50" s="650"/>
      <c r="AR50" s="650"/>
      <c r="AS50" s="1151"/>
      <c r="AT50" s="1151"/>
      <c r="AU50" s="649"/>
      <c r="AV50" s="650"/>
      <c r="AW50" s="650"/>
      <c r="AX50" s="650"/>
      <c r="AY50" s="650"/>
      <c r="AZ50" s="649"/>
      <c r="BA50" s="650"/>
      <c r="BB50" s="650"/>
      <c r="BC50" s="650"/>
      <c r="BD50" s="650"/>
      <c r="BE50" s="649"/>
      <c r="BF50" s="650"/>
      <c r="BG50" s="650"/>
      <c r="BH50" s="650"/>
      <c r="BI50" s="650"/>
      <c r="BJ50" s="649"/>
      <c r="BK50" s="650"/>
      <c r="BL50" s="650"/>
      <c r="BM50" s="650"/>
      <c r="BN50" s="650"/>
      <c r="BO50" s="649"/>
      <c r="BP50" s="650"/>
      <c r="BQ50" s="650"/>
      <c r="BR50" s="650"/>
      <c r="BS50" s="650"/>
      <c r="BT50" s="649"/>
      <c r="BU50" s="650"/>
      <c r="BV50" s="650"/>
      <c r="BW50" s="650"/>
      <c r="BX50" s="650"/>
      <c r="BY50" s="649"/>
      <c r="BZ50" s="650"/>
      <c r="CA50" s="650"/>
      <c r="CB50" s="650"/>
      <c r="CC50" s="650"/>
      <c r="CD50" s="649"/>
      <c r="CE50" s="650"/>
      <c r="CF50" s="650"/>
      <c r="CG50" s="650"/>
      <c r="CH50" s="650"/>
      <c r="CI50" s="649"/>
      <c r="CJ50" s="650"/>
      <c r="CK50" s="650"/>
      <c r="CL50" s="650"/>
      <c r="CM50" s="650"/>
      <c r="CN50" s="649"/>
      <c r="CO50" s="1806"/>
      <c r="CP50" s="200"/>
      <c r="CQ50" s="201"/>
      <c r="CR50" s="200"/>
    </row>
    <row r="51" spans="1:96">
      <c r="A51" s="865" t="s">
        <v>170</v>
      </c>
      <c r="B51" s="865"/>
      <c r="C51" s="553"/>
      <c r="D51" s="553"/>
      <c r="E51" s="553"/>
      <c r="F51" s="553"/>
      <c r="G51" s="557"/>
      <c r="H51" s="553"/>
      <c r="I51" s="553"/>
      <c r="J51" s="553"/>
      <c r="K51" s="553"/>
      <c r="L51" s="557"/>
      <c r="M51" s="553"/>
      <c r="N51" s="553"/>
      <c r="O51" s="553"/>
      <c r="P51" s="553"/>
      <c r="Q51" s="557"/>
      <c r="R51" s="553"/>
      <c r="S51" s="553"/>
      <c r="T51" s="553"/>
      <c r="U51" s="553"/>
      <c r="V51" s="557"/>
      <c r="W51" s="553"/>
      <c r="X51" s="553"/>
      <c r="Y51" s="553"/>
      <c r="Z51" s="553"/>
      <c r="AA51" s="557"/>
      <c r="AB51" s="553"/>
      <c r="AC51" s="553"/>
      <c r="AD51" s="553"/>
      <c r="AE51" s="553"/>
      <c r="AF51" s="557"/>
      <c r="AG51" s="553"/>
      <c r="AH51" s="553"/>
      <c r="AI51" s="553"/>
      <c r="AJ51" s="553"/>
      <c r="AK51" s="557"/>
      <c r="AL51" s="553"/>
      <c r="AM51" s="553"/>
      <c r="AN51" s="553"/>
      <c r="AO51" s="553"/>
      <c r="AP51" s="557"/>
      <c r="AQ51" s="553"/>
      <c r="AR51" s="553"/>
      <c r="AS51" s="553"/>
      <c r="AT51" s="553"/>
      <c r="AU51" s="557"/>
      <c r="AV51" s="553"/>
      <c r="AW51" s="553"/>
      <c r="AX51" s="553"/>
      <c r="AY51" s="553"/>
      <c r="AZ51" s="557"/>
      <c r="BA51" s="553"/>
      <c r="BB51" s="553"/>
      <c r="BC51" s="553"/>
      <c r="BD51" s="553"/>
      <c r="BE51" s="557"/>
      <c r="BF51" s="553"/>
      <c r="BG51" s="553"/>
      <c r="BH51" s="553"/>
      <c r="BI51" s="553"/>
      <c r="BJ51" s="557"/>
      <c r="BK51" s="553"/>
      <c r="BL51" s="553"/>
      <c r="BM51" s="553"/>
      <c r="BN51" s="553"/>
      <c r="BO51" s="557"/>
      <c r="BP51" s="553"/>
      <c r="BQ51" s="553"/>
      <c r="BR51" s="553"/>
      <c r="BS51" s="553"/>
      <c r="BT51" s="557"/>
      <c r="BU51" s="553"/>
      <c r="BV51" s="553"/>
      <c r="BW51" s="553"/>
      <c r="BX51" s="553"/>
      <c r="BY51" s="557"/>
      <c r="BZ51" s="553"/>
      <c r="CA51" s="553"/>
      <c r="CB51" s="553"/>
      <c r="CC51" s="553"/>
      <c r="CD51" s="557"/>
      <c r="CE51" s="553"/>
      <c r="CF51" s="553"/>
      <c r="CG51" s="553"/>
      <c r="CH51" s="553"/>
      <c r="CI51" s="557"/>
      <c r="CJ51" s="553"/>
      <c r="CK51" s="553"/>
      <c r="CL51" s="553"/>
      <c r="CM51" s="553"/>
      <c r="CN51" s="557"/>
      <c r="CO51" s="555"/>
      <c r="CP51" s="200"/>
      <c r="CQ51" s="201"/>
      <c r="CR51" s="200"/>
    </row>
    <row r="52" spans="1:96">
      <c r="A52" s="560" t="s">
        <v>167</v>
      </c>
      <c r="B52" s="560"/>
      <c r="C52" s="650">
        <f t="shared" ref="C52:AI52" si="83">C39</f>
        <v>151.32574</v>
      </c>
      <c r="D52" s="650">
        <f t="shared" si="83"/>
        <v>158.28278</v>
      </c>
      <c r="E52" s="650">
        <f t="shared" si="83"/>
        <v>154.82254</v>
      </c>
      <c r="F52" s="650">
        <f t="shared" si="83"/>
        <v>127.07694000000004</v>
      </c>
      <c r="G52" s="649">
        <f t="shared" si="83"/>
        <v>591.50800000000004</v>
      </c>
      <c r="H52" s="650">
        <f t="shared" si="83"/>
        <v>123.23216000000001</v>
      </c>
      <c r="I52" s="650">
        <f t="shared" si="83"/>
        <v>158.67950000000002</v>
      </c>
      <c r="J52" s="650">
        <f t="shared" si="83"/>
        <v>156.68345000000002</v>
      </c>
      <c r="K52" s="650">
        <f t="shared" si="83"/>
        <v>145.20488999999986</v>
      </c>
      <c r="L52" s="649">
        <f t="shared" si="83"/>
        <v>583.79999999999995</v>
      </c>
      <c r="M52" s="650">
        <f t="shared" si="83"/>
        <v>146.5</v>
      </c>
      <c r="N52" s="650">
        <f t="shared" si="83"/>
        <v>157.4</v>
      </c>
      <c r="O52" s="650">
        <f t="shared" si="83"/>
        <v>156.80000000000001</v>
      </c>
      <c r="P52" s="650">
        <f t="shared" si="83"/>
        <v>179.50000000000006</v>
      </c>
      <c r="Q52" s="649">
        <f>SUM(M52:P52)</f>
        <v>640.20000000000005</v>
      </c>
      <c r="R52" s="650">
        <f>R39</f>
        <v>183.5</v>
      </c>
      <c r="S52" s="650">
        <f>S39</f>
        <v>182.5</v>
      </c>
      <c r="T52" s="650">
        <f t="shared" si="83"/>
        <v>195.9</v>
      </c>
      <c r="U52" s="650">
        <f t="shared" si="83"/>
        <v>208.70000000000005</v>
      </c>
      <c r="V52" s="649">
        <f>SUM(R52:U52)</f>
        <v>770.6</v>
      </c>
      <c r="W52" s="650">
        <f>W39</f>
        <v>218</v>
      </c>
      <c r="X52" s="650">
        <f>X39</f>
        <v>242.4</v>
      </c>
      <c r="Y52" s="650">
        <f>Y39</f>
        <v>228.3</v>
      </c>
      <c r="Z52" s="650">
        <f>Z39</f>
        <v>251</v>
      </c>
      <c r="AA52" s="649">
        <f>SUM(W52:Z52)</f>
        <v>939.7</v>
      </c>
      <c r="AB52" s="650">
        <f>AB39</f>
        <v>313.7</v>
      </c>
      <c r="AC52" s="650">
        <f t="shared" si="83"/>
        <v>305.89999999999998</v>
      </c>
      <c r="AD52" s="650">
        <f t="shared" si="83"/>
        <v>310.3</v>
      </c>
      <c r="AE52" s="650">
        <f t="shared" si="83"/>
        <v>336.9</v>
      </c>
      <c r="AF52" s="649">
        <f>SUM(AB52:AE52)</f>
        <v>1266.7999999999997</v>
      </c>
      <c r="AG52" s="650">
        <f>AG39</f>
        <v>298.3</v>
      </c>
      <c r="AH52" s="650">
        <f>AH39</f>
        <v>383.5</v>
      </c>
      <c r="AI52" s="650">
        <f t="shared" si="83"/>
        <v>400.7</v>
      </c>
      <c r="AJ52" s="650">
        <f>AJ39</f>
        <v>426.4</v>
      </c>
      <c r="AK52" s="649">
        <f>SUM(AG52:AJ52)</f>
        <v>1508.9</v>
      </c>
      <c r="AL52" s="650">
        <f>AL39</f>
        <v>396.9</v>
      </c>
      <c r="AM52" s="650">
        <f>AM39</f>
        <v>383.8</v>
      </c>
      <c r="AN52" s="650">
        <f>AN39</f>
        <v>429.6</v>
      </c>
      <c r="AO52" s="650">
        <f>AO39</f>
        <v>422.6</v>
      </c>
      <c r="AP52" s="649">
        <f>SUM(AL52:AO52)</f>
        <v>1632.9</v>
      </c>
      <c r="AQ52" s="650">
        <f>AQ39</f>
        <v>326.10000000000002</v>
      </c>
      <c r="AR52" s="650">
        <f>AR39</f>
        <v>317.8</v>
      </c>
      <c r="AS52" s="650">
        <f>AS39</f>
        <v>354.6</v>
      </c>
      <c r="AT52" s="650">
        <f>AT39</f>
        <v>384.2</v>
      </c>
      <c r="AU52" s="649">
        <f>SUM(AQ52:AT52)</f>
        <v>1382.7</v>
      </c>
      <c r="AV52" s="650">
        <f>AV39</f>
        <v>408.4</v>
      </c>
      <c r="AW52" s="650">
        <f>AW39</f>
        <v>455.2</v>
      </c>
      <c r="AX52" s="650">
        <f>AX39</f>
        <v>493.9</v>
      </c>
      <c r="AY52" s="650">
        <f>AY39</f>
        <v>492.9</v>
      </c>
      <c r="AZ52" s="649">
        <f>SUM(AV52:AY52)</f>
        <v>1850.4</v>
      </c>
      <c r="BA52" s="650">
        <f>BA39</f>
        <v>506.3</v>
      </c>
      <c r="BB52" s="650">
        <f>BB39</f>
        <v>492.5</v>
      </c>
      <c r="BC52" s="650">
        <f>BC39</f>
        <v>507.6</v>
      </c>
      <c r="BD52" s="650">
        <f>BD39</f>
        <v>554.9</v>
      </c>
      <c r="BE52" s="649">
        <f>SUM(BA52:BD52)</f>
        <v>2061.3000000000002</v>
      </c>
      <c r="BF52" s="650">
        <f>BF39</f>
        <v>503.1</v>
      </c>
      <c r="BG52" s="650">
        <f>BG39</f>
        <v>551.29999999999995</v>
      </c>
      <c r="BH52" s="650">
        <f>BH39</f>
        <v>558.29999999999995</v>
      </c>
      <c r="BI52" s="650">
        <f>BI39</f>
        <v>583.6</v>
      </c>
      <c r="BJ52" s="649">
        <f>SUM(BF52:BI52)</f>
        <v>2196.3000000000002</v>
      </c>
      <c r="BK52" s="650">
        <f>BK39</f>
        <v>500.3</v>
      </c>
      <c r="BL52" s="650">
        <f>BL39</f>
        <v>525.4</v>
      </c>
      <c r="BM52" s="650">
        <f>BM39</f>
        <v>534.1</v>
      </c>
      <c r="BN52" s="650">
        <f>BN39</f>
        <v>574.6</v>
      </c>
      <c r="BO52" s="649">
        <f>SUM(BK52:BN52)</f>
        <v>2134.4</v>
      </c>
      <c r="BP52" s="650">
        <f>BP39</f>
        <v>536.6</v>
      </c>
      <c r="BQ52" s="650">
        <f>BQ39</f>
        <v>579.20000000000005</v>
      </c>
      <c r="BR52" s="650">
        <f>BR39</f>
        <v>582</v>
      </c>
      <c r="BS52" s="650">
        <f>BS39</f>
        <v>616.6</v>
      </c>
      <c r="BT52" s="649">
        <f>SUM(BP52:BS52)</f>
        <v>2314.4</v>
      </c>
      <c r="BU52" s="650">
        <f>BU39</f>
        <v>644.6</v>
      </c>
      <c r="BV52" s="650">
        <f>BV39</f>
        <v>669.2</v>
      </c>
      <c r="BW52" s="650">
        <f>BW39</f>
        <v>698.1</v>
      </c>
      <c r="BX52" s="650">
        <f>BX39</f>
        <v>776.2</v>
      </c>
      <c r="BY52" s="649">
        <f>SUM(BU52:BX52)</f>
        <v>2788.1000000000004</v>
      </c>
      <c r="BZ52" s="650">
        <f>BZ39</f>
        <v>806.5</v>
      </c>
      <c r="CA52" s="650">
        <f>CA39</f>
        <v>820</v>
      </c>
      <c r="CB52" s="650">
        <f>CB39</f>
        <v>851.9</v>
      </c>
      <c r="CC52" s="650">
        <f>CC39</f>
        <v>921.73500000000013</v>
      </c>
      <c r="CD52" s="649"/>
      <c r="CE52" s="650">
        <f>CE39</f>
        <v>975.8</v>
      </c>
      <c r="CF52" s="650">
        <f>CF39</f>
        <v>1026.7</v>
      </c>
      <c r="CG52" s="650">
        <f>CG39</f>
        <v>1063.0999999999999</v>
      </c>
      <c r="CH52" s="650">
        <f>CH39</f>
        <v>1150.9000000000001</v>
      </c>
      <c r="CI52" s="649"/>
      <c r="CJ52" s="650">
        <f>CJ39</f>
        <v>1179.9088151762626</v>
      </c>
      <c r="CK52" s="650">
        <f>CK39</f>
        <v>1218.2717988499444</v>
      </c>
      <c r="CL52" s="650">
        <f>CL39</f>
        <v>1265.7217438553153</v>
      </c>
      <c r="CM52" s="650">
        <f>CM39</f>
        <v>1322.1151289597938</v>
      </c>
      <c r="CN52" s="649"/>
      <c r="CO52" s="1806"/>
      <c r="CP52" s="200"/>
      <c r="CQ52" s="201"/>
      <c r="CR52" s="200"/>
    </row>
    <row r="53" spans="1:96">
      <c r="A53" s="560" t="s">
        <v>168</v>
      </c>
      <c r="B53" s="560"/>
      <c r="C53" s="650">
        <f t="shared" ref="C53:P54" si="84">C40/(1+H58)</f>
        <v>94.653407832523428</v>
      </c>
      <c r="D53" s="650">
        <f t="shared" si="84"/>
        <v>79.260345226087011</v>
      </c>
      <c r="E53" s="650">
        <f t="shared" si="84"/>
        <v>81.788735747363262</v>
      </c>
      <c r="F53" s="650">
        <f t="shared" si="84"/>
        <v>82.887971214950483</v>
      </c>
      <c r="G53" s="649">
        <f t="shared" si="84"/>
        <v>339.52111915793785</v>
      </c>
      <c r="H53" s="650">
        <f t="shared" si="84"/>
        <v>89.580326858653351</v>
      </c>
      <c r="I53" s="650">
        <f t="shared" si="84"/>
        <v>102.26727772738136</v>
      </c>
      <c r="J53" s="650">
        <f t="shared" si="84"/>
        <v>79.882526438433189</v>
      </c>
      <c r="K53" s="650">
        <f t="shared" si="84"/>
        <v>107.23184441754951</v>
      </c>
      <c r="L53" s="649">
        <f t="shared" si="84"/>
        <v>315.81014402003763</v>
      </c>
      <c r="M53" s="650">
        <f t="shared" si="84"/>
        <v>106.19608828830482</v>
      </c>
      <c r="N53" s="650">
        <f t="shared" si="84"/>
        <v>94.593556752470533</v>
      </c>
      <c r="O53" s="650">
        <f t="shared" si="84"/>
        <v>90.26216775517932</v>
      </c>
      <c r="P53" s="650">
        <f t="shared" si="84"/>
        <v>119.58599851809319</v>
      </c>
      <c r="Q53" s="649">
        <f>Q40-Q47</f>
        <v>319.39999999999998</v>
      </c>
      <c r="R53" s="650" t="s">
        <v>31</v>
      </c>
      <c r="S53" s="650" t="s">
        <v>31</v>
      </c>
      <c r="T53" s="650" t="s">
        <v>31</v>
      </c>
      <c r="U53" s="650" t="s">
        <v>31</v>
      </c>
      <c r="V53" s="649">
        <f>V40-V47</f>
        <v>491.3</v>
      </c>
      <c r="W53" s="1151">
        <f>W40-W47</f>
        <v>142.19999999999999</v>
      </c>
      <c r="X53" s="650" t="s">
        <v>31</v>
      </c>
      <c r="Y53" s="650" t="s">
        <v>31</v>
      </c>
      <c r="Z53" s="650" t="s">
        <v>31</v>
      </c>
      <c r="AA53" s="649">
        <f>AA40-AA47</f>
        <v>597.70000000000005</v>
      </c>
      <c r="AB53" s="650" t="s">
        <v>31</v>
      </c>
      <c r="AC53" s="650" t="s">
        <v>31</v>
      </c>
      <c r="AD53" s="650" t="s">
        <v>31</v>
      </c>
      <c r="AE53" s="650" t="s">
        <v>31</v>
      </c>
      <c r="AF53" s="649">
        <f t="shared" ref="AF53:AJ54" si="85">AF40-AF47</f>
        <v>783.9</v>
      </c>
      <c r="AG53" s="1151">
        <f t="shared" si="85"/>
        <v>202.2</v>
      </c>
      <c r="AH53" s="1151">
        <f t="shared" si="85"/>
        <v>197.20000000000002</v>
      </c>
      <c r="AI53" s="1151">
        <f t="shared" si="85"/>
        <v>267.7</v>
      </c>
      <c r="AJ53" s="1151">
        <f t="shared" si="85"/>
        <v>293.39999999999998</v>
      </c>
      <c r="AK53" s="649">
        <f>SUM(AG53:AJ53)</f>
        <v>960.49999999999989</v>
      </c>
      <c r="AL53" s="1151">
        <f t="shared" ref="AL53:AO54" si="86">AL40-AL47</f>
        <v>298.5</v>
      </c>
      <c r="AM53" s="1151">
        <f t="shared" si="86"/>
        <v>265.5</v>
      </c>
      <c r="AN53" s="1151">
        <f t="shared" si="86"/>
        <v>267.3</v>
      </c>
      <c r="AO53" s="1151">
        <f t="shared" si="86"/>
        <v>315.39999999999998</v>
      </c>
      <c r="AP53" s="649">
        <f>SUM(AL53:AO53)</f>
        <v>1146.6999999999998</v>
      </c>
      <c r="AQ53" s="1151">
        <f t="shared" ref="AQ53:AT54" si="87">AQ40-AQ47</f>
        <v>280</v>
      </c>
      <c r="AR53" s="1151">
        <f t="shared" si="87"/>
        <v>235.1</v>
      </c>
      <c r="AS53" s="1151">
        <f t="shared" si="87"/>
        <v>211</v>
      </c>
      <c r="AT53" s="1151">
        <f t="shared" si="87"/>
        <v>224</v>
      </c>
      <c r="AU53" s="649">
        <f>SUM(AQ53:AT53)</f>
        <v>950.1</v>
      </c>
      <c r="AV53" s="1151">
        <f t="shared" ref="AV53:AY54" si="88">AV40-AV47</f>
        <v>257.29999999999995</v>
      </c>
      <c r="AW53" s="1151">
        <f t="shared" si="88"/>
        <v>278.79999999999995</v>
      </c>
      <c r="AX53" s="1151">
        <f t="shared" si="88"/>
        <v>312.15064399385375</v>
      </c>
      <c r="AY53" s="1151">
        <f t="shared" si="88"/>
        <v>338.44973708716748</v>
      </c>
      <c r="AZ53" s="649">
        <f>SUM(AV53:AY53)</f>
        <v>1186.7003810810211</v>
      </c>
      <c r="BA53" s="1151">
        <f t="shared" ref="BA53:BC54" si="89">BA40-BA47</f>
        <v>324.20000000000005</v>
      </c>
      <c r="BB53" s="1151">
        <f t="shared" si="89"/>
        <v>295.7</v>
      </c>
      <c r="BC53" s="1151">
        <f t="shared" si="89"/>
        <v>278.10000000000002</v>
      </c>
      <c r="BD53" s="1151">
        <f>BD40-BD47</f>
        <v>376</v>
      </c>
      <c r="BE53" s="649">
        <f>SUM(BA53:BD53)</f>
        <v>1274</v>
      </c>
      <c r="BF53" s="1151">
        <f>BF40-BF47</f>
        <v>324.7</v>
      </c>
      <c r="BG53" s="1151">
        <f t="shared" ref="BG53:BI54" si="90">BG40-BG47</f>
        <v>331.3</v>
      </c>
      <c r="BH53" s="1151">
        <f t="shared" si="90"/>
        <v>305</v>
      </c>
      <c r="BI53" s="1151">
        <f t="shared" si="90"/>
        <v>357.9</v>
      </c>
      <c r="BJ53" s="649">
        <f>SUM(BF53:BI53)</f>
        <v>1318.9</v>
      </c>
      <c r="BK53" s="1151">
        <f t="shared" ref="BK53:BM54" si="91">BK40-BK47</f>
        <v>293.5</v>
      </c>
      <c r="BL53" s="1151">
        <f t="shared" si="91"/>
        <v>267.8</v>
      </c>
      <c r="BM53" s="1151">
        <f t="shared" si="91"/>
        <v>263.60000000000002</v>
      </c>
      <c r="BN53" s="1151">
        <f>BN40-BN47</f>
        <v>318.20000000000005</v>
      </c>
      <c r="BO53" s="649">
        <f>SUM(BK53:BN53)</f>
        <v>1143.0999999999999</v>
      </c>
      <c r="BP53" s="1151">
        <f t="shared" ref="BP53:BS54" si="92">BP40-BP47</f>
        <v>299.7</v>
      </c>
      <c r="BQ53" s="1151">
        <f t="shared" si="92"/>
        <v>284</v>
      </c>
      <c r="BR53" s="1151">
        <f t="shared" si="92"/>
        <v>264.3</v>
      </c>
      <c r="BS53" s="1151">
        <f t="shared" si="92"/>
        <v>296.7</v>
      </c>
      <c r="BT53" s="649">
        <f>SUM(BP53:BS53)</f>
        <v>1144.7</v>
      </c>
      <c r="BU53" s="1151">
        <f t="shared" ref="BU53:BW54" si="93">BU40-BU47</f>
        <v>309.10000000000002</v>
      </c>
      <c r="BV53" s="1151">
        <f t="shared" si="93"/>
        <v>341.2</v>
      </c>
      <c r="BW53" s="1151">
        <f t="shared" si="93"/>
        <v>383.5</v>
      </c>
      <c r="BX53" s="1151">
        <f>BX40-BX47</f>
        <v>395.29999999999995</v>
      </c>
      <c r="BY53" s="649">
        <f>SUM(BU53:BX53)</f>
        <v>1429.1</v>
      </c>
      <c r="BZ53" s="1151">
        <f t="shared" ref="BZ53:CB54" si="94">BZ40-BZ47</f>
        <v>417.5</v>
      </c>
      <c r="CA53" s="1151">
        <f t="shared" si="94"/>
        <v>394.1</v>
      </c>
      <c r="CB53" s="1151">
        <f t="shared" si="94"/>
        <v>412.3</v>
      </c>
      <c r="CC53" s="1151">
        <f t="shared" ref="CC53:CE53" si="95">CC40-CC47</f>
        <v>484.65299999999991</v>
      </c>
      <c r="CD53" s="649"/>
      <c r="CE53" s="1151">
        <f t="shared" si="95"/>
        <v>466.5</v>
      </c>
      <c r="CF53" s="1151">
        <f t="shared" ref="CF53" si="96">CF40-CF47</f>
        <v>491.2</v>
      </c>
      <c r="CG53" s="1151">
        <f t="shared" ref="CG53:CG54" si="97">CG40-CG47</f>
        <v>512.9</v>
      </c>
      <c r="CH53" s="1151">
        <f t="shared" ref="CH53" si="98">CH40-CH47</f>
        <v>576.9</v>
      </c>
      <c r="CI53" s="649"/>
      <c r="CJ53" s="1151">
        <f t="shared" ref="CJ53:CM54" si="99">CJ40-CJ47</f>
        <v>513.91409527624717</v>
      </c>
      <c r="CK53" s="1151">
        <f t="shared" si="99"/>
        <v>576.94247360656357</v>
      </c>
      <c r="CL53" s="1151">
        <f t="shared" si="99"/>
        <v>616.74680040803855</v>
      </c>
      <c r="CM53" s="1151">
        <f t="shared" si="99"/>
        <v>653.17254407380062</v>
      </c>
      <c r="CN53" s="649"/>
      <c r="CO53" s="1806"/>
      <c r="CP53" s="200"/>
      <c r="CQ53" s="201"/>
      <c r="CR53" s="200"/>
    </row>
    <row r="54" spans="1:96">
      <c r="A54" s="560" t="s">
        <v>169</v>
      </c>
      <c r="B54" s="560"/>
      <c r="C54" s="650">
        <f t="shared" si="84"/>
        <v>69.183621085089825</v>
      </c>
      <c r="D54" s="650">
        <f t="shared" si="84"/>
        <v>100.84224656974941</v>
      </c>
      <c r="E54" s="650">
        <f t="shared" si="84"/>
        <v>65.667439907963782</v>
      </c>
      <c r="F54" s="650">
        <f t="shared" si="84"/>
        <v>61.159221152974851</v>
      </c>
      <c r="G54" s="649">
        <f t="shared" si="84"/>
        <v>297.68199803103533</v>
      </c>
      <c r="H54" s="650">
        <f t="shared" si="84"/>
        <v>76.204968529326365</v>
      </c>
      <c r="I54" s="650">
        <f t="shared" si="84"/>
        <v>83.060706609538471</v>
      </c>
      <c r="J54" s="650">
        <f t="shared" si="84"/>
        <v>60.610187456234435</v>
      </c>
      <c r="K54" s="650">
        <f t="shared" si="84"/>
        <v>63.419289450560285</v>
      </c>
      <c r="L54" s="649">
        <f t="shared" si="84"/>
        <v>250.73928442356339</v>
      </c>
      <c r="M54" s="650">
        <f t="shared" si="84"/>
        <v>68.576755039876829</v>
      </c>
      <c r="N54" s="650">
        <f t="shared" si="84"/>
        <v>82.502466131058085</v>
      </c>
      <c r="O54" s="650">
        <f t="shared" si="84"/>
        <v>84.303879509837969</v>
      </c>
      <c r="P54" s="650">
        <f t="shared" si="84"/>
        <v>71.214484573467544</v>
      </c>
      <c r="Q54" s="649">
        <f>Q41-Q48</f>
        <v>276.7</v>
      </c>
      <c r="R54" s="650" t="s">
        <v>31</v>
      </c>
      <c r="S54" s="650" t="s">
        <v>31</v>
      </c>
      <c r="T54" s="650" t="s">
        <v>31</v>
      </c>
      <c r="U54" s="650" t="s">
        <v>31</v>
      </c>
      <c r="V54" s="649">
        <f>V41-V48</f>
        <v>336.5</v>
      </c>
      <c r="W54" s="1151">
        <f>W41-W48</f>
        <v>101.4</v>
      </c>
      <c r="X54" s="650" t="s">
        <v>31</v>
      </c>
      <c r="Y54" s="650" t="s">
        <v>31</v>
      </c>
      <c r="Z54" s="650" t="s">
        <v>31</v>
      </c>
      <c r="AA54" s="649">
        <f>AA41-AA48</f>
        <v>410.90000000000003</v>
      </c>
      <c r="AB54" s="650" t="s">
        <v>31</v>
      </c>
      <c r="AC54" s="650" t="s">
        <v>31</v>
      </c>
      <c r="AD54" s="650" t="s">
        <v>31</v>
      </c>
      <c r="AE54" s="650" t="s">
        <v>31</v>
      </c>
      <c r="AF54" s="649">
        <f t="shared" si="85"/>
        <v>559.66599999999994</v>
      </c>
      <c r="AG54" s="1151">
        <f t="shared" si="85"/>
        <v>135.20000000000002</v>
      </c>
      <c r="AH54" s="1151">
        <f t="shared" si="85"/>
        <v>152.39999999999998</v>
      </c>
      <c r="AI54" s="1151">
        <f t="shared" si="85"/>
        <v>172.2</v>
      </c>
      <c r="AJ54" s="1151">
        <f t="shared" si="85"/>
        <v>162.80000000000001</v>
      </c>
      <c r="AK54" s="649">
        <f>SUM(AG54:AJ54)</f>
        <v>622.6</v>
      </c>
      <c r="AL54" s="1151">
        <f t="shared" si="86"/>
        <v>163.1</v>
      </c>
      <c r="AM54" s="1151">
        <f t="shared" si="86"/>
        <v>193.1</v>
      </c>
      <c r="AN54" s="1151">
        <f t="shared" si="86"/>
        <v>151.6</v>
      </c>
      <c r="AO54" s="1151">
        <f t="shared" si="86"/>
        <v>170.4</v>
      </c>
      <c r="AP54" s="649">
        <f>SUM(AL54:AO54)</f>
        <v>678.19999999999993</v>
      </c>
      <c r="AQ54" s="1151">
        <f t="shared" si="87"/>
        <v>167.9</v>
      </c>
      <c r="AR54" s="1151">
        <f t="shared" si="87"/>
        <v>168.1</v>
      </c>
      <c r="AS54" s="1151">
        <f t="shared" si="87"/>
        <v>138.29999999999998</v>
      </c>
      <c r="AT54" s="1151">
        <f t="shared" si="87"/>
        <v>127.1</v>
      </c>
      <c r="AU54" s="649">
        <f>SUM(AQ54:AT54)</f>
        <v>601.4</v>
      </c>
      <c r="AV54" s="1151">
        <f t="shared" si="88"/>
        <v>173.20000000000002</v>
      </c>
      <c r="AW54" s="1151">
        <f t="shared" si="88"/>
        <v>202.1</v>
      </c>
      <c r="AX54" s="1151">
        <f t="shared" si="88"/>
        <v>184.24935600614629</v>
      </c>
      <c r="AY54" s="1151">
        <f t="shared" si="88"/>
        <v>179.03509406138053</v>
      </c>
      <c r="AZ54" s="649">
        <f>SUM(AV54:AY54)</f>
        <v>738.58445006752686</v>
      </c>
      <c r="BA54" s="1151">
        <f t="shared" si="89"/>
        <v>203.10000000000002</v>
      </c>
      <c r="BB54" s="1151">
        <f>BB41-BB48</f>
        <v>207</v>
      </c>
      <c r="BC54" s="1151">
        <f t="shared" si="89"/>
        <v>203.1</v>
      </c>
      <c r="BD54" s="1151">
        <f>BD41-BD48</f>
        <v>206.3</v>
      </c>
      <c r="BE54" s="649">
        <f>SUM(BA54:BD54)</f>
        <v>819.5</v>
      </c>
      <c r="BF54" s="1151">
        <f>BF41-BF48</f>
        <v>199.4</v>
      </c>
      <c r="BG54" s="1151">
        <f t="shared" si="90"/>
        <v>245.78636724408278</v>
      </c>
      <c r="BH54" s="1151">
        <f t="shared" si="90"/>
        <v>231.4</v>
      </c>
      <c r="BI54" s="1151">
        <f t="shared" si="90"/>
        <v>226.9</v>
      </c>
      <c r="BJ54" s="649">
        <f>SUM(BF54:BI54)</f>
        <v>903.48636724408277</v>
      </c>
      <c r="BK54" s="1151">
        <f t="shared" si="91"/>
        <v>230.1</v>
      </c>
      <c r="BL54" s="1151">
        <f t="shared" si="91"/>
        <v>233.5</v>
      </c>
      <c r="BM54" s="1151">
        <f t="shared" si="91"/>
        <v>212.6</v>
      </c>
      <c r="BN54" s="1151">
        <f>BN41-BN48</f>
        <v>159.60000000000002</v>
      </c>
      <c r="BO54" s="649">
        <f>SUM(BK54:BN54)</f>
        <v>835.80000000000007</v>
      </c>
      <c r="BP54" s="1151">
        <f t="shared" si="92"/>
        <v>177.39999999999998</v>
      </c>
      <c r="BQ54" s="1151">
        <f t="shared" si="92"/>
        <v>199.3</v>
      </c>
      <c r="BR54" s="1151">
        <f t="shared" si="92"/>
        <v>150.89999999999998</v>
      </c>
      <c r="BS54" s="1151">
        <f t="shared" si="92"/>
        <v>151.19999999999999</v>
      </c>
      <c r="BT54" s="649">
        <f>SUM(BP54:BS54)</f>
        <v>678.8</v>
      </c>
      <c r="BU54" s="1151">
        <f t="shared" si="93"/>
        <v>157.69999999999999</v>
      </c>
      <c r="BV54" s="1151">
        <f t="shared" si="93"/>
        <v>177.2</v>
      </c>
      <c r="BW54" s="1151">
        <f t="shared" si="93"/>
        <v>185.5</v>
      </c>
      <c r="BX54" s="1151">
        <f>BX41-BX48</f>
        <v>193.3</v>
      </c>
      <c r="BY54" s="649">
        <f>SUM(BU54:BX54)</f>
        <v>713.7</v>
      </c>
      <c r="BZ54" s="1151">
        <f t="shared" si="94"/>
        <v>204.2</v>
      </c>
      <c r="CA54" s="1151">
        <f t="shared" si="94"/>
        <v>202.7</v>
      </c>
      <c r="CB54" s="1151">
        <f t="shared" si="94"/>
        <v>209</v>
      </c>
      <c r="CC54" s="1151">
        <f t="shared" ref="CC54:CE54" si="100">CC41-CC48</f>
        <v>234.34200000000013</v>
      </c>
      <c r="CD54" s="649"/>
      <c r="CE54" s="1151">
        <f t="shared" si="100"/>
        <v>232.89999999999998</v>
      </c>
      <c r="CF54" s="1151">
        <f t="shared" ref="CF54" si="101">CF41-CF48</f>
        <v>260.10000000000002</v>
      </c>
      <c r="CG54" s="1151">
        <f t="shared" si="97"/>
        <v>276.2</v>
      </c>
      <c r="CH54" s="1151">
        <f t="shared" ref="CH54" si="102">CH41-CH48</f>
        <v>284.2000000000001</v>
      </c>
      <c r="CI54" s="649"/>
      <c r="CJ54" s="1151">
        <f t="shared" ref="CJ54" si="103">CJ41-CJ48</f>
        <v>318.90577258328892</v>
      </c>
      <c r="CK54" s="1151">
        <f t="shared" si="99"/>
        <v>351.58174009845021</v>
      </c>
      <c r="CL54" s="1151">
        <f t="shared" si="99"/>
        <v>359.12102927370535</v>
      </c>
      <c r="CM54" s="1151">
        <f t="shared" si="99"/>
        <v>382.7495413052319</v>
      </c>
      <c r="CN54" s="649"/>
      <c r="CO54" s="1806"/>
      <c r="CP54" s="200"/>
      <c r="CQ54" s="201"/>
      <c r="CR54" s="200"/>
    </row>
    <row r="55" spans="1:96">
      <c r="A55" s="560" t="s">
        <v>445</v>
      </c>
      <c r="B55" s="560"/>
      <c r="C55" s="650">
        <f t="shared" ref="C55:Q55" si="104">SUM(C52:C54)</f>
        <v>315.16276891761328</v>
      </c>
      <c r="D55" s="650">
        <f t="shared" si="104"/>
        <v>338.38537179583642</v>
      </c>
      <c r="E55" s="650">
        <f t="shared" si="104"/>
        <v>302.27871565532706</v>
      </c>
      <c r="F55" s="650">
        <f t="shared" si="104"/>
        <v>271.12413236792537</v>
      </c>
      <c r="G55" s="649">
        <f t="shared" si="104"/>
        <v>1228.7111171889733</v>
      </c>
      <c r="H55" s="650">
        <f t="shared" si="104"/>
        <v>289.01745538797974</v>
      </c>
      <c r="I55" s="650">
        <f t="shared" si="104"/>
        <v>344.00748433691979</v>
      </c>
      <c r="J55" s="650">
        <f t="shared" si="104"/>
        <v>297.17616389466764</v>
      </c>
      <c r="K55" s="650">
        <f t="shared" si="104"/>
        <v>315.85602386810967</v>
      </c>
      <c r="L55" s="649">
        <f t="shared" si="104"/>
        <v>1150.349428443601</v>
      </c>
      <c r="M55" s="650">
        <f t="shared" si="104"/>
        <v>321.27284332818164</v>
      </c>
      <c r="N55" s="650">
        <f t="shared" si="104"/>
        <v>334.49602288352861</v>
      </c>
      <c r="O55" s="650">
        <f t="shared" si="104"/>
        <v>331.3660472650173</v>
      </c>
      <c r="P55" s="650">
        <f t="shared" si="104"/>
        <v>370.30048309156075</v>
      </c>
      <c r="Q55" s="649">
        <f t="shared" si="104"/>
        <v>1236.3</v>
      </c>
      <c r="R55" s="650">
        <f>R43-R49</f>
        <v>394.28100000000001</v>
      </c>
      <c r="S55" s="650">
        <f>S43-S49</f>
        <v>394.08499999999998</v>
      </c>
      <c r="T55" s="650">
        <f>T43-T49</f>
        <v>392.71299999999997</v>
      </c>
      <c r="U55" s="650">
        <f>U43-U49</f>
        <v>417.10199999999998</v>
      </c>
      <c r="V55" s="649">
        <f>SUM(V52:V54)</f>
        <v>1598.4</v>
      </c>
      <c r="W55" s="650">
        <f>SUM(W52:W54)</f>
        <v>461.6</v>
      </c>
      <c r="X55" s="650">
        <f>X43-X49</f>
        <v>485.92899999999997</v>
      </c>
      <c r="Y55" s="650">
        <f>Y43-Y49</f>
        <v>484.13900000000001</v>
      </c>
      <c r="Z55" s="650">
        <f>Z43-Z49</f>
        <v>516.67100000000005</v>
      </c>
      <c r="AA55" s="649">
        <f>SUM(AA52:AA54)</f>
        <v>1948.3000000000002</v>
      </c>
      <c r="AB55" s="650">
        <f>AB43-AB49</f>
        <v>679.97800000000007</v>
      </c>
      <c r="AC55" s="650">
        <f>AC43+15.2</f>
        <v>650.65600000000006</v>
      </c>
      <c r="AD55" s="650">
        <f>AD43-AD49</f>
        <v>603.99099999999987</v>
      </c>
      <c r="AE55" s="650">
        <f>AE43-AE49</f>
        <v>675.67499999999995</v>
      </c>
      <c r="AF55" s="649">
        <f>SUM(AB55:AE55)</f>
        <v>2610.3000000000002</v>
      </c>
      <c r="AG55" s="650">
        <f>SUM(AG52:AG54)</f>
        <v>635.70000000000005</v>
      </c>
      <c r="AH55" s="650">
        <f>SUM(AH52:AH54)</f>
        <v>733.1</v>
      </c>
      <c r="AI55" s="650">
        <f>SUM(AI52:AI54)</f>
        <v>840.59999999999991</v>
      </c>
      <c r="AJ55" s="650">
        <f>SUM(AJ52:AJ54)</f>
        <v>882.59999999999991</v>
      </c>
      <c r="AK55" s="649">
        <f>SUM(AG55:AJ55)</f>
        <v>3092</v>
      </c>
      <c r="AL55" s="650">
        <f>SUM(AL52:AL54)</f>
        <v>858.5</v>
      </c>
      <c r="AM55" s="650">
        <f>SUM(AM52:AM54)</f>
        <v>842.4</v>
      </c>
      <c r="AN55" s="650">
        <f>SUM(AN52:AN54)</f>
        <v>848.50000000000011</v>
      </c>
      <c r="AO55" s="650">
        <f>SUM(AO52:AO54)</f>
        <v>908.4</v>
      </c>
      <c r="AP55" s="649">
        <f>SUM(AL55:AO55)</f>
        <v>3457.8</v>
      </c>
      <c r="AQ55" s="650">
        <f>SUM(AQ52:AQ54)</f>
        <v>774</v>
      </c>
      <c r="AR55" s="650">
        <f>SUM(AR52:AR54)</f>
        <v>721</v>
      </c>
      <c r="AS55" s="650">
        <f>SUM(AS52:AS54)</f>
        <v>703.9</v>
      </c>
      <c r="AT55" s="650">
        <f>SUM(AT52:AT54)</f>
        <v>735.30000000000007</v>
      </c>
      <c r="AU55" s="649">
        <f>SUM(AQ55:AT55)</f>
        <v>2934.2000000000003</v>
      </c>
      <c r="AV55" s="650">
        <f>SUM(AV52:AV54)</f>
        <v>838.9</v>
      </c>
      <c r="AW55" s="650">
        <f>SUM(AW52:AW54)</f>
        <v>936.1</v>
      </c>
      <c r="AX55" s="650">
        <f>SUM(AX52:AX54)</f>
        <v>990.30000000000007</v>
      </c>
      <c r="AY55" s="650">
        <f>SUM(AY52:AY54)</f>
        <v>1010.384831148548</v>
      </c>
      <c r="AZ55" s="649">
        <f>SUM(AV55:AY55)</f>
        <v>3775.6848311485483</v>
      </c>
      <c r="BA55" s="650">
        <f>SUM(BA52:BA54)</f>
        <v>1033.5999999999999</v>
      </c>
      <c r="BB55" s="650">
        <f>SUM(BB52:BB54)</f>
        <v>995.2</v>
      </c>
      <c r="BC55" s="650">
        <f>SUM(BC52:BC54)</f>
        <v>988.80000000000007</v>
      </c>
      <c r="BD55" s="650">
        <f>SUM(BD52:BD54)</f>
        <v>1137.2</v>
      </c>
      <c r="BE55" s="649">
        <f>SUM(BA55:BD55)</f>
        <v>4154.8</v>
      </c>
      <c r="BF55" s="650">
        <f>SUM(BF52:BF54)</f>
        <v>1027.2</v>
      </c>
      <c r="BG55" s="650">
        <f>SUM(BG52:BG54)</f>
        <v>1128.3863672440827</v>
      </c>
      <c r="BH55" s="650">
        <f>SUM(BH52:BH54)</f>
        <v>1094.7</v>
      </c>
      <c r="BI55" s="650">
        <f>SUM(BI52:BI54)</f>
        <v>1168.4000000000001</v>
      </c>
      <c r="BJ55" s="649">
        <f>SUM(BF55:BI55)</f>
        <v>4418.6863672440832</v>
      </c>
      <c r="BK55" s="650">
        <f>SUM(BK52:BK54)</f>
        <v>1023.9</v>
      </c>
      <c r="BL55" s="650">
        <f>SUM(BL52:BL54)</f>
        <v>1026.7</v>
      </c>
      <c r="BM55" s="650">
        <f>SUM(BM52:BM54)</f>
        <v>1010.3000000000001</v>
      </c>
      <c r="BN55" s="650">
        <f>SUM(BN52:BN54)</f>
        <v>1052.4000000000001</v>
      </c>
      <c r="BO55" s="649">
        <f>SUM(BK55:BN55)</f>
        <v>4113.3</v>
      </c>
      <c r="BP55" s="650">
        <f>SUM(BP52:BP54)</f>
        <v>1013.6999999999999</v>
      </c>
      <c r="BQ55" s="650">
        <f>SUM(BQ52:BQ54)</f>
        <v>1062.5</v>
      </c>
      <c r="BR55" s="650">
        <f>SUM(BR52:BR54)</f>
        <v>997.19999999999993</v>
      </c>
      <c r="BS55" s="650">
        <f>SUM(BS52:BS54)</f>
        <v>1064.5</v>
      </c>
      <c r="BT55" s="649">
        <f>SUM(BP55:BS55)</f>
        <v>4137.8999999999996</v>
      </c>
      <c r="BU55" s="650">
        <f>SUM(BU52:BU54)</f>
        <v>1111.4000000000001</v>
      </c>
      <c r="BV55" s="650">
        <f>SUM(BV52:BV54)</f>
        <v>1187.6000000000001</v>
      </c>
      <c r="BW55" s="650">
        <f>SUM(BW52:BW54)</f>
        <v>1267.0999999999999</v>
      </c>
      <c r="BX55" s="650">
        <f>SUM(BX52:BX54)</f>
        <v>1364.8</v>
      </c>
      <c r="BY55" s="649">
        <f>SUM(BU55:BX55)</f>
        <v>4930.8999999999996</v>
      </c>
      <c r="BZ55" s="650">
        <f>SUM(BZ52:BZ54)</f>
        <v>1428.2</v>
      </c>
      <c r="CA55" s="650">
        <f>SUM(CA52:CA54)</f>
        <v>1416.8</v>
      </c>
      <c r="CB55" s="650">
        <f>SUM(CB52:CB54)</f>
        <v>1473.2</v>
      </c>
      <c r="CC55" s="650">
        <f>SUM(CC52:CC54)</f>
        <v>1640.73</v>
      </c>
      <c r="CD55" s="649"/>
      <c r="CE55" s="650">
        <f>SUM(CE52:CE54)</f>
        <v>1675.1999999999998</v>
      </c>
      <c r="CF55" s="650">
        <f>SUM(CF52:CF54)</f>
        <v>1778</v>
      </c>
      <c r="CG55" s="650">
        <f>SUM(CG52:CG54)</f>
        <v>1852.2</v>
      </c>
      <c r="CH55" s="650">
        <f>SUM(CH52:CH54)</f>
        <v>2012.0000000000002</v>
      </c>
      <c r="CI55" s="649"/>
      <c r="CJ55" s="650">
        <f>SUM(CJ52:CJ54)</f>
        <v>2012.7286830357989</v>
      </c>
      <c r="CK55" s="650">
        <f>SUM(CK52:CK54)</f>
        <v>2146.796012554958</v>
      </c>
      <c r="CL55" s="650">
        <f>SUM(CL52:CL54)</f>
        <v>2241.5895735370591</v>
      </c>
      <c r="CM55" s="650">
        <f>SUM(CM52:CM54)</f>
        <v>2358.0372143388263</v>
      </c>
      <c r="CN55" s="649"/>
      <c r="CO55" s="1806"/>
      <c r="CP55" s="200"/>
      <c r="CQ55" s="201"/>
      <c r="CR55" s="200"/>
    </row>
    <row r="56" spans="1:96" ht="5.25" customHeight="1">
      <c r="A56" s="654"/>
      <c r="B56" s="654"/>
      <c r="C56" s="866"/>
      <c r="D56" s="866"/>
      <c r="E56" s="866"/>
      <c r="F56" s="866"/>
      <c r="G56" s="867"/>
      <c r="H56" s="866"/>
      <c r="I56" s="866"/>
      <c r="J56" s="866"/>
      <c r="K56" s="866"/>
      <c r="L56" s="867"/>
      <c r="M56" s="866"/>
      <c r="N56" s="866"/>
      <c r="O56" s="866"/>
      <c r="P56" s="866"/>
      <c r="Q56" s="867"/>
      <c r="R56" s="866"/>
      <c r="S56" s="866"/>
      <c r="T56" s="866"/>
      <c r="U56" s="866"/>
      <c r="V56" s="867"/>
      <c r="W56" s="866"/>
      <c r="X56" s="866"/>
      <c r="Y56" s="866"/>
      <c r="Z56" s="866"/>
      <c r="AA56" s="867"/>
      <c r="AB56" s="866"/>
      <c r="AC56" s="866"/>
      <c r="AD56" s="866"/>
      <c r="AE56" s="866"/>
      <c r="AF56" s="867"/>
      <c r="AG56" s="866"/>
      <c r="AH56" s="866"/>
      <c r="AI56" s="866"/>
      <c r="AJ56" s="866"/>
      <c r="AK56" s="867"/>
      <c r="AL56" s="866"/>
      <c r="AM56" s="866"/>
      <c r="AN56" s="866"/>
      <c r="AO56" s="866"/>
      <c r="AP56" s="867"/>
      <c r="AQ56" s="866"/>
      <c r="AR56" s="866"/>
      <c r="AS56" s="866"/>
      <c r="AT56" s="866"/>
      <c r="AU56" s="867"/>
      <c r="AV56" s="866"/>
      <c r="AW56" s="866"/>
      <c r="AX56" s="866"/>
      <c r="AY56" s="866"/>
      <c r="AZ56" s="867"/>
      <c r="BA56" s="866"/>
      <c r="BB56" s="866"/>
      <c r="BC56" s="866"/>
      <c r="BD56" s="866"/>
      <c r="BE56" s="867"/>
      <c r="BF56" s="866"/>
      <c r="BG56" s="866"/>
      <c r="BH56" s="866"/>
      <c r="BI56" s="866"/>
      <c r="BJ56" s="867"/>
      <c r="BK56" s="866"/>
      <c r="BL56" s="866"/>
      <c r="BM56" s="866"/>
      <c r="BN56" s="866"/>
      <c r="BO56" s="867"/>
      <c r="BP56" s="866"/>
      <c r="BQ56" s="866"/>
      <c r="BR56" s="866"/>
      <c r="BS56" s="866"/>
      <c r="BT56" s="867"/>
      <c r="BU56" s="866"/>
      <c r="BV56" s="866"/>
      <c r="BW56" s="866"/>
      <c r="BX56" s="866"/>
      <c r="BY56" s="867"/>
      <c r="BZ56" s="866"/>
      <c r="CA56" s="866"/>
      <c r="CB56" s="866"/>
      <c r="CC56" s="866"/>
      <c r="CD56" s="867"/>
      <c r="CE56" s="866"/>
      <c r="CF56" s="866"/>
      <c r="CG56" s="866"/>
      <c r="CH56" s="866"/>
      <c r="CI56" s="867"/>
      <c r="CJ56" s="866"/>
      <c r="CK56" s="866"/>
      <c r="CL56" s="866"/>
      <c r="CM56" s="866"/>
      <c r="CN56" s="867"/>
      <c r="CO56" s="866"/>
      <c r="CP56" s="200"/>
      <c r="CQ56" s="201"/>
      <c r="CR56" s="200"/>
    </row>
    <row r="57" spans="1:96" hidden="1" outlineLevel="1">
      <c r="A57" s="865" t="s">
        <v>348</v>
      </c>
      <c r="B57" s="865"/>
      <c r="C57" s="553"/>
      <c r="D57" s="553"/>
      <c r="E57" s="553"/>
      <c r="F57" s="553"/>
      <c r="G57" s="557"/>
      <c r="H57" s="553"/>
      <c r="I57" s="553"/>
      <c r="J57" s="553"/>
      <c r="K57" s="553"/>
      <c r="L57" s="557"/>
      <c r="M57" s="553"/>
      <c r="N57" s="553"/>
      <c r="O57" s="553"/>
      <c r="P57" s="553"/>
      <c r="Q57" s="557"/>
      <c r="R57" s="553"/>
      <c r="S57" s="553"/>
      <c r="T57" s="553"/>
      <c r="U57" s="553"/>
      <c r="V57" s="557"/>
      <c r="W57" s="553"/>
      <c r="X57" s="553"/>
      <c r="Y57" s="553"/>
      <c r="Z57" s="553"/>
      <c r="AA57" s="557"/>
      <c r="AB57" s="553"/>
      <c r="AC57" s="553"/>
      <c r="AD57" s="553"/>
      <c r="AE57" s="553"/>
      <c r="AF57" s="557"/>
      <c r="AG57" s="553"/>
      <c r="AH57" s="553"/>
      <c r="AI57" s="553"/>
      <c r="AJ57" s="553"/>
      <c r="AK57" s="557"/>
      <c r="AL57" s="553"/>
      <c r="AM57" s="553"/>
      <c r="AN57" s="553"/>
      <c r="AO57" s="553"/>
      <c r="AP57" s="557"/>
      <c r="AQ57" s="553"/>
      <c r="AR57" s="553"/>
      <c r="AS57" s="553"/>
      <c r="AT57" s="553"/>
      <c r="AU57" s="557"/>
      <c r="AV57" s="553"/>
      <c r="AW57" s="553"/>
      <c r="AX57" s="553"/>
      <c r="AY57" s="553"/>
      <c r="AZ57" s="557"/>
      <c r="BA57" s="553"/>
      <c r="BB57" s="553"/>
      <c r="BC57" s="553"/>
      <c r="BD57" s="553"/>
      <c r="BE57" s="557"/>
      <c r="BF57" s="553"/>
      <c r="BG57" s="553"/>
      <c r="BH57" s="553"/>
      <c r="BI57" s="553"/>
      <c r="BJ57" s="557"/>
      <c r="BK57" s="553"/>
      <c r="BL57" s="553"/>
      <c r="BM57" s="553"/>
      <c r="BN57" s="553"/>
      <c r="BO57" s="557"/>
      <c r="BP57" s="553"/>
      <c r="BQ57" s="553"/>
      <c r="BR57" s="553"/>
      <c r="BS57" s="553"/>
      <c r="BT57" s="557"/>
      <c r="BU57" s="553"/>
      <c r="BV57" s="553"/>
      <c r="BW57" s="553"/>
      <c r="BX57" s="553"/>
      <c r="BY57" s="557"/>
      <c r="BZ57" s="553"/>
      <c r="CA57" s="553"/>
      <c r="CB57" s="553"/>
      <c r="CC57" s="553"/>
      <c r="CD57" s="557"/>
      <c r="CE57" s="553"/>
      <c r="CF57" s="553"/>
      <c r="CG57" s="553"/>
      <c r="CH57" s="553"/>
      <c r="CI57" s="557"/>
      <c r="CJ57" s="553"/>
      <c r="CK57" s="553"/>
      <c r="CL57" s="553"/>
      <c r="CM57" s="553"/>
      <c r="CN57" s="557"/>
      <c r="CO57" s="555"/>
      <c r="CP57" s="200"/>
      <c r="CQ57" s="201"/>
      <c r="CR57" s="200"/>
    </row>
    <row r="58" spans="1:96" hidden="1" outlineLevel="1">
      <c r="A58" s="560" t="s">
        <v>782</v>
      </c>
      <c r="B58" s="560"/>
      <c r="C58" s="873">
        <v>9.0397094889070662E-2</v>
      </c>
      <c r="D58" s="873">
        <v>5.2533638634765012E-2</v>
      </c>
      <c r="E58" s="873">
        <v>6.930618298510538E-2</v>
      </c>
      <c r="F58" s="873">
        <v>-4.5963694396776833E-2</v>
      </c>
      <c r="G58" s="868">
        <f>AVERAGE(C58:F58)</f>
        <v>4.1568305528041055E-2</v>
      </c>
      <c r="H58" s="873">
        <v>4.2653426431513264E-2</v>
      </c>
      <c r="I58" s="873">
        <v>-1.5008164012874081E-3</v>
      </c>
      <c r="J58" s="873">
        <v>-0.10709586922115555</v>
      </c>
      <c r="K58" s="873">
        <v>-8.7474227064236021E-2</v>
      </c>
      <c r="L58" s="868">
        <f>AVERAGE(H58:K58)</f>
        <v>-3.8354371563791428E-2</v>
      </c>
      <c r="M58" s="873">
        <v>-0.1626411442061616</v>
      </c>
      <c r="N58" s="873">
        <v>-0.19315990575245712</v>
      </c>
      <c r="O58" s="873">
        <v>-0.14410618882097259</v>
      </c>
      <c r="P58" s="873">
        <v>-0.14479863236417811</v>
      </c>
      <c r="Q58" s="868">
        <f>Q53/L40-1</f>
        <v>5.667506297229119E-3</v>
      </c>
      <c r="R58" s="1155">
        <v>-0.15910273683937148</v>
      </c>
      <c r="S58" s="1155">
        <v>-8.4504241376480049E-2</v>
      </c>
      <c r="T58" s="1155">
        <v>-6.605389504216963E-2</v>
      </c>
      <c r="U58" s="1155">
        <v>-8.0159873537727244E-2</v>
      </c>
      <c r="V58" s="868">
        <f>V53/Q40-1</f>
        <v>0.32712047541869271</v>
      </c>
      <c r="W58" s="873">
        <f>W53/R40-1</f>
        <v>-1.3185287994448291E-2</v>
      </c>
      <c r="X58" s="1155">
        <v>-6.5253214756025524E-2</v>
      </c>
      <c r="Y58" s="1155">
        <v>3.0836626768049324E-3</v>
      </c>
      <c r="Z58" s="1155">
        <v>4.5509607713812628E-2</v>
      </c>
      <c r="AA58" s="868">
        <f>AA53/V40-1</f>
        <v>0.1037857802400739</v>
      </c>
      <c r="AB58" s="1155">
        <v>7.7777777777777724E-2</v>
      </c>
      <c r="AC58" s="1155">
        <v>4.7504658690950219E-2</v>
      </c>
      <c r="AD58" s="1155">
        <v>-4.3716269322583989E-2</v>
      </c>
      <c r="AE58" s="1155">
        <v>-4.3716269322583989E-2</v>
      </c>
      <c r="AF58" s="868">
        <f t="shared" ref="AF58:AO59" si="105">AF53/AA40-1</f>
        <v>0.2794189652358412</v>
      </c>
      <c r="AG58" s="1207">
        <f t="shared" si="105"/>
        <v>-2.3188405797101463E-2</v>
      </c>
      <c r="AH58" s="1207">
        <f t="shared" si="105"/>
        <v>8.7699944842801969E-2</v>
      </c>
      <c r="AI58" s="1207">
        <f t="shared" si="105"/>
        <v>0.61850060459492129</v>
      </c>
      <c r="AJ58" s="1207">
        <f t="shared" si="105"/>
        <v>0.35582255083179293</v>
      </c>
      <c r="AK58" s="868">
        <f t="shared" si="105"/>
        <v>0.24724061810154496</v>
      </c>
      <c r="AL58" s="1207">
        <f t="shared" si="105"/>
        <v>0.38386648122392208</v>
      </c>
      <c r="AM58" s="1207">
        <f t="shared" si="105"/>
        <v>0.25889046941678506</v>
      </c>
      <c r="AN58" s="1207">
        <f t="shared" si="105"/>
        <v>-5.0444049733570084E-2</v>
      </c>
      <c r="AO58" s="1207">
        <f t="shared" si="105"/>
        <v>-9.1109016650959829E-3</v>
      </c>
      <c r="AP58" s="868">
        <f t="shared" ref="AP58:AY59" si="106">AP53/AK40-1</f>
        <v>0.11720576773187807</v>
      </c>
      <c r="AQ58" s="1207">
        <f t="shared" si="106"/>
        <v>-0.13553565915405985</v>
      </c>
      <c r="AR58" s="1207">
        <f t="shared" si="106"/>
        <v>-0.20196877121520718</v>
      </c>
      <c r="AS58" s="1207">
        <f t="shared" si="106"/>
        <v>-0.28716216216216217</v>
      </c>
      <c r="AT58" s="1207">
        <f t="shared" si="106"/>
        <v>-0.28821099459802979</v>
      </c>
      <c r="AU58" s="868">
        <f t="shared" si="106"/>
        <v>-0.22705824926781648</v>
      </c>
      <c r="AV58" s="1207">
        <f t="shared" si="106"/>
        <v>-7.2792792792792937E-2</v>
      </c>
      <c r="AW58" s="1207">
        <f t="shared" si="106"/>
        <v>0.29553903345724897</v>
      </c>
      <c r="AX58" s="1207">
        <f t="shared" si="106"/>
        <v>0.59098187560577853</v>
      </c>
      <c r="AY58" s="1207">
        <f t="shared" si="106"/>
        <v>0.41020723786319779</v>
      </c>
      <c r="AZ58" s="868">
        <f t="shared" ref="AZ58:BI59" si="107">AZ53/AU40-1</f>
        <v>0.27753297564971602</v>
      </c>
      <c r="BA58" s="1207">
        <f t="shared" si="107"/>
        <v>0.1771968046477852</v>
      </c>
      <c r="BB58" s="1207">
        <f>BB53/AW40-1</f>
        <v>6.596971881759206E-2</v>
      </c>
      <c r="BC58" s="1207">
        <f t="shared" si="107"/>
        <v>-7.1452420701168529E-2</v>
      </c>
      <c r="BD58" s="1207">
        <f t="shared" si="107"/>
        <v>0.1587057010785824</v>
      </c>
      <c r="BE58" s="868">
        <f t="shared" si="107"/>
        <v>8.2596872875594807E-2</v>
      </c>
      <c r="BF58" s="1207">
        <f t="shared" si="107"/>
        <v>3.0466518565534617E-2</v>
      </c>
      <c r="BG58" s="1207">
        <f t="shared" si="107"/>
        <v>6.2880975296759845E-2</v>
      </c>
      <c r="BH58" s="1207">
        <f t="shared" si="107"/>
        <v>4.0600477652678268E-2</v>
      </c>
      <c r="BI58" s="1207">
        <f t="shared" si="107"/>
        <v>-6.0629921259842567E-2</v>
      </c>
      <c r="BJ58" s="868">
        <f t="shared" ref="BJ58:BT59" si="108">BJ53/BE40-1</f>
        <v>1.6282194014212381E-2</v>
      </c>
      <c r="BK58" s="1207">
        <f t="shared" si="108"/>
        <v>-0.11248866041729666</v>
      </c>
      <c r="BL58" s="1207">
        <f t="shared" si="108"/>
        <v>-0.17599999999999993</v>
      </c>
      <c r="BM58" s="1207">
        <f t="shared" si="108"/>
        <v>-9.1034482758620583E-2</v>
      </c>
      <c r="BN58" s="1207">
        <f t="shared" si="108"/>
        <v>-8.7990828317569325E-2</v>
      </c>
      <c r="BO58" s="868">
        <f t="shared" si="108"/>
        <v>-0.11729539211652507</v>
      </c>
      <c r="BP58" s="1207">
        <f t="shared" si="108"/>
        <v>7.3949579831933399E-3</v>
      </c>
      <c r="BQ58" s="1207">
        <f t="shared" si="108"/>
        <v>8.0669710806697159E-2</v>
      </c>
      <c r="BR58" s="1207">
        <f t="shared" si="108"/>
        <v>1.8953752843062777E-3</v>
      </c>
      <c r="BS58" s="1207">
        <f t="shared" si="108"/>
        <v>-2.7531956735496688E-2</v>
      </c>
      <c r="BT58" s="868">
        <f t="shared" si="108"/>
        <v>1.427709744045913E-2</v>
      </c>
      <c r="BU58" s="1207">
        <f t="shared" ref="BU58:BZ59" si="109">BU53/BP40-1</f>
        <v>3.1020680453635707E-2</v>
      </c>
      <c r="BV58" s="1207">
        <f t="shared" si="109"/>
        <v>0.15037086985839498</v>
      </c>
      <c r="BW58" s="1207">
        <f t="shared" si="109"/>
        <v>0.39353197674418605</v>
      </c>
      <c r="BX58" s="1207">
        <f t="shared" si="109"/>
        <v>0.28260869565217384</v>
      </c>
      <c r="BY58" s="868">
        <f t="shared" si="109"/>
        <v>0.21095836800090639</v>
      </c>
      <c r="BZ58" s="1207">
        <f t="shared" si="109"/>
        <v>0.35949202214262455</v>
      </c>
      <c r="CA58" s="1207">
        <f t="shared" ref="CA58:CE59" si="110">CA53/BV40-1</f>
        <v>0.21673355974066078</v>
      </c>
      <c r="CB58" s="1207">
        <f t="shared" si="110"/>
        <v>0.17766352470722646</v>
      </c>
      <c r="CC58" s="1207">
        <f t="shared" si="110"/>
        <v>0.36368317388857618</v>
      </c>
      <c r="CD58" s="868"/>
      <c r="CE58" s="1207">
        <f t="shared" si="110"/>
        <v>0.20980290456431527</v>
      </c>
      <c r="CF58" s="1207">
        <f t="shared" ref="CF58:CH59" si="111">CF53/CA40-1</f>
        <v>0.2905937992643195</v>
      </c>
      <c r="CG58" s="1207">
        <f t="shared" si="111"/>
        <v>0.28160919540229878</v>
      </c>
      <c r="CH58" s="1207">
        <f t="shared" si="111"/>
        <v>0.27420469880928477</v>
      </c>
      <c r="CI58" s="868"/>
      <c r="CJ58" s="1207">
        <f t="shared" ref="CJ58:CJ59" si="112">CJ53/CE40-1</f>
        <v>0.11939467496459844</v>
      </c>
      <c r="CK58" s="1207">
        <f t="shared" ref="CK58:CK59" si="113">CK53/CF40-1</f>
        <v>0.21231870898626526</v>
      </c>
      <c r="CL58" s="1207">
        <f t="shared" ref="CL58:CL59" si="114">CL53/CG40-1</f>
        <v>0.23152316375407067</v>
      </c>
      <c r="CM58" s="1207">
        <f t="shared" ref="CM58:CM59" si="115">CM53/CH40-1</f>
        <v>0.18909984357145571</v>
      </c>
      <c r="CN58" s="868"/>
      <c r="CO58" s="1807"/>
      <c r="CP58" s="200"/>
      <c r="CQ58" s="201"/>
      <c r="CR58" s="200"/>
    </row>
    <row r="59" spans="1:96" hidden="1" outlineLevel="1">
      <c r="A59" s="560" t="s">
        <v>783</v>
      </c>
      <c r="B59" s="560"/>
      <c r="C59" s="873">
        <v>8.7960275947539968E-2</v>
      </c>
      <c r="D59" s="873">
        <v>0.1458352704271404</v>
      </c>
      <c r="E59" s="873">
        <v>0.14265671081727715</v>
      </c>
      <c r="F59" s="873">
        <v>0.11753215984612364</v>
      </c>
      <c r="G59" s="868">
        <f>AVERAGE(C59:F59)</f>
        <v>0.12349610425952029</v>
      </c>
      <c r="H59" s="873">
        <v>0.14120305878316519</v>
      </c>
      <c r="I59" s="873">
        <v>5.7779191047876211E-2</v>
      </c>
      <c r="J59" s="873">
        <v>-2.1342082315498168E-2</v>
      </c>
      <c r="K59" s="873">
        <v>1.0896620893164899E-2</v>
      </c>
      <c r="L59" s="868">
        <f>AVERAGE(H59:K59)</f>
        <v>4.7134197102177033E-2</v>
      </c>
      <c r="M59" s="873">
        <v>-8.5978757760459046E-2</v>
      </c>
      <c r="N59" s="873">
        <v>-8.3006115538471925E-2</v>
      </c>
      <c r="O59" s="873">
        <v>-1.296147544175974E-2</v>
      </c>
      <c r="P59" s="873">
        <v>-8.9294590015471687E-2</v>
      </c>
      <c r="Q59" s="868">
        <f>Q54/L41-1</f>
        <v>5.0493545937737361E-2</v>
      </c>
      <c r="R59" s="1155">
        <v>-0.10902754199333509</v>
      </c>
      <c r="S59" s="1155">
        <v>-7.7603330316060481E-2</v>
      </c>
      <c r="T59" s="1155">
        <v>-7.4775675170468681E-2</v>
      </c>
      <c r="U59" s="1155">
        <v>-2.969177669587908E-2</v>
      </c>
      <c r="V59" s="868">
        <f>V54/Q41-1</f>
        <v>0.18360886387618702</v>
      </c>
      <c r="W59" s="873">
        <f>W54/R41-1</f>
        <v>5.9561128526645746E-2</v>
      </c>
      <c r="X59" s="1155">
        <v>-2.7718068602979651E-2</v>
      </c>
      <c r="Y59" s="1155">
        <v>6.6854893865340159E-3</v>
      </c>
      <c r="Z59" s="1155">
        <v>6.4250060805523423E-2</v>
      </c>
      <c r="AA59" s="868">
        <f>AA54/V41-1</f>
        <v>0.15909732016925249</v>
      </c>
      <c r="AB59" s="1155">
        <v>6.3056379821958553E-2</v>
      </c>
      <c r="AC59" s="1155">
        <v>8.4543127547749064E-2</v>
      </c>
      <c r="AD59" s="1155">
        <v>4.5079544047919473E-2</v>
      </c>
      <c r="AE59" s="1155">
        <v>4.5079544047919473E-2</v>
      </c>
      <c r="AF59" s="868">
        <f t="shared" si="105"/>
        <v>0.35217685431263557</v>
      </c>
      <c r="AG59" s="1207">
        <f t="shared" si="105"/>
        <v>2.9673590504450953E-3</v>
      </c>
      <c r="AH59" s="1207">
        <f t="shared" si="105"/>
        <v>2.7646662171274317E-2</v>
      </c>
      <c r="AI59" s="1207">
        <f t="shared" si="105"/>
        <v>0.3613616779059392</v>
      </c>
      <c r="AJ59" s="1207">
        <f t="shared" si="105"/>
        <v>0.26323957322987401</v>
      </c>
      <c r="AK59" s="868">
        <f t="shared" si="105"/>
        <v>0.15624756252019645</v>
      </c>
      <c r="AL59" s="1207">
        <f t="shared" si="105"/>
        <v>0.20457902511078285</v>
      </c>
      <c r="AM59" s="1207">
        <f t="shared" si="105"/>
        <v>0.27711640211640209</v>
      </c>
      <c r="AN59" s="1207">
        <f t="shared" si="105"/>
        <v>-0.10560471976401187</v>
      </c>
      <c r="AO59" s="1207">
        <f t="shared" si="105"/>
        <v>2.3423423423423406E-2</v>
      </c>
      <c r="AP59" s="868">
        <f t="shared" si="106"/>
        <v>8.9302923225184516E-2</v>
      </c>
      <c r="AQ59" s="1207">
        <f t="shared" si="106"/>
        <v>-1.0023584905660354E-2</v>
      </c>
      <c r="AR59" s="1207">
        <f t="shared" si="106"/>
        <v>-0.1937649880095923</v>
      </c>
      <c r="AS59" s="1207">
        <f t="shared" si="106"/>
        <v>-0.14471243042671622</v>
      </c>
      <c r="AT59" s="1207">
        <f t="shared" si="106"/>
        <v>-0.28595505617977535</v>
      </c>
      <c r="AU59" s="868">
        <f t="shared" si="106"/>
        <v>-0.16216216216216217</v>
      </c>
      <c r="AV59" s="1207">
        <f t="shared" si="106"/>
        <v>-5.2516411378555783E-2</v>
      </c>
      <c r="AW59" s="1207">
        <f t="shared" si="106"/>
        <v>0.1770529994175889</v>
      </c>
      <c r="AX59" s="1207">
        <f t="shared" si="106"/>
        <v>0.2559601636410791</v>
      </c>
      <c r="AY59" s="1207">
        <f t="shared" si="106"/>
        <v>0.34511716049121377</v>
      </c>
      <c r="AZ59" s="868">
        <f t="shared" si="107"/>
        <v>0.16440871837856985</v>
      </c>
      <c r="BA59" s="1207">
        <f t="shared" si="107"/>
        <v>0.16123499142367081</v>
      </c>
      <c r="BB59" s="1207">
        <f>BB54/AW41-1</f>
        <v>-1.6159695817490549E-2</v>
      </c>
      <c r="BC59" s="1207">
        <f t="shared" si="107"/>
        <v>3.1488065007617916E-2</v>
      </c>
      <c r="BD59" s="1207">
        <f t="shared" si="107"/>
        <v>8.2371458551941279E-2</v>
      </c>
      <c r="BE59" s="868">
        <f t="shared" si="107"/>
        <v>6.0429606625258758E-2</v>
      </c>
      <c r="BF59" s="1207">
        <f t="shared" si="107"/>
        <v>-3.3446437227338865E-2</v>
      </c>
      <c r="BG59" s="1207">
        <f t="shared" si="107"/>
        <v>0.12231217919672499</v>
      </c>
      <c r="BH59" s="1207">
        <f t="shared" si="107"/>
        <v>8.8941176470588301E-2</v>
      </c>
      <c r="BI59" s="1207">
        <f t="shared" si="107"/>
        <v>4.9006010171058767E-2</v>
      </c>
      <c r="BJ59" s="868">
        <f t="shared" si="108"/>
        <v>5.5285186921514518E-2</v>
      </c>
      <c r="BK59" s="1207">
        <f t="shared" si="108"/>
        <v>8.845789971617779E-2</v>
      </c>
      <c r="BL59" s="1207">
        <f t="shared" si="108"/>
        <v>-5.8847239016525554E-2</v>
      </c>
      <c r="BM59" s="1207">
        <f t="shared" si="108"/>
        <v>-8.4804132587171788E-2</v>
      </c>
      <c r="BN59" s="1207">
        <f t="shared" si="108"/>
        <v>-0.27750113173381608</v>
      </c>
      <c r="BO59" s="868">
        <f t="shared" si="108"/>
        <v>-8.4646606746297426E-2</v>
      </c>
      <c r="BP59" s="1207">
        <f t="shared" si="108"/>
        <v>-0.15564017134697772</v>
      </c>
      <c r="BQ59" s="1207">
        <f t="shared" si="108"/>
        <v>-0.10346378767431397</v>
      </c>
      <c r="BR59" s="1207">
        <f t="shared" si="108"/>
        <v>-0.23478701825557813</v>
      </c>
      <c r="BS59" s="1207">
        <f t="shared" si="108"/>
        <v>-6.6666666666666763E-2</v>
      </c>
      <c r="BT59" s="868">
        <f t="shared" si="108"/>
        <v>-0.14392561905600731</v>
      </c>
      <c r="BU59" s="1207">
        <f t="shared" si="109"/>
        <v>-3.6652412950519242E-2</v>
      </c>
      <c r="BV59" s="1207">
        <f t="shared" si="109"/>
        <v>-7.9002079002079117E-2</v>
      </c>
      <c r="BW59" s="1207">
        <f t="shared" si="109"/>
        <v>0.25168690958164652</v>
      </c>
      <c r="BX59" s="1207">
        <f t="shared" si="109"/>
        <v>0.30168350168350178</v>
      </c>
      <c r="BY59" s="868">
        <f t="shared" si="109"/>
        <v>9.3459952079046005E-2</v>
      </c>
      <c r="BZ59" s="1207">
        <f t="shared" si="109"/>
        <v>0.29650793650793639</v>
      </c>
      <c r="CA59" s="1207">
        <f t="shared" si="110"/>
        <v>0.19869899467770558</v>
      </c>
      <c r="CB59" s="1207">
        <f t="shared" si="110"/>
        <v>0.23231132075471694</v>
      </c>
      <c r="CC59" s="1207">
        <f t="shared" si="110"/>
        <v>0.34062929061784963</v>
      </c>
      <c r="CD59" s="868"/>
      <c r="CE59" s="1207">
        <f t="shared" si="110"/>
        <v>0.21809623430962333</v>
      </c>
      <c r="CF59" s="1207">
        <f t="shared" si="111"/>
        <v>0.31297324583543684</v>
      </c>
      <c r="CG59" s="1207">
        <f t="shared" si="111"/>
        <v>0.30344502123643213</v>
      </c>
      <c r="CH59" s="1207">
        <f t="shared" si="111"/>
        <v>0.21483102649374608</v>
      </c>
      <c r="CI59" s="868"/>
      <c r="CJ59" s="1207">
        <f t="shared" si="112"/>
        <v>0.2926865528305187</v>
      </c>
      <c r="CK59" s="1207">
        <f t="shared" si="113"/>
        <v>0.30408657306546805</v>
      </c>
      <c r="CL59" s="1207">
        <f t="shared" si="114"/>
        <v>0.29553040863530078</v>
      </c>
      <c r="CM59" s="1207">
        <f t="shared" si="115"/>
        <v>0.24918257606146144</v>
      </c>
      <c r="CN59" s="868"/>
      <c r="CO59" s="1807"/>
      <c r="CP59" s="200"/>
      <c r="CQ59" s="201"/>
      <c r="CR59" s="200"/>
    </row>
    <row r="60" spans="1:96" hidden="1" outlineLevel="1">
      <c r="A60" s="560" t="s">
        <v>445</v>
      </c>
      <c r="B60" s="560"/>
      <c r="C60" s="874" t="s">
        <v>131</v>
      </c>
      <c r="D60" s="874" t="s">
        <v>131</v>
      </c>
      <c r="E60" s="874" t="s">
        <v>131</v>
      </c>
      <c r="F60" s="874" t="s">
        <v>131</v>
      </c>
      <c r="G60" s="875" t="s">
        <v>131</v>
      </c>
      <c r="H60" s="657">
        <f>$L$92/($L$92+$L$93)*H58+$L$93/($L$92+$L$93)*H59</f>
        <v>8.7331521373725157E-2</v>
      </c>
      <c r="I60" s="657">
        <f>$L$92/($L$92+$L$93)*I58+$L$93/($L$92+$L$93)*I59</f>
        <v>2.5374147388918609E-2</v>
      </c>
      <c r="J60" s="657">
        <f>$L$92/($L$93+$L$93)*J58+$L$93/($L$92+$L$93)*J59</f>
        <v>-7.4242097209604285E-2</v>
      </c>
      <c r="K60" s="657">
        <f>$L$92/($L$92+$L$93)*K58+$L$93/($L$92+$L$93)*K59</f>
        <v>-4.2877185150329997E-2</v>
      </c>
      <c r="L60" s="868">
        <f>$L$92/($L$92+$L$93)*L58+$L$93/($L$92+$L$93)*L59</f>
        <v>4.0240810336191618E-4</v>
      </c>
      <c r="M60" s="657">
        <f>$Q$92/($Q$92+$Q$93)*M58+$Q$93/($Q$92+$Q$93)*M59</f>
        <v>-0.12934073707627125</v>
      </c>
      <c r="N60" s="657">
        <f>$Q$92/($Q$92+$Q$93)*N58+$Q$93/($Q$92+$Q$93)*N59</f>
        <v>-0.14531159015606906</v>
      </c>
      <c r="O60" s="657">
        <f>$Q$92/($Q$92+$Q$93)*O58+$Q$93/($Q$92+$Q$93)*O59</f>
        <v>-8.7139890862668226E-2</v>
      </c>
      <c r="P60" s="657">
        <f>$Q$92/($Q$92+$Q$93)*P58+$Q$93/($Q$92+$Q$93)*P59</f>
        <v>-0.1206889314631281</v>
      </c>
      <c r="Q60" s="868">
        <f t="shared" ref="Q60:BJ60" si="116">Q55/L43-1</f>
        <v>6.1394863271256206E-2</v>
      </c>
      <c r="R60" s="873">
        <f t="shared" si="116"/>
        <v>0.32801495478199372</v>
      </c>
      <c r="S60" s="873">
        <f t="shared" si="116"/>
        <v>0.23095400223647977</v>
      </c>
      <c r="T60" s="873">
        <f t="shared" si="116"/>
        <v>0.23060459636126618</v>
      </c>
      <c r="U60" s="873">
        <f t="shared" si="116"/>
        <v>0.16318540043392682</v>
      </c>
      <c r="V60" s="868">
        <f t="shared" si="116"/>
        <v>0.23452499287506723</v>
      </c>
      <c r="W60" s="873">
        <f t="shared" si="116"/>
        <v>9.0528514154899486E-2</v>
      </c>
      <c r="X60" s="873">
        <f t="shared" si="116"/>
        <v>0.18494702317812162</v>
      </c>
      <c r="Y60" s="873">
        <f t="shared" si="116"/>
        <v>0.19921577952654501</v>
      </c>
      <c r="Z60" s="873">
        <f t="shared" si="116"/>
        <v>0.20295365330079984</v>
      </c>
      <c r="AA60" s="868">
        <f t="shared" si="116"/>
        <v>0.16904008866055742</v>
      </c>
      <c r="AB60" s="873">
        <f t="shared" si="116"/>
        <v>0.43794434975321561</v>
      </c>
      <c r="AC60" s="873">
        <f t="shared" si="116"/>
        <v>0.31172975773593903</v>
      </c>
      <c r="AD60" s="873">
        <f t="shared" si="116"/>
        <v>0.24012861393030094</v>
      </c>
      <c r="AE60" s="873">
        <f t="shared" si="116"/>
        <v>0.32388987618810594</v>
      </c>
      <c r="AF60" s="868">
        <f t="shared" si="116"/>
        <v>0.32750451223376031</v>
      </c>
      <c r="AG60" s="1207">
        <f t="shared" si="116"/>
        <v>-3.0173400175139364E-2</v>
      </c>
      <c r="AH60" s="1207">
        <f t="shared" si="116"/>
        <v>0.15365973411219658</v>
      </c>
      <c r="AI60" s="1207">
        <f t="shared" si="116"/>
        <v>0.39590262890013306</v>
      </c>
      <c r="AJ60" s="1207">
        <f t="shared" si="116"/>
        <v>0.29380290981053236</v>
      </c>
      <c r="AK60" s="868">
        <f t="shared" si="116"/>
        <v>0.2006368190113772</v>
      </c>
      <c r="AL60" s="1207">
        <f t="shared" si="116"/>
        <v>0.32197527898528966</v>
      </c>
      <c r="AM60" s="1207">
        <f t="shared" si="116"/>
        <v>0.12986317979229511</v>
      </c>
      <c r="AN60" s="1207">
        <f t="shared" si="116"/>
        <v>-3.7408152769915493E-3</v>
      </c>
      <c r="AO60" s="1207">
        <f t="shared" si="116"/>
        <v>-3.0849056914370454E-3</v>
      </c>
      <c r="AP60" s="868">
        <f t="shared" si="116"/>
        <v>9.4974763140219576E-2</v>
      </c>
      <c r="AQ60" s="1207">
        <f t="shared" si="116"/>
        <v>-0.13077169280528267</v>
      </c>
      <c r="AR60" s="1207">
        <f t="shared" si="116"/>
        <v>-0.18704320510189587</v>
      </c>
      <c r="AS60" s="1207">
        <f t="shared" si="116"/>
        <v>-0.20665601962001989</v>
      </c>
      <c r="AT60" s="1207">
        <f t="shared" si="116"/>
        <v>-0.19665771150692501</v>
      </c>
      <c r="AU60" s="868">
        <f t="shared" si="116"/>
        <v>-0.18036564820864553</v>
      </c>
      <c r="AV60" s="1207">
        <f t="shared" si="116"/>
        <v>6.6773483894759567E-2</v>
      </c>
      <c r="AW60" s="1207">
        <f t="shared" si="116"/>
        <v>0.3284175780823162</v>
      </c>
      <c r="AX60" s="1207">
        <f t="shared" si="116"/>
        <v>0.41977069764174413</v>
      </c>
      <c r="AY60" s="1207">
        <f t="shared" si="116"/>
        <v>0.33422357447420303</v>
      </c>
      <c r="AZ60" s="868">
        <f t="shared" si="116"/>
        <v>0.28169492203057933</v>
      </c>
      <c r="BA60" s="1211">
        <f t="shared" si="116"/>
        <v>0.20367998136718279</v>
      </c>
      <c r="BB60" s="1207">
        <f t="shared" si="116"/>
        <v>5.5316080527233913E-2</v>
      </c>
      <c r="BC60" s="1207">
        <f t="shared" si="116"/>
        <v>-1.5338491940475318E-3</v>
      </c>
      <c r="BD60" s="1207">
        <f t="shared" si="116"/>
        <v>0.12823504433769273</v>
      </c>
      <c r="BE60" s="868">
        <f t="shared" si="116"/>
        <v>9.3368421052631545E-2</v>
      </c>
      <c r="BF60" s="1211">
        <f t="shared" si="116"/>
        <v>-4.9235870959207784E-4</v>
      </c>
      <c r="BG60" s="1207">
        <f t="shared" si="116"/>
        <v>0.10282400952725057</v>
      </c>
      <c r="BH60" s="1207">
        <f t="shared" si="116"/>
        <v>8.0425419359423378E-2</v>
      </c>
      <c r="BI60" s="1207">
        <f t="shared" si="116"/>
        <v>1.4094384378572355E-2</v>
      </c>
      <c r="BJ60" s="868">
        <f t="shared" si="116"/>
        <v>4.8011380528441006E-2</v>
      </c>
      <c r="BK60" s="1211">
        <f t="shared" ref="BK60:BT60" si="117">BK55/BF43-1</f>
        <v>-2.0397619639884512E-2</v>
      </c>
      <c r="BL60" s="1207">
        <f t="shared" si="117"/>
        <v>-8.6930576664659753E-2</v>
      </c>
      <c r="BM60" s="1207">
        <f t="shared" si="117"/>
        <v>-6.5039145644005925E-2</v>
      </c>
      <c r="BN60" s="1207">
        <f t="shared" si="117"/>
        <v>-8.7589342377677459E-2</v>
      </c>
      <c r="BO60" s="868">
        <f t="shared" si="117"/>
        <v>-6.5939668145506447E-2</v>
      </c>
      <c r="BP60" s="1211">
        <f t="shared" si="117"/>
        <v>5.7814823891502165E-3</v>
      </c>
      <c r="BQ60" s="1207">
        <f t="shared" si="117"/>
        <v>5.1408689732016954E-2</v>
      </c>
      <c r="BR60" s="1207">
        <f t="shared" si="117"/>
        <v>2.091207182256527E-3</v>
      </c>
      <c r="BS60" s="1207">
        <f t="shared" si="117"/>
        <v>2.1888280587770703E-2</v>
      </c>
      <c r="BT60" s="868">
        <f t="shared" si="117"/>
        <v>2.0383503812351433E-2</v>
      </c>
      <c r="BU60" s="1211">
        <f t="shared" ref="BU60:CE60" si="118">BU55/BP43-1</f>
        <v>0.11126664800223973</v>
      </c>
      <c r="BV60" s="1207">
        <f t="shared" si="118"/>
        <v>0.11176849452541093</v>
      </c>
      <c r="BW60" s="1207">
        <f t="shared" si="118"/>
        <v>0.26028312855763147</v>
      </c>
      <c r="BX60" s="1207">
        <f t="shared" si="118"/>
        <v>0.27155911333720906</v>
      </c>
      <c r="BY60" s="868">
        <f t="shared" si="118"/>
        <v>0.18900957665240337</v>
      </c>
      <c r="BZ60" s="1207">
        <f t="shared" si="118"/>
        <v>0.28761671900257935</v>
      </c>
      <c r="CA60" s="1207">
        <f t="shared" si="118"/>
        <v>0.21911134286387912</v>
      </c>
      <c r="CB60" s="1207">
        <f t="shared" si="118"/>
        <v>0.2097542389026481</v>
      </c>
      <c r="CC60" s="1207">
        <f t="shared" si="118"/>
        <v>0.25591317846546735</v>
      </c>
      <c r="CD60" s="868"/>
      <c r="CE60" s="1207">
        <f t="shared" si="118"/>
        <v>0.21098649278735793</v>
      </c>
      <c r="CF60" s="1207">
        <f>CF55/CA43-1</f>
        <v>0.27117220236661077</v>
      </c>
      <c r="CG60" s="1207">
        <f>CG55/CB43-1</f>
        <v>0.26519245310857409</v>
      </c>
      <c r="CH60" s="1207">
        <f>CH55/CC43-1</f>
        <v>0.25091782676031582</v>
      </c>
      <c r="CI60" s="868"/>
      <c r="CJ60" s="1207">
        <f t="shared" ref="CJ60" si="119">CJ55/CE43-1</f>
        <v>0.19688012996540238</v>
      </c>
      <c r="CK60" s="1207">
        <f>CK55/CF43-1</f>
        <v>0.21138027669434867</v>
      </c>
      <c r="CL60" s="1207">
        <f>CL55/CG43-1</f>
        <v>0.21754452756220499</v>
      </c>
      <c r="CM60" s="1207">
        <f>CM55/CH43-1</f>
        <v>0.17514357124323854</v>
      </c>
      <c r="CN60" s="868"/>
      <c r="CO60" s="1807"/>
      <c r="CP60" s="200"/>
      <c r="CQ60" s="201"/>
      <c r="CR60" s="200"/>
    </row>
    <row r="61" spans="1:96" hidden="1" outlineLevel="1">
      <c r="A61" s="560"/>
      <c r="B61" s="560"/>
      <c r="C61" s="874"/>
      <c r="D61" s="874"/>
      <c r="E61" s="874"/>
      <c r="F61" s="874"/>
      <c r="G61" s="875"/>
      <c r="H61" s="657"/>
      <c r="I61" s="657"/>
      <c r="J61" s="657"/>
      <c r="K61" s="657"/>
      <c r="L61" s="868"/>
      <c r="M61" s="657"/>
      <c r="N61" s="657"/>
      <c r="O61" s="657"/>
      <c r="P61" s="657"/>
      <c r="Q61" s="868"/>
      <c r="R61" s="873"/>
      <c r="S61" s="873"/>
      <c r="T61" s="873"/>
      <c r="U61" s="873"/>
      <c r="V61" s="868"/>
      <c r="W61" s="873"/>
      <c r="X61" s="873"/>
      <c r="Y61" s="873"/>
      <c r="Z61" s="873"/>
      <c r="AA61" s="868"/>
      <c r="AB61" s="873"/>
      <c r="AC61" s="873"/>
      <c r="AD61" s="873"/>
      <c r="AE61" s="873"/>
      <c r="AF61" s="868"/>
      <c r="AG61" s="873"/>
      <c r="AH61" s="873"/>
      <c r="AI61" s="873"/>
      <c r="AJ61" s="873"/>
      <c r="AK61" s="868"/>
      <c r="AL61" s="873"/>
      <c r="AM61" s="873"/>
      <c r="AN61" s="873"/>
      <c r="AO61" s="873"/>
      <c r="AP61" s="868"/>
      <c r="AQ61" s="873"/>
      <c r="AR61" s="873"/>
      <c r="AS61" s="873"/>
      <c r="AT61" s="873"/>
      <c r="AU61" s="868"/>
      <c r="AV61" s="873"/>
      <c r="AW61" s="657"/>
      <c r="AX61" s="657"/>
      <c r="AY61" s="657"/>
      <c r="AZ61" s="868"/>
      <c r="BA61" s="657"/>
      <c r="BB61" s="657"/>
      <c r="BC61" s="657"/>
      <c r="BD61" s="657"/>
      <c r="BE61" s="868"/>
      <c r="BF61" s="657"/>
      <c r="BG61" s="657"/>
      <c r="BH61" s="657"/>
      <c r="BI61" s="657"/>
      <c r="BJ61" s="868"/>
      <c r="BK61" s="657"/>
      <c r="BL61" s="657"/>
      <c r="BM61" s="657"/>
      <c r="BN61" s="657"/>
      <c r="BO61" s="868"/>
      <c r="BP61" s="657"/>
      <c r="BQ61" s="657"/>
      <c r="BR61" s="657"/>
      <c r="BS61" s="657"/>
      <c r="BT61" s="868"/>
      <c r="BU61" s="657"/>
      <c r="BV61" s="657"/>
      <c r="BW61" s="657"/>
      <c r="BX61" s="657"/>
      <c r="BY61" s="868"/>
      <c r="BZ61" s="657"/>
      <c r="CA61" s="657"/>
      <c r="CB61" s="657"/>
      <c r="CC61" s="657"/>
      <c r="CD61" s="868"/>
      <c r="CE61" s="657"/>
      <c r="CF61" s="657"/>
      <c r="CG61" s="657"/>
      <c r="CH61" s="657"/>
      <c r="CI61" s="868"/>
      <c r="CJ61" s="657"/>
      <c r="CK61" s="657"/>
      <c r="CL61" s="657"/>
      <c r="CM61" s="657"/>
      <c r="CN61" s="868"/>
      <c r="CO61" s="1807"/>
      <c r="CP61" s="200"/>
      <c r="CQ61" s="201"/>
      <c r="CR61" s="200"/>
    </row>
    <row r="62" spans="1:96" hidden="1" outlineLevel="1">
      <c r="A62" s="560" t="s">
        <v>410</v>
      </c>
      <c r="B62" s="560"/>
      <c r="C62" s="874"/>
      <c r="D62" s="874"/>
      <c r="E62" s="874"/>
      <c r="F62" s="874"/>
      <c r="G62" s="875"/>
      <c r="H62" s="657"/>
      <c r="I62" s="657"/>
      <c r="J62" s="657"/>
      <c r="K62" s="657"/>
      <c r="L62" s="868"/>
      <c r="M62" s="657"/>
      <c r="N62" s="657"/>
      <c r="O62" s="657"/>
      <c r="P62" s="657"/>
      <c r="Q62" s="868"/>
      <c r="R62" s="873"/>
      <c r="S62" s="873"/>
      <c r="T62" s="873"/>
      <c r="U62" s="873"/>
      <c r="V62" s="868"/>
      <c r="W62" s="873"/>
      <c r="X62" s="873"/>
      <c r="Y62" s="873"/>
      <c r="Z62" s="873"/>
      <c r="AA62" s="868"/>
      <c r="AB62" s="873"/>
      <c r="AC62" s="873"/>
      <c r="AD62" s="873"/>
      <c r="AE62" s="873"/>
      <c r="AF62" s="868"/>
      <c r="AG62" s="873"/>
      <c r="AH62" s="873"/>
      <c r="AI62" s="873"/>
      <c r="AJ62" s="873"/>
      <c r="AK62" s="868"/>
      <c r="AL62" s="1208">
        <f t="shared" ref="AL62:AU62" si="120">AL76-AL58</f>
        <v>0.11775614279091329</v>
      </c>
      <c r="AM62" s="1208">
        <f t="shared" si="120"/>
        <v>0.1379800853485067</v>
      </c>
      <c r="AN62" s="1208">
        <f t="shared" si="120"/>
        <v>0.10195381882770871</v>
      </c>
      <c r="AO62" s="1208">
        <f t="shared" si="120"/>
        <v>-2.1991831605402412E-3</v>
      </c>
      <c r="AP62" s="1209">
        <f t="shared" si="120"/>
        <v>8.037802026500418E-2</v>
      </c>
      <c r="AQ62" s="1208">
        <f t="shared" si="120"/>
        <v>-7.7184316146958754E-3</v>
      </c>
      <c r="AR62" s="1208">
        <f t="shared" si="120"/>
        <v>-6.7549219280380157E-2</v>
      </c>
      <c r="AS62" s="1208">
        <f t="shared" si="120"/>
        <v>-5.0000000000000044E-2</v>
      </c>
      <c r="AT62" s="1208">
        <f t="shared" si="120"/>
        <v>5.0842071814426348E-2</v>
      </c>
      <c r="AU62" s="581">
        <f t="shared" si="120"/>
        <v>-1.7246989912138022E-2</v>
      </c>
      <c r="AV62" s="1208">
        <f>AV76-AV58</f>
        <v>6.5225225225225336E-2</v>
      </c>
      <c r="AW62" s="1208">
        <f>AW76-AW58</f>
        <v>-6.5055762081782653E-3</v>
      </c>
      <c r="AX62" s="1210">
        <f>AX72</f>
        <v>-8.822263081997106E-2</v>
      </c>
      <c r="AY62" s="1210">
        <f>AY72</f>
        <v>-5.8123904529864601E-2</v>
      </c>
      <c r="AZ62" s="581">
        <f>AZ76-AZ58</f>
        <v>-1.0658177501368549E-2</v>
      </c>
      <c r="BA62" s="1208">
        <f>BA76-BA58</f>
        <v>-3.304284676833702E-2</v>
      </c>
      <c r="BB62" s="1210">
        <f t="shared" ref="BB62:BD63" si="121">BB72</f>
        <v>8.280707845064772E-2</v>
      </c>
      <c r="BC62" s="1210">
        <f t="shared" si="121"/>
        <v>0.10131163761048156</v>
      </c>
      <c r="BD62" s="1210">
        <f t="shared" si="121"/>
        <v>4.5501999916580105E-3</v>
      </c>
      <c r="BE62" s="581">
        <f>BE76-BE58</f>
        <v>2.0198390357384799E-2</v>
      </c>
      <c r="BF62" s="1210">
        <f t="shared" ref="BF62:BI63" si="122">BF72</f>
        <v>-1.7445253867780397E-2</v>
      </c>
      <c r="BG62" s="1210">
        <f>BG72</f>
        <v>-5.4150633737749199E-2</v>
      </c>
      <c r="BH62" s="1210">
        <f t="shared" si="122"/>
        <v>-8.7288280358150505E-2</v>
      </c>
      <c r="BI62" s="1210">
        <f t="shared" si="122"/>
        <v>-2.017833170429334E-2</v>
      </c>
      <c r="BJ62" s="581">
        <f>BJ76-BJ58</f>
        <v>-1.8418367581255035E-2</v>
      </c>
      <c r="BK62" s="1210">
        <f t="shared" ref="BK62:BM63" si="123">BK72</f>
        <v>1.3991299258859891E-2</v>
      </c>
      <c r="BL62" s="1210">
        <f t="shared" si="123"/>
        <v>-2.4031968643057344E-2</v>
      </c>
      <c r="BM62" s="1210">
        <f t="shared" si="123"/>
        <v>5.2047007704616011E-2</v>
      </c>
      <c r="BN62" s="1210">
        <f>BN72</f>
        <v>2.2593302238887225E-2</v>
      </c>
      <c r="BO62" s="581">
        <f>BO76-BO58</f>
        <v>-1.1206933316715517E-2</v>
      </c>
      <c r="BP62" s="1210">
        <f t="shared" ref="BP62:BS63" si="124">BP72</f>
        <v>3.4194044210942631E-2</v>
      </c>
      <c r="BQ62" s="1210">
        <f t="shared" si="124"/>
        <v>8.0811592338753568E-2</v>
      </c>
      <c r="BR62" s="1210">
        <f t="shared" si="124"/>
        <v>3.119924655568318E-2</v>
      </c>
      <c r="BS62" s="1210">
        <f t="shared" si="124"/>
        <v>-2.877676044741867E-2</v>
      </c>
      <c r="BT62" s="581">
        <f>BT76-BT58</f>
        <v>3.1401798073032339E-2</v>
      </c>
      <c r="BU62" s="1210">
        <f t="shared" ref="BU62:BX63" si="125">BU72</f>
        <v>-0.10164376664745189</v>
      </c>
      <c r="BV62" s="1210">
        <f t="shared" si="125"/>
        <v>-0.1524336556301551</v>
      </c>
      <c r="BW62" s="1210">
        <f t="shared" si="125"/>
        <v>-0.12712266113233456</v>
      </c>
      <c r="BX62" s="1210">
        <f t="shared" si="125"/>
        <v>-7.9777998017345975E-2</v>
      </c>
      <c r="BY62" s="581">
        <f>BY76-BY58</f>
        <v>-7.8465289256793636E-2</v>
      </c>
      <c r="BZ62" s="1210">
        <f t="shared" ref="BZ62:CC63" si="126">BZ72</f>
        <v>-5.4163871746894354E-2</v>
      </c>
      <c r="CA62" s="1210">
        <f t="shared" si="126"/>
        <v>-7.7159820671044432E-3</v>
      </c>
      <c r="CB62" s="1210">
        <f t="shared" si="126"/>
        <v>-6.5626174485648114E-2</v>
      </c>
      <c r="CC62" s="1210">
        <f t="shared" si="126"/>
        <v>-0.12300619253520867</v>
      </c>
      <c r="CD62" s="581"/>
      <c r="CE62" s="1210">
        <f t="shared" ref="CE62" si="127">CE72</f>
        <v>-0.10202390287929436</v>
      </c>
      <c r="CF62" s="1210">
        <f t="shared" ref="CF62" si="128">CF72</f>
        <v>-3.9638406537383486E-2</v>
      </c>
      <c r="CG62" s="1210">
        <f t="shared" ref="CG62:CG63" si="129">CG72</f>
        <v>2.0661989084390209E-2</v>
      </c>
      <c r="CH62" s="1210">
        <f t="shared" ref="CH62" si="130">CH72</f>
        <v>8.9501040163866619E-2</v>
      </c>
      <c r="CI62" s="581"/>
      <c r="CJ62" s="1210">
        <f t="shared" ref="CJ62:CM63" si="131">CJ72</f>
        <v>0.12927459092022264</v>
      </c>
      <c r="CK62" s="1210">
        <f t="shared" si="131"/>
        <v>5.7067491417856386E-2</v>
      </c>
      <c r="CL62" s="1210">
        <f t="shared" si="131"/>
        <v>3.1739187750178699E-2</v>
      </c>
      <c r="CM62" s="1210">
        <f t="shared" si="131"/>
        <v>3.1551038700705303E-2</v>
      </c>
      <c r="CN62" s="581"/>
      <c r="CO62" s="583"/>
      <c r="CP62" s="200"/>
      <c r="CQ62" s="201"/>
      <c r="CR62" s="200"/>
    </row>
    <row r="63" spans="1:96" hidden="1" outlineLevel="1">
      <c r="A63" s="560" t="s">
        <v>79</v>
      </c>
      <c r="B63" s="560"/>
      <c r="C63" s="874"/>
      <c r="D63" s="874"/>
      <c r="E63" s="874"/>
      <c r="F63" s="874"/>
      <c r="G63" s="875"/>
      <c r="H63" s="657"/>
      <c r="I63" s="657"/>
      <c r="J63" s="657"/>
      <c r="K63" s="657"/>
      <c r="L63" s="868"/>
      <c r="M63" s="657"/>
      <c r="N63" s="657"/>
      <c r="O63" s="657"/>
      <c r="P63" s="657"/>
      <c r="Q63" s="868"/>
      <c r="R63" s="873"/>
      <c r="S63" s="873"/>
      <c r="T63" s="873"/>
      <c r="U63" s="873"/>
      <c r="V63" s="868"/>
      <c r="W63" s="873"/>
      <c r="X63" s="873"/>
      <c r="Y63" s="873"/>
      <c r="Z63" s="873"/>
      <c r="AA63" s="868"/>
      <c r="AB63" s="873"/>
      <c r="AC63" s="873"/>
      <c r="AD63" s="873"/>
      <c r="AE63" s="873"/>
      <c r="AF63" s="868"/>
      <c r="AG63" s="873"/>
      <c r="AH63" s="873"/>
      <c r="AI63" s="873"/>
      <c r="AJ63" s="873"/>
      <c r="AK63" s="868"/>
      <c r="AL63" s="1208">
        <f t="shared" ref="AL63:AU63" si="132">AL77-AL59</f>
        <v>4.80059084194977E-2</v>
      </c>
      <c r="AM63" s="1208">
        <f t="shared" si="132"/>
        <v>0.10185185185185208</v>
      </c>
      <c r="AN63" s="1208">
        <f t="shared" si="132"/>
        <v>5.9587020648967592E-2</v>
      </c>
      <c r="AO63" s="1208">
        <f t="shared" si="132"/>
        <v>4.5645645645645772E-2</v>
      </c>
      <c r="AP63" s="1209">
        <f t="shared" si="132"/>
        <v>6.360424028268552E-2</v>
      </c>
      <c r="AQ63" s="1208">
        <f t="shared" si="132"/>
        <v>8.7853773584905759E-2</v>
      </c>
      <c r="AR63" s="1208">
        <f t="shared" si="132"/>
        <v>1.7266187050359649E-2</v>
      </c>
      <c r="AS63" s="1208">
        <f t="shared" si="132"/>
        <v>5.1948051948052076E-2</v>
      </c>
      <c r="AT63" s="1208">
        <f t="shared" si="132"/>
        <v>3.3707865168539408E-2</v>
      </c>
      <c r="AU63" s="581">
        <f t="shared" si="132"/>
        <v>4.583449428810249E-2</v>
      </c>
      <c r="AV63" s="1208">
        <f>AV77-AV59</f>
        <v>9.2997811816192266E-3</v>
      </c>
      <c r="AW63" s="1208">
        <f>AW77-AW59</f>
        <v>4.8340128130460069E-2</v>
      </c>
      <c r="AX63" s="1210">
        <f>AX73</f>
        <v>8.6234792050809306E-2</v>
      </c>
      <c r="AY63" s="1210">
        <f>AY73</f>
        <v>8.6888850027193598E-2</v>
      </c>
      <c r="AZ63" s="581">
        <f>AZ77-AZ59</f>
        <v>5.394221966336632E-2</v>
      </c>
      <c r="BA63" s="1208">
        <f>BA77-BA59</f>
        <v>1.8296169239565341E-2</v>
      </c>
      <c r="BB63" s="1210">
        <f t="shared" si="121"/>
        <v>0.1094227176308542</v>
      </c>
      <c r="BC63" s="1210">
        <f t="shared" si="121"/>
        <v>0.11269576637141099</v>
      </c>
      <c r="BD63" s="1210">
        <f t="shared" si="121"/>
        <v>7.7127184589871334E-2</v>
      </c>
      <c r="BE63" s="581">
        <f>BE77-BE59</f>
        <v>4.7429797219870728E-2</v>
      </c>
      <c r="BF63" s="1210">
        <f t="shared" si="122"/>
        <v>0.13840707964601773</v>
      </c>
      <c r="BG63" s="1210">
        <f t="shared" si="122"/>
        <v>1.0564533132042087E-2</v>
      </c>
      <c r="BH63" s="1210">
        <f t="shared" si="122"/>
        <v>-7.040167200957903E-4</v>
      </c>
      <c r="BI63" s="1210">
        <f t="shared" si="122"/>
        <v>-3.0413567672557096E-2</v>
      </c>
      <c r="BJ63" s="581">
        <f>BJ77-BJ59</f>
        <v>1.1217144327507977E-2</v>
      </c>
      <c r="BK63" s="1210">
        <f t="shared" si="123"/>
        <v>-0.12041355721393032</v>
      </c>
      <c r="BL63" s="1210">
        <f t="shared" si="123"/>
        <v>-0.16481356348670073</v>
      </c>
      <c r="BM63" s="1210">
        <f t="shared" si="123"/>
        <v>-0.13120482504427744</v>
      </c>
      <c r="BN63" s="1210">
        <f>BN73</f>
        <v>-0.19801387599550491</v>
      </c>
      <c r="BO63" s="581">
        <f>BO77-BO59</f>
        <v>-4.6959497061682454E-2</v>
      </c>
      <c r="BP63" s="1210">
        <f t="shared" si="124"/>
        <v>-0.14335633434175199</v>
      </c>
      <c r="BQ63" s="1210">
        <f t="shared" si="124"/>
        <v>-4.9902912621358597E-2</v>
      </c>
      <c r="BR63" s="1210">
        <f t="shared" si="124"/>
        <v>-0.1107972027972024</v>
      </c>
      <c r="BS63" s="1210">
        <f t="shared" si="124"/>
        <v>-0.10131440668930924</v>
      </c>
      <c r="BT63" s="581">
        <f>BT77-BT59</f>
        <v>-3.2917748250415602E-2</v>
      </c>
      <c r="BU63" s="1210">
        <f t="shared" si="125"/>
        <v>-0.13205510761221473</v>
      </c>
      <c r="BV63" s="1210">
        <f t="shared" si="125"/>
        <v>-0.15014114551400015</v>
      </c>
      <c r="BW63" s="1210">
        <f t="shared" si="125"/>
        <v>-0.17149013809808455</v>
      </c>
      <c r="BX63" s="1210">
        <f t="shared" si="125"/>
        <v>-8.2444587020470528E-2</v>
      </c>
      <c r="BY63" s="581">
        <f>BY77-BY59</f>
        <v>-6.5420680893618188E-2</v>
      </c>
      <c r="BZ63" s="1210">
        <f t="shared" si="126"/>
        <v>6.9782751810401056E-2</v>
      </c>
      <c r="CA63" s="1210">
        <f t="shared" si="126"/>
        <v>9.4181524414300943E-2</v>
      </c>
      <c r="CB63" s="1210">
        <f t="shared" si="126"/>
        <v>0.1937578363521737</v>
      </c>
      <c r="CC63" s="1210">
        <f t="shared" si="126"/>
        <v>4.6188148529285655E-2</v>
      </c>
      <c r="CD63" s="581"/>
      <c r="CE63" s="1210">
        <f t="shared" ref="CE63" si="133">CE73</f>
        <v>-2.2222222222222143E-2</v>
      </c>
      <c r="CF63" s="1210">
        <f t="shared" ref="CF63" si="134">CF73</f>
        <v>-9.890109890109855E-3</v>
      </c>
      <c r="CG63" s="1210">
        <f t="shared" si="129"/>
        <v>-7.8293583730513316E-2</v>
      </c>
      <c r="CH63" s="1210">
        <f t="shared" ref="CH63" si="135">CH73</f>
        <v>2.3170655371710813E-2</v>
      </c>
      <c r="CI63" s="581"/>
      <c r="CJ63" s="1210">
        <f t="shared" si="131"/>
        <v>2.7840909090908639E-2</v>
      </c>
      <c r="CK63" s="1210">
        <f t="shared" si="131"/>
        <v>3.8845726970029304E-3</v>
      </c>
      <c r="CL63" s="1210">
        <f t="shared" si="131"/>
        <v>1.4398357431243403E-2</v>
      </c>
      <c r="CM63" s="1210">
        <f t="shared" si="131"/>
        <v>1.4478715268926967E-2</v>
      </c>
      <c r="CN63" s="581"/>
      <c r="CO63" s="583"/>
      <c r="CP63" s="200"/>
      <c r="CQ63" s="201"/>
      <c r="CR63" s="200"/>
    </row>
    <row r="64" spans="1:96" hidden="1" outlineLevel="1">
      <c r="A64" s="560" t="s">
        <v>501</v>
      </c>
      <c r="B64" s="560"/>
      <c r="C64" s="874"/>
      <c r="D64" s="874"/>
      <c r="E64" s="874"/>
      <c r="F64" s="874"/>
      <c r="G64" s="875"/>
      <c r="H64" s="657"/>
      <c r="I64" s="657"/>
      <c r="J64" s="657"/>
      <c r="K64" s="657"/>
      <c r="L64" s="868"/>
      <c r="M64" s="657"/>
      <c r="N64" s="657"/>
      <c r="O64" s="657"/>
      <c r="P64" s="657"/>
      <c r="Q64" s="581">
        <f t="shared" ref="Q64:BJ64" si="136">Q79-Q60</f>
        <v>5.0179946908793571E-2</v>
      </c>
      <c r="R64" s="1152">
        <f t="shared" si="136"/>
        <v>9.7677630138601312E-2</v>
      </c>
      <c r="S64" s="1152">
        <f t="shared" si="136"/>
        <v>4.997719790345645E-2</v>
      </c>
      <c r="T64" s="1152">
        <f t="shared" si="136"/>
        <v>3.4469575898872673E-2</v>
      </c>
      <c r="U64" s="1152">
        <f t="shared" si="136"/>
        <v>3.458026805285197E-2</v>
      </c>
      <c r="V64" s="581">
        <f t="shared" si="136"/>
        <v>5.2659627464473724E-2</v>
      </c>
      <c r="W64" s="1152">
        <f t="shared" si="136"/>
        <v>2.6653688684349142E-2</v>
      </c>
      <c r="X64" s="1152">
        <f t="shared" si="136"/>
        <v>2.4629040320909068E-2</v>
      </c>
      <c r="Y64" s="1152">
        <f t="shared" si="136"/>
        <v>7.1833208244469482E-3</v>
      </c>
      <c r="Z64" s="1152">
        <f t="shared" si="136"/>
        <v>-1.4668150555759984E-2</v>
      </c>
      <c r="AA64" s="581">
        <f t="shared" si="136"/>
        <v>1.0813155796207896E-2</v>
      </c>
      <c r="AB64" s="1152">
        <f t="shared" si="136"/>
        <v>-5.1809965276749859E-2</v>
      </c>
      <c r="AC64" s="1152">
        <f t="shared" si="136"/>
        <v>-3.0643369641694562E-2</v>
      </c>
      <c r="AD64" s="1152">
        <f t="shared" si="136"/>
        <v>-3.6958025948639062E-3</v>
      </c>
      <c r="AE64" s="1152">
        <f t="shared" si="136"/>
        <v>1.2735833344762915E-2</v>
      </c>
      <c r="AF64" s="581">
        <f t="shared" si="136"/>
        <v>-1.7799738699835865E-2</v>
      </c>
      <c r="AG64" s="1152">
        <f t="shared" si="136"/>
        <v>2.0911456982537935E-2</v>
      </c>
      <c r="AH64" s="1152">
        <f t="shared" si="136"/>
        <v>1.9634719004935075E-2</v>
      </c>
      <c r="AI64" s="1152">
        <f t="shared" si="136"/>
        <v>1.8409441522706294E-2</v>
      </c>
      <c r="AJ64" s="1152">
        <f t="shared" si="136"/>
        <v>4.1940850954667264E-2</v>
      </c>
      <c r="AK64" s="581">
        <f t="shared" si="136"/>
        <v>2.558187395643241E-2</v>
      </c>
      <c r="AL64" s="1152">
        <f t="shared" si="136"/>
        <v>4.9191031202312052E-2</v>
      </c>
      <c r="AM64" s="1152">
        <f t="shared" si="136"/>
        <v>5.9666540142735203E-2</v>
      </c>
      <c r="AN64" s="1152">
        <f t="shared" si="136"/>
        <v>4.5506207686870415E-2</v>
      </c>
      <c r="AO64" s="1152">
        <f t="shared" si="136"/>
        <v>7.5734379852745448E-3</v>
      </c>
      <c r="AP64" s="581">
        <f t="shared" si="136"/>
        <v>3.8661684844995658E-2</v>
      </c>
      <c r="AQ64" s="1152">
        <f t="shared" si="136"/>
        <v>1.3914391119047131E-2</v>
      </c>
      <c r="AR64" s="1152">
        <f t="shared" si="136"/>
        <v>-1.8409355881139233E-2</v>
      </c>
      <c r="AS64" s="1152">
        <f t="shared" si="136"/>
        <v>-7.2053531276731198E-3</v>
      </c>
      <c r="AT64" s="1152">
        <f t="shared" si="136"/>
        <v>2.4017235860115949E-2</v>
      </c>
      <c r="AU64" s="581">
        <f t="shared" si="136"/>
        <v>3.2551288601405659E-3</v>
      </c>
      <c r="AV64" s="1152">
        <f>AV79-AV60</f>
        <v>2.5178346621905323E-2</v>
      </c>
      <c r="AW64" s="1152">
        <f t="shared" si="136"/>
        <v>9.8414441875875891E-3</v>
      </c>
      <c r="AX64" s="1152">
        <f t="shared" si="136"/>
        <v>2.7239869994089005E-5</v>
      </c>
      <c r="AY64" s="1152">
        <f t="shared" si="136"/>
        <v>-3.2205016467397041E-3</v>
      </c>
      <c r="AZ64" s="581">
        <f t="shared" si="136"/>
        <v>8.2540333314160552E-3</v>
      </c>
      <c r="BA64" s="1152">
        <f t="shared" si="136"/>
        <v>-6.8638639804352586E-3</v>
      </c>
      <c r="BB64" s="1152">
        <f t="shared" si="136"/>
        <v>2.9669100298504336E-2</v>
      </c>
      <c r="BC64" s="1152">
        <f t="shared" si="136"/>
        <v>2.4650642873659701E-2</v>
      </c>
      <c r="BD64" s="1152">
        <f>BD79-BD60</f>
        <v>1.4843057068533394E-2</v>
      </c>
      <c r="BE64" s="581">
        <f t="shared" si="136"/>
        <v>1.6173157894736834E-2</v>
      </c>
      <c r="BF64" s="1152">
        <f t="shared" si="136"/>
        <v>1.7534197523416117E-2</v>
      </c>
      <c r="BG64" s="1152">
        <f t="shared" si="136"/>
        <v>-3.8481705000616984E-3</v>
      </c>
      <c r="BH64" s="1152">
        <f t="shared" si="136"/>
        <v>-1.3935879164479026E-2</v>
      </c>
      <c r="BI64" s="1152">
        <f t="shared" si="136"/>
        <v>-1.2994711676580062E-2</v>
      </c>
      <c r="BJ64" s="581">
        <f t="shared" si="136"/>
        <v>-3.5598787465291881E-3</v>
      </c>
      <c r="BK64" s="1152">
        <f t="shared" ref="BK64:BT64" si="137">BK79-BK60</f>
        <v>-1.5333613976005078E-2</v>
      </c>
      <c r="BL64" s="1152">
        <f t="shared" si="137"/>
        <v>-1.4363479357445419E-2</v>
      </c>
      <c r="BM64" s="1152">
        <f t="shared" si="137"/>
        <v>-1.4048936682152124E-2</v>
      </c>
      <c r="BN64" s="1152">
        <f>BN79-BN60</f>
        <v>-9.2775621885373694E-3</v>
      </c>
      <c r="BO64" s="581">
        <f t="shared" si="137"/>
        <v>-1.3184436551545553E-2</v>
      </c>
      <c r="BP64" s="1152">
        <f t="shared" si="137"/>
        <v>-1.3473919829184777E-2</v>
      </c>
      <c r="BQ64" s="1152">
        <f t="shared" si="137"/>
        <v>5.6484148715203464E-3</v>
      </c>
      <c r="BR64" s="1152">
        <f t="shared" si="137"/>
        <v>8.2492646608096631E-3</v>
      </c>
      <c r="BS64" s="1152">
        <f t="shared" si="137"/>
        <v>8.4746169478899791E-3</v>
      </c>
      <c r="BT64" s="581">
        <f t="shared" si="137"/>
        <v>2.2600388632980639E-3</v>
      </c>
      <c r="BU64" s="1152">
        <f t="shared" ref="BU64:CC64" si="138">BU79-BU60</f>
        <v>-2.2187337519496975E-3</v>
      </c>
      <c r="BV64" s="1152">
        <f t="shared" si="138"/>
        <v>-2.3817458772074751E-2</v>
      </c>
      <c r="BW64" s="1152">
        <f t="shared" si="138"/>
        <v>-4.90665987672676E-2</v>
      </c>
      <c r="BX64" s="1152">
        <f t="shared" si="138"/>
        <v>-5.4406481522889738E-2</v>
      </c>
      <c r="BY64" s="581">
        <f t="shared" si="138"/>
        <v>-3.2646944284693058E-2</v>
      </c>
      <c r="BZ64" s="1152">
        <f t="shared" si="138"/>
        <v>-4.0448763547157762E-2</v>
      </c>
      <c r="CA64" s="1152">
        <f t="shared" si="138"/>
        <v>-1.55667301692195E-2</v>
      </c>
      <c r="CB64" s="1152">
        <f t="shared" si="138"/>
        <v>-7.5819039422944101E-3</v>
      </c>
      <c r="CC64" s="1152">
        <f t="shared" si="138"/>
        <v>-2.4732777915560833E-2</v>
      </c>
      <c r="CD64" s="581"/>
      <c r="CE64" s="1152">
        <f t="shared" ref="CE64" si="139">CE79-CE60</f>
        <v>4.659753421983881E-3</v>
      </c>
      <c r="CF64" s="1152">
        <f>CF79-CF60</f>
        <v>-4.1538304250561264E-3</v>
      </c>
      <c r="CG64" s="1152">
        <f>CG79-CG60</f>
        <v>-7.5998980851343934E-3</v>
      </c>
      <c r="CH64" s="1152">
        <f>CH79-CH60</f>
        <v>-3.3604427701987571E-3</v>
      </c>
      <c r="CI64" s="581"/>
      <c r="CJ64" s="1152">
        <f t="shared" ref="CJ64" si="140">CJ79-CJ60</f>
        <v>3.9377084692141517E-2</v>
      </c>
      <c r="CK64" s="1152">
        <f>CK79-CK60</f>
        <v>1.5915731363380869E-2</v>
      </c>
      <c r="CL64" s="1152">
        <f>CL79-CL60</f>
        <v>1.0801418033838051E-2</v>
      </c>
      <c r="CM64" s="1152">
        <f>CM79-CM60</f>
        <v>1.0847861136251691E-2</v>
      </c>
      <c r="CN64" s="581"/>
      <c r="CO64" s="583"/>
      <c r="CP64" s="200"/>
      <c r="CQ64" s="201"/>
      <c r="CR64" s="200"/>
    </row>
    <row r="65" spans="1:96" hidden="1" outlineLevel="1">
      <c r="A65" s="560"/>
      <c r="B65" s="560"/>
      <c r="C65" s="874"/>
      <c r="D65" s="874"/>
      <c r="E65" s="874"/>
      <c r="F65" s="874"/>
      <c r="G65" s="875"/>
      <c r="H65" s="657"/>
      <c r="I65" s="657"/>
      <c r="J65" s="657"/>
      <c r="K65" s="657"/>
      <c r="L65" s="868"/>
      <c r="M65" s="657"/>
      <c r="N65" s="657"/>
      <c r="O65" s="657"/>
      <c r="P65" s="657"/>
      <c r="Q65" s="581"/>
      <c r="R65" s="1152"/>
      <c r="S65" s="1152"/>
      <c r="T65" s="1152"/>
      <c r="U65" s="1152"/>
      <c r="V65" s="581"/>
      <c r="W65" s="1152"/>
      <c r="X65" s="1152"/>
      <c r="Y65" s="1152"/>
      <c r="Z65" s="1152"/>
      <c r="AA65" s="581"/>
      <c r="AB65" s="1152"/>
      <c r="AC65" s="1152"/>
      <c r="AD65" s="1152"/>
      <c r="AE65" s="1152"/>
      <c r="AF65" s="581"/>
      <c r="AG65" s="1152"/>
      <c r="AH65" s="1152"/>
      <c r="AI65" s="1152"/>
      <c r="AJ65" s="1152"/>
      <c r="AK65" s="581"/>
      <c r="AL65" s="1152"/>
      <c r="AM65" s="1152"/>
      <c r="AN65" s="1152"/>
      <c r="AO65" s="1152"/>
      <c r="AP65" s="581"/>
      <c r="AQ65" s="1152"/>
      <c r="AR65" s="1152"/>
      <c r="AS65" s="1152"/>
      <c r="AT65" s="1152"/>
      <c r="AU65" s="581"/>
      <c r="AV65" s="1152"/>
      <c r="AW65" s="657"/>
      <c r="AX65" s="657"/>
      <c r="AY65" s="657"/>
      <c r="AZ65" s="868"/>
      <c r="BA65" s="657"/>
      <c r="BB65" s="657"/>
      <c r="BC65" s="657"/>
      <c r="BD65" s="657"/>
      <c r="BE65" s="868"/>
      <c r="BF65" s="657"/>
      <c r="BG65" s="657"/>
      <c r="BH65" s="657"/>
      <c r="BI65" s="657"/>
      <c r="BJ65" s="868"/>
      <c r="BK65" s="657"/>
      <c r="BL65" s="657"/>
      <c r="BM65" s="657"/>
      <c r="BN65" s="657"/>
      <c r="BO65" s="868"/>
      <c r="BP65" s="657"/>
      <c r="BQ65" s="657"/>
      <c r="BR65" s="657"/>
      <c r="BS65" s="657"/>
      <c r="BT65" s="868"/>
      <c r="BU65" s="657"/>
      <c r="BV65" s="657"/>
      <c r="BW65" s="657"/>
      <c r="BX65" s="657"/>
      <c r="BY65" s="868"/>
      <c r="BZ65" s="657"/>
      <c r="CA65" s="657"/>
      <c r="CB65" s="657"/>
      <c r="CC65" s="657"/>
      <c r="CD65" s="868"/>
      <c r="CE65" s="657"/>
      <c r="CF65" s="657"/>
      <c r="CG65" s="657"/>
      <c r="CH65" s="657"/>
      <c r="CI65" s="868"/>
      <c r="CJ65" s="657"/>
      <c r="CK65" s="657"/>
      <c r="CL65" s="657"/>
      <c r="CM65" s="657"/>
      <c r="CN65" s="868"/>
      <c r="CO65" s="1807"/>
      <c r="CP65" s="200"/>
      <c r="CQ65" s="201"/>
      <c r="CR65" s="200"/>
    </row>
    <row r="66" spans="1:96" hidden="1" outlineLevel="1">
      <c r="A66" s="560" t="s">
        <v>349</v>
      </c>
      <c r="B66" s="560"/>
      <c r="C66" s="874"/>
      <c r="D66" s="874"/>
      <c r="E66" s="874"/>
      <c r="F66" s="874"/>
      <c r="G66" s="875"/>
      <c r="H66" s="657"/>
      <c r="I66" s="657"/>
      <c r="J66" s="657"/>
      <c r="K66" s="657"/>
      <c r="L66" s="868"/>
      <c r="M66" s="657"/>
      <c r="N66" s="657"/>
      <c r="O66" s="657"/>
      <c r="P66" s="657"/>
      <c r="Q66" s="581"/>
      <c r="R66" s="1152"/>
      <c r="S66" s="1152"/>
      <c r="T66" s="1152"/>
      <c r="U66" s="1152"/>
      <c r="V66" s="581"/>
      <c r="W66" s="1152"/>
      <c r="X66" s="1152"/>
      <c r="Y66" s="1152"/>
      <c r="Z66" s="1152"/>
      <c r="AA66" s="581"/>
      <c r="AB66" s="1152"/>
      <c r="AC66" s="1152"/>
      <c r="AD66" s="1152"/>
      <c r="AE66" s="1152"/>
      <c r="AF66" s="581"/>
      <c r="AG66" s="1156">
        <v>1.3086192230769231</v>
      </c>
      <c r="AH66" s="1156">
        <v>1.3420423153846153</v>
      </c>
      <c r="AI66" s="1156">
        <v>1.3585892714285717</v>
      </c>
      <c r="AJ66" s="1156">
        <v>1.4320730384615385</v>
      </c>
      <c r="AK66" s="1157">
        <f>AVERAGE(AG66:AJ66)</f>
        <v>1.3603309620879123</v>
      </c>
      <c r="AL66" s="1156">
        <v>1.4696615461538463</v>
      </c>
      <c r="AM66" s="1156">
        <v>1.5599038615384617</v>
      </c>
      <c r="AN66" s="1156">
        <v>1.5417538538461537</v>
      </c>
      <c r="AO66" s="1156">
        <v>1.3407423153846154</v>
      </c>
      <c r="AP66" s="1157">
        <f>AVERAGE(AL66:AO66)</f>
        <v>1.4780153942307694</v>
      </c>
      <c r="AQ66" s="1156">
        <v>1.3185538538461539</v>
      </c>
      <c r="AR66" s="1156">
        <v>1.3371307538461539</v>
      </c>
      <c r="AS66" s="1156">
        <v>1.4120461692307691</v>
      </c>
      <c r="AT66" s="1156">
        <v>1.475796146153846</v>
      </c>
      <c r="AU66" s="1157">
        <f>AVERAGE(AQ66:AT66)</f>
        <v>1.3858817307692308</v>
      </c>
      <c r="AV66" s="1156">
        <v>1.4196843750000001</v>
      </c>
      <c r="AW66" s="1156">
        <v>1.3194204545454546</v>
      </c>
      <c r="AX66" s="1247">
        <v>1.2637507575757576</v>
      </c>
      <c r="AY66" s="1247">
        <v>1.3540000000000001</v>
      </c>
      <c r="AZ66" s="1157">
        <f>AVERAGE(AV66:AY66)</f>
        <v>1.3392138967803031</v>
      </c>
      <c r="BA66" s="1247">
        <v>1.34</v>
      </c>
      <c r="BB66" s="1247">
        <v>1.4263689393939389</v>
      </c>
      <c r="BC66" s="1247">
        <v>1.4349628787878779</v>
      </c>
      <c r="BD66" s="1247">
        <v>1.3678156923076921</v>
      </c>
      <c r="BE66" s="1157">
        <f>AVERAGE(BA66:BD66)</f>
        <v>1.3922868776223774</v>
      </c>
      <c r="BF66" s="1247">
        <v>1.3090998461538468</v>
      </c>
      <c r="BG66" s="1247">
        <v>1.3048895454545455</v>
      </c>
      <c r="BH66" s="1247">
        <v>1.2407371212121212</v>
      </c>
      <c r="BI66" s="1247">
        <v>1.2893700000000003</v>
      </c>
      <c r="BJ66" s="1157">
        <f>AVERAGE(BF66:BI66)</f>
        <v>1.2860241282051286</v>
      </c>
      <c r="BK66" s="1247">
        <v>1.3256062499999999</v>
      </c>
      <c r="BL66" s="1247">
        <v>1.298</v>
      </c>
      <c r="BM66" s="1247">
        <v>1.34</v>
      </c>
      <c r="BN66" s="1247">
        <v>1.3498883076923076</v>
      </c>
      <c r="BO66" s="1157">
        <f>AVERAGE(BK66:BN66)</f>
        <v>1.3283736394230767</v>
      </c>
      <c r="BP66" s="1247">
        <v>1.3663789230769228</v>
      </c>
      <c r="BQ66" s="1247">
        <v>1.3790756923076919</v>
      </c>
      <c r="BR66" s="1247">
        <v>1.3484129230769233</v>
      </c>
      <c r="BS66" s="1247">
        <v>1.2690867692307699</v>
      </c>
      <c r="BT66" s="1157">
        <f>AVERAGE(BP66:BS66)</f>
        <v>1.3407385769230769</v>
      </c>
      <c r="BU66" s="1247">
        <v>1.1789352307692309</v>
      </c>
      <c r="BV66" s="1158">
        <v>1.0925321875000003</v>
      </c>
      <c r="BW66" s="1158">
        <v>1.1115306153846156</v>
      </c>
      <c r="BX66" s="1158">
        <v>1.1239940476190478</v>
      </c>
      <c r="BY66" s="1157">
        <f>AVERAGE(BU66:BX66)</f>
        <v>1.1267480203182236</v>
      </c>
      <c r="BZ66" s="1158">
        <v>1.1279999999999999</v>
      </c>
      <c r="CA66" s="1158">
        <v>1.1113999999999999</v>
      </c>
      <c r="CB66" s="1158">
        <v>1.117</v>
      </c>
      <c r="CC66" s="1158">
        <v>1.0601100000000001</v>
      </c>
      <c r="CD66" s="1157"/>
      <c r="CE66" s="1158">
        <v>1.0617000000000001</v>
      </c>
      <c r="CF66" s="1158">
        <v>1.152574</v>
      </c>
      <c r="CG66" s="1158">
        <v>1.1801601538461544</v>
      </c>
      <c r="CH66" s="1158">
        <v>1.1802586363636369</v>
      </c>
      <c r="CI66" s="1157"/>
      <c r="CJ66" s="1158">
        <v>1.2123443076923077</v>
      </c>
      <c r="CK66" s="1158">
        <f>CJ66</f>
        <v>1.2123443076923077</v>
      </c>
      <c r="CL66" s="1158">
        <f>CK66</f>
        <v>1.2123443076923077</v>
      </c>
      <c r="CM66" s="1158">
        <f>CL66</f>
        <v>1.2123443076923077</v>
      </c>
      <c r="CN66" s="1157"/>
      <c r="CO66" s="1808"/>
      <c r="CP66" s="200"/>
      <c r="CQ66" s="201"/>
      <c r="CR66" s="200"/>
    </row>
    <row r="67" spans="1:96" hidden="1" outlineLevel="1">
      <c r="A67" s="560" t="s">
        <v>409</v>
      </c>
      <c r="B67" s="560"/>
      <c r="C67" s="874"/>
      <c r="D67" s="874"/>
      <c r="E67" s="874"/>
      <c r="F67" s="874"/>
      <c r="G67" s="875"/>
      <c r="H67" s="657"/>
      <c r="I67" s="657"/>
      <c r="J67" s="657"/>
      <c r="K67" s="657"/>
      <c r="L67" s="868"/>
      <c r="M67" s="657"/>
      <c r="N67" s="657"/>
      <c r="O67" s="657"/>
      <c r="P67" s="657"/>
      <c r="Q67" s="581"/>
      <c r="R67" s="1152"/>
      <c r="S67" s="1152"/>
      <c r="T67" s="1152"/>
      <c r="U67" s="1152"/>
      <c r="V67" s="581"/>
      <c r="W67" s="1152"/>
      <c r="X67" s="1152"/>
      <c r="Y67" s="1152"/>
      <c r="Z67" s="1152"/>
      <c r="AA67" s="581"/>
      <c r="AB67" s="1152"/>
      <c r="AC67" s="1152"/>
      <c r="AD67" s="1152"/>
      <c r="AE67" s="1152"/>
      <c r="AF67" s="581"/>
      <c r="AG67" s="1156">
        <v>1.9590307923076924</v>
      </c>
      <c r="AH67" s="1156">
        <v>1.9720807923076924</v>
      </c>
      <c r="AI67" s="1156">
        <v>2.0092178642857141</v>
      </c>
      <c r="AJ67" s="1156">
        <v>2.0463653923076923</v>
      </c>
      <c r="AK67" s="1157">
        <f>AVERAGE(AG67:AJ67)</f>
        <v>1.9966737103021979</v>
      </c>
      <c r="AL67" s="1156">
        <v>1.9791730769230769</v>
      </c>
      <c r="AM67" s="1156">
        <v>1.9845576923076924</v>
      </c>
      <c r="AN67" s="1156">
        <v>1.9440154076923077</v>
      </c>
      <c r="AO67" s="1156">
        <v>1.6692999923076921</v>
      </c>
      <c r="AP67" s="1157">
        <f>AVERAGE(AL67:AO67)</f>
        <v>1.8942615423076923</v>
      </c>
      <c r="AQ67" s="1156">
        <v>1.4577884692307694</v>
      </c>
      <c r="AR67" s="1156">
        <v>1.484942323076923</v>
      </c>
      <c r="AS67" s="1156">
        <v>1.6410384461538463</v>
      </c>
      <c r="AT67" s="1156">
        <v>1.6351346076923079</v>
      </c>
      <c r="AU67" s="1157">
        <f>AVERAGE(AQ67:AT67)</f>
        <v>1.5547259615384617</v>
      </c>
      <c r="AV67" s="1156">
        <v>1.6008093749999999</v>
      </c>
      <c r="AW67" s="1156">
        <v>1.5018022727272733</v>
      </c>
      <c r="AX67" s="1247">
        <v>1.523829545454545</v>
      </c>
      <c r="AY67" s="1247">
        <v>1.58</v>
      </c>
      <c r="AZ67" s="1157">
        <f>AVERAGE(AV67:AY67)</f>
        <v>1.5516102982954545</v>
      </c>
      <c r="BA67" s="1247">
        <v>1.5820000000000001</v>
      </c>
      <c r="BB67" s="1247">
        <v>1.6287901515151511</v>
      </c>
      <c r="BC67" s="1247">
        <v>1.6261454545454519</v>
      </c>
      <c r="BD67" s="1247">
        <v>1.5782569230769237</v>
      </c>
      <c r="BE67" s="1157">
        <f>AVERAGE(BA67:BD67)</f>
        <v>1.6037981322843817</v>
      </c>
      <c r="BF67" s="1247">
        <v>1.5632838461538463</v>
      </c>
      <c r="BG67" s="1247">
        <v>1.5911090909090915</v>
      </c>
      <c r="BH67" s="1247">
        <v>1.5623613636363642</v>
      </c>
      <c r="BI67" s="1247">
        <v>1.6050784615384621</v>
      </c>
      <c r="BJ67" s="1157">
        <f>AVERAGE(BF67:BI67)</f>
        <v>1.580458190559441</v>
      </c>
      <c r="BK67" s="1247">
        <v>1.5873171875000007</v>
      </c>
      <c r="BL67" s="1247">
        <v>1.5230348484848486</v>
      </c>
      <c r="BM67" s="1247">
        <v>1.6</v>
      </c>
      <c r="BN67" s="1247">
        <v>1.6022700000000005</v>
      </c>
      <c r="BO67" s="1157">
        <f>AVERAGE(BK67:BN67)</f>
        <v>1.5781555089962125</v>
      </c>
      <c r="BP67" s="1247">
        <v>1.6470484615384613</v>
      </c>
      <c r="BQ67" s="1247">
        <v>1.6740607692307699</v>
      </c>
      <c r="BR67" s="1247">
        <v>1.6897923076923078</v>
      </c>
      <c r="BS67" s="1247">
        <v>1.6059623076923082</v>
      </c>
      <c r="BT67" s="1157">
        <f>AVERAGE(BP67:BS67)</f>
        <v>1.6542159615384617</v>
      </c>
      <c r="BU67" s="1247">
        <v>1.5381707692307691</v>
      </c>
      <c r="BV67" s="1158">
        <v>1.5115296875000006</v>
      </c>
      <c r="BW67" s="1158">
        <v>1.5570246153846157</v>
      </c>
      <c r="BX67" s="1158">
        <v>1.5333285714285718</v>
      </c>
      <c r="BY67" s="1157">
        <f>AVERAGE(BU67:BX67)</f>
        <v>1.5350134108859894</v>
      </c>
      <c r="BZ67" s="1158">
        <v>1.4379999999999999</v>
      </c>
      <c r="CA67" s="1158">
        <v>1.4621</v>
      </c>
      <c r="CB67" s="1158">
        <v>1.345</v>
      </c>
      <c r="CC67" s="1158">
        <v>1.24326</v>
      </c>
      <c r="CD67" s="1157"/>
      <c r="CE67" s="1158">
        <v>1.2291000000000001</v>
      </c>
      <c r="CF67" s="1158">
        <v>1.2920229999999999</v>
      </c>
      <c r="CG67" s="1158">
        <v>1.324528461538462</v>
      </c>
      <c r="CH67" s="1158">
        <v>1.3249000000000006</v>
      </c>
      <c r="CI67" s="1157"/>
      <c r="CJ67" s="1158">
        <v>1.3724861538461539</v>
      </c>
      <c r="CK67" s="1158">
        <f t="shared" ref="CK67:CL68" si="141">CJ67</f>
        <v>1.3724861538461539</v>
      </c>
      <c r="CL67" s="1158">
        <f t="shared" si="141"/>
        <v>1.3724861538461539</v>
      </c>
      <c r="CM67" s="1158">
        <f t="shared" ref="CM67" si="142">CL67</f>
        <v>1.3724861538461539</v>
      </c>
      <c r="CN67" s="1157"/>
      <c r="CO67" s="1808"/>
      <c r="CP67" s="200"/>
      <c r="CQ67" s="201"/>
      <c r="CR67" s="200"/>
    </row>
    <row r="68" spans="1:96" hidden="1" outlineLevel="1">
      <c r="A68" s="560" t="s">
        <v>350</v>
      </c>
      <c r="B68" s="560"/>
      <c r="C68" s="874"/>
      <c r="D68" s="874"/>
      <c r="E68" s="874"/>
      <c r="F68" s="874"/>
      <c r="G68" s="875"/>
      <c r="H68" s="657"/>
      <c r="I68" s="657"/>
      <c r="J68" s="657"/>
      <c r="K68" s="657"/>
      <c r="L68" s="868"/>
      <c r="M68" s="657"/>
      <c r="N68" s="657"/>
      <c r="O68" s="657"/>
      <c r="P68" s="657"/>
      <c r="Q68" s="581"/>
      <c r="R68" s="1152"/>
      <c r="S68" s="1152"/>
      <c r="T68" s="1152"/>
      <c r="U68" s="1152"/>
      <c r="V68" s="581"/>
      <c r="W68" s="1152"/>
      <c r="X68" s="1152"/>
      <c r="Y68" s="1152"/>
      <c r="Z68" s="1152"/>
      <c r="AA68" s="581"/>
      <c r="AB68" s="1152"/>
      <c r="AC68" s="1152"/>
      <c r="AD68" s="1152"/>
      <c r="AE68" s="1152"/>
      <c r="AF68" s="581"/>
      <c r="AG68" s="1156">
        <v>8.3817981538461539E-3</v>
      </c>
      <c r="AH68" s="1156">
        <v>8.4038010384615402E-3</v>
      </c>
      <c r="AI68" s="1156">
        <v>8.329800821428571E-3</v>
      </c>
      <c r="AJ68" s="1156">
        <v>8.8054382307692289E-3</v>
      </c>
      <c r="AK68" s="1157">
        <f>AVERAGE(AG68:AJ68)</f>
        <v>8.4802095611263735E-3</v>
      </c>
      <c r="AL68" s="1156">
        <v>9.1874225000000004E-3</v>
      </c>
      <c r="AM68" s="1156">
        <v>9.7453979230769251E-3</v>
      </c>
      <c r="AN68" s="1156">
        <v>9.2821079615384612E-3</v>
      </c>
      <c r="AO68" s="1156">
        <v>9.9456629615384626E-3</v>
      </c>
      <c r="AP68" s="1157">
        <f>AVERAGE(AL68:AO68)</f>
        <v>9.5401478365384623E-3</v>
      </c>
      <c r="AQ68" s="1156">
        <v>1.0928723499999998E-2</v>
      </c>
      <c r="AR68" s="1156">
        <v>1.0238659461538461E-2</v>
      </c>
      <c r="AS68" s="1156">
        <v>1.0482889269230772E-2</v>
      </c>
      <c r="AT68" s="1213">
        <v>1.1095890807692308E-2</v>
      </c>
      <c r="AU68" s="1157">
        <f>AVERAGE(AQ68:AT68)</f>
        <v>1.0686540759615384E-2</v>
      </c>
      <c r="AV68" s="1156">
        <v>1.1054365484375002E-2</v>
      </c>
      <c r="AW68" s="1213">
        <v>1.0999999999999999E-2</v>
      </c>
      <c r="AX68" s="1247">
        <v>1.1386879045454547E-2</v>
      </c>
      <c r="AY68" s="1247">
        <v>1.206E-2</v>
      </c>
      <c r="AZ68" s="1157">
        <f>AVERAGE(AV68:AY68)</f>
        <v>1.1375311132457388E-2</v>
      </c>
      <c r="BA68" s="1247">
        <v>1.1299999999999999E-2</v>
      </c>
      <c r="BB68" s="1247">
        <v>1.2203649893939395E-2</v>
      </c>
      <c r="BC68" s="1247">
        <v>1.2670132106060609E-2</v>
      </c>
      <c r="BD68" s="1247">
        <v>1.2990153846153847E-2</v>
      </c>
      <c r="BE68" s="1157">
        <f>AVERAGE(BA68:BD68)</f>
        <v>1.2290983961538462E-2</v>
      </c>
      <c r="BF68" s="1247">
        <v>1.2864E-2</v>
      </c>
      <c r="BG68" s="1247">
        <v>1.2332575757575759E-2</v>
      </c>
      <c r="BH68" s="1247">
        <v>1.266121212121212E-2</v>
      </c>
      <c r="BI68" s="1247">
        <v>1.2595076923076919E-2</v>
      </c>
      <c r="BJ68" s="1157">
        <f>AVERAGE(BF68:BI68)</f>
        <v>1.2613216200466199E-2</v>
      </c>
      <c r="BK68" s="1247">
        <v>1.1315E-2</v>
      </c>
      <c r="BL68" s="1247">
        <v>1.03E-2</v>
      </c>
      <c r="BM68" s="1247">
        <v>1.0999999999999999E-2</v>
      </c>
      <c r="BN68" s="1247">
        <v>1.0101076923076921E-2</v>
      </c>
      <c r="BO68" s="1157">
        <f>AVERAGE(BK68:BN68)</f>
        <v>1.0679019230769232E-2</v>
      </c>
      <c r="BP68" s="1247">
        <v>9.6929230769230764E-3</v>
      </c>
      <c r="BQ68" s="1247">
        <v>9.7860000000000065E-3</v>
      </c>
      <c r="BR68" s="1247">
        <v>9.781230769230773E-3</v>
      </c>
      <c r="BS68" s="1247">
        <v>9.0776923076923092E-3</v>
      </c>
      <c r="BT68" s="1157">
        <f>AVERAGE(BP68:BS68)</f>
        <v>9.58446153846154E-3</v>
      </c>
      <c r="BU68" s="1247">
        <v>8.41292307692308E-3</v>
      </c>
      <c r="BV68" s="1158">
        <v>8.3167187500000003E-3</v>
      </c>
      <c r="BW68" s="1158">
        <v>8.1038461538461542E-3</v>
      </c>
      <c r="BX68" s="1158">
        <v>8.3292857142857144E-3</v>
      </c>
      <c r="BY68" s="1157">
        <f>AVERAGE(BU68:BX68)</f>
        <v>8.2906934237637377E-3</v>
      </c>
      <c r="BZ68" s="1158">
        <v>8.9999999999999993E-3</v>
      </c>
      <c r="CA68" s="1158">
        <v>9.1000000000000004E-3</v>
      </c>
      <c r="CB68" s="1158">
        <v>9.6740298507462692E-3</v>
      </c>
      <c r="CC68" s="1158">
        <v>8.7139999999999995E-3</v>
      </c>
      <c r="CD68" s="1157"/>
      <c r="CE68" s="1158">
        <v>8.8000000000000005E-3</v>
      </c>
      <c r="CF68" s="1158">
        <v>9.0100000000000006E-3</v>
      </c>
      <c r="CG68" s="1158">
        <v>8.9166153846153805E-3</v>
      </c>
      <c r="CH68" s="1158">
        <v>8.9159090909090872E-3</v>
      </c>
      <c r="CI68" s="1157"/>
      <c r="CJ68" s="1158">
        <v>9.0449999999999975E-3</v>
      </c>
      <c r="CK68" s="1158">
        <f t="shared" si="141"/>
        <v>9.0449999999999975E-3</v>
      </c>
      <c r="CL68" s="1158">
        <f t="shared" si="141"/>
        <v>9.0449999999999975E-3</v>
      </c>
      <c r="CM68" s="1158">
        <f t="shared" ref="CM68" si="143">CL68</f>
        <v>9.0449999999999975E-3</v>
      </c>
      <c r="CN68" s="1157"/>
      <c r="CO68" s="1808"/>
      <c r="CP68" s="200"/>
      <c r="CQ68" s="201"/>
      <c r="CR68" s="200"/>
    </row>
    <row r="69" spans="1:96" hidden="1" outlineLevel="1">
      <c r="A69" s="560"/>
      <c r="B69" s="560"/>
      <c r="C69" s="874"/>
      <c r="D69" s="874"/>
      <c r="E69" s="874"/>
      <c r="F69" s="874"/>
      <c r="G69" s="875"/>
      <c r="H69" s="657"/>
      <c r="I69" s="657"/>
      <c r="J69" s="657"/>
      <c r="K69" s="657"/>
      <c r="L69" s="868"/>
      <c r="M69" s="657"/>
      <c r="N69" s="657"/>
      <c r="O69" s="657"/>
      <c r="P69" s="657"/>
      <c r="Q69" s="581"/>
      <c r="R69" s="1152"/>
      <c r="S69" s="1152"/>
      <c r="T69" s="1152"/>
      <c r="U69" s="1152"/>
      <c r="V69" s="581"/>
      <c r="W69" s="1152"/>
      <c r="X69" s="1152"/>
      <c r="Y69" s="1152"/>
      <c r="Z69" s="1152"/>
      <c r="AA69" s="581"/>
      <c r="AB69" s="1152"/>
      <c r="AC69" s="1152"/>
      <c r="AD69" s="1152"/>
      <c r="AE69" s="1152"/>
      <c r="AF69" s="581"/>
      <c r="AG69" s="1152"/>
      <c r="AH69" s="1152"/>
      <c r="AI69" s="1152"/>
      <c r="AJ69" s="1152"/>
      <c r="AK69" s="581"/>
      <c r="AL69" s="1152"/>
      <c r="AM69" s="1152"/>
      <c r="AN69" s="1152"/>
      <c r="AO69" s="1152"/>
      <c r="AP69" s="581"/>
      <c r="AQ69" s="1152"/>
      <c r="AR69" s="1152"/>
      <c r="AS69" s="1152"/>
      <c r="AT69" s="1152"/>
      <c r="AU69" s="581"/>
      <c r="AV69" s="1152"/>
      <c r="AW69" s="657"/>
      <c r="AX69" s="657"/>
      <c r="AY69" s="657"/>
      <c r="AZ69" s="868"/>
      <c r="BA69" s="657"/>
      <c r="BB69" s="657"/>
      <c r="BC69" s="657"/>
      <c r="BD69" s="657"/>
      <c r="BE69" s="868"/>
      <c r="BF69" s="657"/>
      <c r="BG69" s="657"/>
      <c r="BH69" s="657"/>
      <c r="BI69" s="657"/>
      <c r="BJ69" s="868"/>
      <c r="BK69" s="657"/>
      <c r="BL69" s="657"/>
      <c r="BM69" s="657"/>
      <c r="BN69" s="657"/>
      <c r="BO69" s="868"/>
      <c r="BP69" s="657"/>
      <c r="BQ69" s="657"/>
      <c r="BR69" s="657"/>
      <c r="BS69" s="657"/>
      <c r="BT69" s="868"/>
      <c r="BU69" s="657"/>
      <c r="BV69" s="657"/>
      <c r="BW69" s="657"/>
      <c r="BX69" s="657"/>
      <c r="BY69" s="868"/>
      <c r="BZ69" s="657"/>
      <c r="CA69" s="657"/>
      <c r="CB69" s="657"/>
      <c r="CC69" s="657"/>
      <c r="CD69" s="868"/>
      <c r="CE69" s="657"/>
      <c r="CF69" s="657"/>
      <c r="CG69" s="657"/>
      <c r="CH69" s="657"/>
      <c r="CI69" s="868"/>
      <c r="CJ69" s="657"/>
      <c r="CK69" s="657"/>
      <c r="CL69" s="657"/>
      <c r="CM69" s="657"/>
      <c r="CN69" s="868"/>
      <c r="CO69" s="1807"/>
      <c r="CP69" s="200"/>
      <c r="CQ69" s="201"/>
      <c r="CR69" s="200"/>
    </row>
    <row r="70" spans="1:96" hidden="1" outlineLevel="1">
      <c r="A70" s="560" t="s">
        <v>351</v>
      </c>
      <c r="B70" s="560"/>
      <c r="C70" s="874"/>
      <c r="D70" s="874"/>
      <c r="E70" s="874"/>
      <c r="F70" s="874"/>
      <c r="G70" s="875"/>
      <c r="H70" s="657"/>
      <c r="I70" s="657"/>
      <c r="J70" s="657"/>
      <c r="K70" s="657"/>
      <c r="L70" s="868"/>
      <c r="M70" s="657"/>
      <c r="N70" s="657"/>
      <c r="O70" s="657"/>
      <c r="P70" s="657"/>
      <c r="Q70" s="581"/>
      <c r="R70" s="1152"/>
      <c r="S70" s="1152"/>
      <c r="T70" s="1152"/>
      <c r="U70" s="1152"/>
      <c r="V70" s="581"/>
      <c r="W70" s="1152"/>
      <c r="X70" s="1152"/>
      <c r="Y70" s="1152"/>
      <c r="Z70" s="1152"/>
      <c r="AA70" s="581"/>
      <c r="AB70" s="1152"/>
      <c r="AC70" s="1152"/>
      <c r="AD70" s="1152"/>
      <c r="AE70" s="1152"/>
      <c r="AF70" s="581"/>
      <c r="AG70" s="1152"/>
      <c r="AH70" s="1152"/>
      <c r="AI70" s="1152"/>
      <c r="AJ70" s="1152"/>
      <c r="AK70" s="581"/>
      <c r="AL70" s="1152">
        <f t="shared" ref="AL70:AU71" si="144">AL66/AG66-1</f>
        <v>0.12306278269263715</v>
      </c>
      <c r="AM70" s="1152">
        <f t="shared" si="144"/>
        <v>0.16233582477718644</v>
      </c>
      <c r="AN70" s="1152">
        <f t="shared" si="144"/>
        <v>0.13481968853248971</v>
      </c>
      <c r="AO70" s="1152">
        <f t="shared" si="144"/>
        <v>-6.3775185080670704E-2</v>
      </c>
      <c r="AP70" s="581">
        <f t="shared" si="144"/>
        <v>8.6511617703848076E-2</v>
      </c>
      <c r="AQ70" s="1152">
        <f t="shared" si="144"/>
        <v>-0.10281802140305452</v>
      </c>
      <c r="AR70" s="1152">
        <f t="shared" si="144"/>
        <v>-0.14281207527276518</v>
      </c>
      <c r="AS70" s="1152">
        <f t="shared" si="144"/>
        <v>-8.4129956472499101E-2</v>
      </c>
      <c r="AT70" s="1152">
        <f t="shared" si="144"/>
        <v>0.10073063945213656</v>
      </c>
      <c r="AU70" s="581">
        <f t="shared" si="144"/>
        <v>-6.2336064848288908E-2</v>
      </c>
      <c r="AV70" s="1152">
        <f t="shared" ref="AV70:BE71" si="145">AV66/AQ66-1</f>
        <v>7.6698058906622402E-2</v>
      </c>
      <c r="AW70" s="1152">
        <f>AW66/AR66-1</f>
        <v>-1.3245001844252591E-2</v>
      </c>
      <c r="AX70" s="1152">
        <f t="shared" si="145"/>
        <v>-0.10502164510371315</v>
      </c>
      <c r="AY70" s="1152">
        <f>AY66/AT66-1</f>
        <v>-8.2529112487023104E-2</v>
      </c>
      <c r="AZ70" s="581">
        <f t="shared" si="145"/>
        <v>-3.3673749319882318E-2</v>
      </c>
      <c r="BA70" s="1152">
        <f t="shared" si="145"/>
        <v>-5.6128232727784999E-2</v>
      </c>
      <c r="BB70" s="1152">
        <f t="shared" si="145"/>
        <v>8.1057167546586539E-2</v>
      </c>
      <c r="BC70" s="1152">
        <f>BC66/AX66-1</f>
        <v>0.13547934209792678</v>
      </c>
      <c r="BD70" s="1152">
        <f>BD66/AY66-1</f>
        <v>1.0203613225769459E-2</v>
      </c>
      <c r="BE70" s="581">
        <f t="shared" si="145"/>
        <v>3.9629950801489233E-2</v>
      </c>
      <c r="BF70" s="1152">
        <f t="shared" ref="BF70:BJ71" si="146">BF66/BA66-1</f>
        <v>-2.3059816303099501E-2</v>
      </c>
      <c r="BG70" s="1152">
        <f t="shared" si="146"/>
        <v>-8.5166881151386931E-2</v>
      </c>
      <c r="BH70" s="1152">
        <f t="shared" si="146"/>
        <v>-0.13535246134019885</v>
      </c>
      <c r="BI70" s="1152">
        <f>BI66/BD66-1</f>
        <v>-5.7351069116149067E-2</v>
      </c>
      <c r="BJ70" s="581">
        <f t="shared" si="146"/>
        <v>-7.632245273956384E-2</v>
      </c>
      <c r="BK70" s="1152">
        <f t="shared" ref="BK70:BT71" si="147">BK66/BF66-1</f>
        <v>1.2608972413104436E-2</v>
      </c>
      <c r="BL70" s="1152">
        <f t="shared" si="147"/>
        <v>-5.2797920548482979E-3</v>
      </c>
      <c r="BM70" s="1152">
        <f t="shared" si="147"/>
        <v>8.0003150619774699E-2</v>
      </c>
      <c r="BN70" s="1152">
        <f t="shared" si="147"/>
        <v>4.6936339213962786E-2</v>
      </c>
      <c r="BO70" s="581">
        <f t="shared" si="147"/>
        <v>3.293057283229528E-2</v>
      </c>
      <c r="BP70" s="1152">
        <f t="shared" si="147"/>
        <v>3.0757755613269655E-2</v>
      </c>
      <c r="BQ70" s="1152">
        <f t="shared" si="147"/>
        <v>6.2462012563707203E-2</v>
      </c>
      <c r="BR70" s="1152">
        <f t="shared" si="147"/>
        <v>6.2783008036739751E-3</v>
      </c>
      <c r="BS70" s="1152">
        <f t="shared" si="147"/>
        <v>-5.9857943802529401E-2</v>
      </c>
      <c r="BT70" s="581">
        <f t="shared" si="147"/>
        <v>9.30832796815384E-3</v>
      </c>
      <c r="BU70" s="1152">
        <f t="shared" ref="BU70:BZ71" si="148">BU66/BP66-1</f>
        <v>-0.13718280422943807</v>
      </c>
      <c r="BV70" s="1152">
        <f t="shared" si="148"/>
        <v>-0.20777938905456361</v>
      </c>
      <c r="BW70" s="1152">
        <f t="shared" si="148"/>
        <v>-0.17567490168498945</v>
      </c>
      <c r="BX70" s="1152">
        <f t="shared" si="148"/>
        <v>-0.1143284487156595</v>
      </c>
      <c r="BY70" s="581">
        <f t="shared" si="148"/>
        <v>-0.15960647384067228</v>
      </c>
      <c r="BZ70" s="1152">
        <f t="shared" si="148"/>
        <v>-4.3204435188519019E-2</v>
      </c>
      <c r="CA70" s="1152">
        <f t="shared" ref="CA70:CE71" si="149">CA66/BV66-1</f>
        <v>1.7269800117444722E-2</v>
      </c>
      <c r="CB70" s="1152">
        <f t="shared" si="149"/>
        <v>4.9205883667826633E-3</v>
      </c>
      <c r="CC70" s="1152">
        <f t="shared" si="149"/>
        <v>-5.6836642288607298E-2</v>
      </c>
      <c r="CD70" s="581"/>
      <c r="CE70" s="1152">
        <f t="shared" si="149"/>
        <v>-5.8776595744680638E-2</v>
      </c>
      <c r="CF70" s="1152">
        <f t="shared" ref="CF70:CH71" si="150">CF66/CA66-1</f>
        <v>3.7046967788375129E-2</v>
      </c>
      <c r="CG70" s="1152">
        <f t="shared" si="150"/>
        <v>5.6544452861373662E-2</v>
      </c>
      <c r="CH70" s="1152">
        <f t="shared" si="150"/>
        <v>0.11333600887043493</v>
      </c>
      <c r="CI70" s="581"/>
      <c r="CJ70" s="1152">
        <f t="shared" ref="CJ70:CJ71" si="151">CJ66/CE66-1</f>
        <v>0.14188971243506421</v>
      </c>
      <c r="CK70" s="1152">
        <f t="shared" ref="CK70:CK71" si="152">CK66/CF66-1</f>
        <v>5.1858108626697819E-2</v>
      </c>
      <c r="CL70" s="1152">
        <f t="shared" ref="CL70:CL71" si="153">CL66/CG66-1</f>
        <v>2.727100533030602E-2</v>
      </c>
      <c r="CM70" s="1152">
        <f t="shared" ref="CM70:CM71" si="154">CM66/CH66-1</f>
        <v>2.7185288325892953E-2</v>
      </c>
      <c r="CN70" s="581"/>
      <c r="CO70" s="583"/>
      <c r="CP70" s="200"/>
      <c r="CQ70" s="201"/>
      <c r="CR70" s="200"/>
    </row>
    <row r="71" spans="1:96" hidden="1" outlineLevel="1">
      <c r="A71" s="560" t="s">
        <v>411</v>
      </c>
      <c r="B71" s="560"/>
      <c r="C71" s="874"/>
      <c r="D71" s="874"/>
      <c r="E71" s="874"/>
      <c r="F71" s="874"/>
      <c r="G71" s="875"/>
      <c r="H71" s="657"/>
      <c r="I71" s="657"/>
      <c r="J71" s="657"/>
      <c r="K71" s="657"/>
      <c r="L71" s="868"/>
      <c r="M71" s="657"/>
      <c r="N71" s="657"/>
      <c r="O71" s="657"/>
      <c r="P71" s="657"/>
      <c r="Q71" s="581"/>
      <c r="R71" s="1152"/>
      <c r="S71" s="1152"/>
      <c r="T71" s="1152"/>
      <c r="U71" s="1152"/>
      <c r="V71" s="581"/>
      <c r="W71" s="1152"/>
      <c r="X71" s="1152"/>
      <c r="Y71" s="1152"/>
      <c r="Z71" s="1152"/>
      <c r="AA71" s="581"/>
      <c r="AB71" s="1152"/>
      <c r="AC71" s="1152"/>
      <c r="AD71" s="1152"/>
      <c r="AE71" s="1152"/>
      <c r="AF71" s="581"/>
      <c r="AG71" s="1152"/>
      <c r="AH71" s="1152"/>
      <c r="AI71" s="1152"/>
      <c r="AJ71" s="1152"/>
      <c r="AK71" s="581"/>
      <c r="AL71" s="1152">
        <f t="shared" si="144"/>
        <v>1.0281760089976499E-2</v>
      </c>
      <c r="AM71" s="1152">
        <f t="shared" si="144"/>
        <v>6.3267691915398494E-3</v>
      </c>
      <c r="AN71" s="1152">
        <f t="shared" si="144"/>
        <v>-3.2451660794179826E-2</v>
      </c>
      <c r="AO71" s="1152">
        <f t="shared" si="144"/>
        <v>-0.18426103247122572</v>
      </c>
      <c r="AP71" s="581">
        <f t="shared" si="144"/>
        <v>-5.1291389006672183E-2</v>
      </c>
      <c r="AQ71" s="1152">
        <f t="shared" si="144"/>
        <v>-0.26343558012767554</v>
      </c>
      <c r="AR71" s="1152">
        <f t="shared" si="144"/>
        <v>-0.25175149665203456</v>
      </c>
      <c r="AS71" s="1152">
        <f t="shared" si="144"/>
        <v>-0.15585111123070672</v>
      </c>
      <c r="AT71" s="1152">
        <f t="shared" si="144"/>
        <v>-2.0466893172480627E-2</v>
      </c>
      <c r="AU71" s="581">
        <f t="shared" si="144"/>
        <v>-0.17924429820582743</v>
      </c>
      <c r="AV71" s="1152">
        <f t="shared" si="145"/>
        <v>9.8108133510411255E-2</v>
      </c>
      <c r="AW71" s="1152">
        <f t="shared" si="145"/>
        <v>1.1353942431524988E-2</v>
      </c>
      <c r="AX71" s="1152">
        <f>AX67/AS67-1</f>
        <v>-7.1423616536228973E-2</v>
      </c>
      <c r="AY71" s="1152">
        <f t="shared" si="145"/>
        <v>-3.3718696572706097E-2</v>
      </c>
      <c r="AZ71" s="581">
        <f t="shared" si="145"/>
        <v>-2.0039951220239827E-3</v>
      </c>
      <c r="BA71" s="1152">
        <f t="shared" si="145"/>
        <v>-1.1749915570053338E-2</v>
      </c>
      <c r="BB71" s="1152">
        <f>BB67/AW67-1</f>
        <v>8.45569893547089E-2</v>
      </c>
      <c r="BC71" s="1152">
        <f t="shared" si="145"/>
        <v>6.7143933123036348E-2</v>
      </c>
      <c r="BD71" s="1152">
        <f t="shared" si="145"/>
        <v>-1.103213242453438E-3</v>
      </c>
      <c r="BE71" s="581">
        <f t="shared" si="145"/>
        <v>3.3634627229697456E-2</v>
      </c>
      <c r="BF71" s="1152">
        <f t="shared" si="146"/>
        <v>-1.1830691432461293E-2</v>
      </c>
      <c r="BG71" s="1152">
        <f t="shared" si="146"/>
        <v>-2.3134386324111467E-2</v>
      </c>
      <c r="BH71" s="1152">
        <f t="shared" si="146"/>
        <v>-3.9224099376102162E-2</v>
      </c>
      <c r="BI71" s="1152">
        <f t="shared" si="146"/>
        <v>1.6994405707562388E-2</v>
      </c>
      <c r="BJ71" s="581">
        <f t="shared" si="146"/>
        <v>-1.4552917387237629E-2</v>
      </c>
      <c r="BK71" s="1152">
        <f t="shared" si="147"/>
        <v>1.5373626104615346E-2</v>
      </c>
      <c r="BL71" s="1152">
        <f t="shared" si="147"/>
        <v>-4.2784145231266391E-2</v>
      </c>
      <c r="BM71" s="1152">
        <f t="shared" si="147"/>
        <v>2.4090864789457322E-2</v>
      </c>
      <c r="BN71" s="1152">
        <f t="shared" si="147"/>
        <v>-1.7497347361883353E-3</v>
      </c>
      <c r="BO71" s="581">
        <f t="shared" si="147"/>
        <v>-1.4569708815982407E-3</v>
      </c>
      <c r="BP71" s="1152">
        <f t="shared" si="147"/>
        <v>3.7630332808615607E-2</v>
      </c>
      <c r="BQ71" s="1152">
        <f t="shared" si="147"/>
        <v>9.9161172113799934E-2</v>
      </c>
      <c r="BR71" s="1152">
        <f t="shared" si="147"/>
        <v>5.6120192307692385E-2</v>
      </c>
      <c r="BS71" s="1152">
        <f t="shared" si="147"/>
        <v>2.3044229076920608E-3</v>
      </c>
      <c r="BT71" s="581">
        <f t="shared" si="147"/>
        <v>4.819579066110391E-2</v>
      </c>
      <c r="BU71" s="1152">
        <f t="shared" si="148"/>
        <v>-6.6104729065465717E-2</v>
      </c>
      <c r="BV71" s="1152">
        <f t="shared" si="148"/>
        <v>-9.708792220574658E-2</v>
      </c>
      <c r="BW71" s="1152">
        <f t="shared" si="148"/>
        <v>-7.8570420579679667E-2</v>
      </c>
      <c r="BX71" s="1152">
        <f t="shared" si="148"/>
        <v>-4.5227547319032446E-2</v>
      </c>
      <c r="BY71" s="581">
        <f t="shared" si="148"/>
        <v>-7.2059847942472444E-2</v>
      </c>
      <c r="BZ71" s="1152">
        <f t="shared" si="148"/>
        <v>-6.5123308305269689E-2</v>
      </c>
      <c r="CA71" s="1152">
        <f t="shared" si="149"/>
        <v>-3.2701764251653609E-2</v>
      </c>
      <c r="CB71" s="1152">
        <f t="shared" si="149"/>
        <v>-0.13617293733807889</v>
      </c>
      <c r="CC71" s="1152">
        <f t="shared" si="149"/>
        <v>-0.18917574278181004</v>
      </c>
      <c r="CD71" s="581"/>
      <c r="CE71" s="1152">
        <f t="shared" si="149"/>
        <v>-0.14527121001390808</v>
      </c>
      <c r="CF71" s="1152">
        <f t="shared" si="150"/>
        <v>-0.1163237808631421</v>
      </c>
      <c r="CG71" s="1152">
        <f t="shared" si="150"/>
        <v>-1.5220474692593244E-2</v>
      </c>
      <c r="CH71" s="1152">
        <f t="shared" si="150"/>
        <v>6.5666071457298303E-2</v>
      </c>
      <c r="CI71" s="581"/>
      <c r="CJ71" s="1152">
        <f t="shared" si="151"/>
        <v>0.11665946940538108</v>
      </c>
      <c r="CK71" s="1152">
        <f t="shared" si="152"/>
        <v>6.2276874209014954E-2</v>
      </c>
      <c r="CL71" s="1152">
        <f t="shared" si="153"/>
        <v>3.6207370170051378E-2</v>
      </c>
      <c r="CM71" s="1152">
        <f t="shared" si="154"/>
        <v>3.5916789075517652E-2</v>
      </c>
      <c r="CN71" s="581"/>
      <c r="CO71" s="583"/>
      <c r="CP71" s="200"/>
      <c r="CQ71" s="201"/>
      <c r="CR71" s="200"/>
    </row>
    <row r="72" spans="1:96" hidden="1" outlineLevel="1">
      <c r="A72" s="560" t="s">
        <v>402</v>
      </c>
      <c r="B72" s="560"/>
      <c r="C72" s="874"/>
      <c r="D72" s="874"/>
      <c r="E72" s="874"/>
      <c r="F72" s="874"/>
      <c r="G72" s="875"/>
      <c r="H72" s="657"/>
      <c r="I72" s="657"/>
      <c r="J72" s="657"/>
      <c r="K72" s="657"/>
      <c r="L72" s="868"/>
      <c r="M72" s="657"/>
      <c r="N72" s="657"/>
      <c r="O72" s="657"/>
      <c r="P72" s="657"/>
      <c r="Q72" s="581"/>
      <c r="R72" s="1152"/>
      <c r="S72" s="1152"/>
      <c r="T72" s="1152"/>
      <c r="U72" s="1152"/>
      <c r="V72" s="581"/>
      <c r="W72" s="1152"/>
      <c r="X72" s="1152"/>
      <c r="Y72" s="1152"/>
      <c r="Z72" s="1152"/>
      <c r="AA72" s="581"/>
      <c r="AB72" s="1152"/>
      <c r="AC72" s="1152"/>
      <c r="AD72" s="1152"/>
      <c r="AE72" s="1152"/>
      <c r="AF72" s="581"/>
      <c r="AG72" s="1152"/>
      <c r="AH72" s="1152"/>
      <c r="AI72" s="1152"/>
      <c r="AJ72" s="1152"/>
      <c r="AK72" s="581"/>
      <c r="AL72" s="1152">
        <f t="shared" ref="AL72:BJ72" si="155">(AL70+AL71)/2</f>
        <v>6.6672271391306825E-2</v>
      </c>
      <c r="AM72" s="1152">
        <f t="shared" si="155"/>
        <v>8.4331296984363147E-2</v>
      </c>
      <c r="AN72" s="1152">
        <f t="shared" si="155"/>
        <v>5.1184013869154943E-2</v>
      </c>
      <c r="AO72" s="1152">
        <f t="shared" si="155"/>
        <v>-0.12401810877594821</v>
      </c>
      <c r="AP72" s="581">
        <f t="shared" si="155"/>
        <v>1.7610114348587946E-2</v>
      </c>
      <c r="AQ72" s="1152">
        <f t="shared" si="155"/>
        <v>-0.18312680076536503</v>
      </c>
      <c r="AR72" s="1152">
        <f t="shared" si="155"/>
        <v>-0.19728178596239987</v>
      </c>
      <c r="AS72" s="1152">
        <f t="shared" si="155"/>
        <v>-0.11999053385160291</v>
      </c>
      <c r="AT72" s="1152">
        <f t="shared" si="155"/>
        <v>4.0131873139827967E-2</v>
      </c>
      <c r="AU72" s="581">
        <f t="shared" si="155"/>
        <v>-0.12079018152705817</v>
      </c>
      <c r="AV72" s="1152">
        <f t="shared" si="155"/>
        <v>8.7403096208516828E-2</v>
      </c>
      <c r="AW72" s="1152">
        <f>(AW70+AW71)/2</f>
        <v>-9.4552970636380129E-4</v>
      </c>
      <c r="AX72" s="1152">
        <f>(AX70+AX71)/2</f>
        <v>-8.822263081997106E-2</v>
      </c>
      <c r="AY72" s="1152">
        <f>(AY70+AY71)/2</f>
        <v>-5.8123904529864601E-2</v>
      </c>
      <c r="AZ72" s="581">
        <f t="shared" si="155"/>
        <v>-1.783887222095315E-2</v>
      </c>
      <c r="BA72" s="1152">
        <f t="shared" si="155"/>
        <v>-3.3939074148919168E-2</v>
      </c>
      <c r="BB72" s="1152">
        <f>(BB70+BB71)/2</f>
        <v>8.280707845064772E-2</v>
      </c>
      <c r="BC72" s="1152">
        <f>(BC70+BC71)/2</f>
        <v>0.10131163761048156</v>
      </c>
      <c r="BD72" s="1152">
        <f>(BD70+BD71)/2</f>
        <v>4.5501999916580105E-3</v>
      </c>
      <c r="BE72" s="581">
        <f t="shared" si="155"/>
        <v>3.6632289015593344E-2</v>
      </c>
      <c r="BF72" s="1152">
        <f t="shared" si="155"/>
        <v>-1.7445253867780397E-2</v>
      </c>
      <c r="BG72" s="1152">
        <f>(BG70+BG71)/2</f>
        <v>-5.4150633737749199E-2</v>
      </c>
      <c r="BH72" s="1152">
        <f t="shared" si="155"/>
        <v>-8.7288280358150505E-2</v>
      </c>
      <c r="BI72" s="1152">
        <f t="shared" si="155"/>
        <v>-2.017833170429334E-2</v>
      </c>
      <c r="BJ72" s="581">
        <f t="shared" si="155"/>
        <v>-4.5437685063400735E-2</v>
      </c>
      <c r="BK72" s="1152">
        <f t="shared" ref="BK72:BT72" si="156">(BK70+BK71)/2</f>
        <v>1.3991299258859891E-2</v>
      </c>
      <c r="BL72" s="1152">
        <f>(BL70+BL71)/2</f>
        <v>-2.4031968643057344E-2</v>
      </c>
      <c r="BM72" s="1152">
        <f t="shared" si="156"/>
        <v>5.2047007704616011E-2</v>
      </c>
      <c r="BN72" s="1152">
        <f>(BN70+BN71)/2</f>
        <v>2.2593302238887225E-2</v>
      </c>
      <c r="BO72" s="581">
        <f t="shared" si="156"/>
        <v>1.5736800975348519E-2</v>
      </c>
      <c r="BP72" s="1152">
        <f t="shared" si="156"/>
        <v>3.4194044210942631E-2</v>
      </c>
      <c r="BQ72" s="1152">
        <f t="shared" si="156"/>
        <v>8.0811592338753568E-2</v>
      </c>
      <c r="BR72" s="1152">
        <f t="shared" si="156"/>
        <v>3.119924655568318E-2</v>
      </c>
      <c r="BS72" s="1152">
        <f t="shared" si="156"/>
        <v>-2.877676044741867E-2</v>
      </c>
      <c r="BT72" s="581">
        <f t="shared" si="156"/>
        <v>2.8752059314628875E-2</v>
      </c>
      <c r="BU72" s="1152">
        <f t="shared" ref="BU72:CA72" si="157">(BU70+BU71)/2</f>
        <v>-0.10164376664745189</v>
      </c>
      <c r="BV72" s="1152">
        <f t="shared" si="157"/>
        <v>-0.1524336556301551</v>
      </c>
      <c r="BW72" s="1152">
        <f t="shared" si="157"/>
        <v>-0.12712266113233456</v>
      </c>
      <c r="BX72" s="1152">
        <f t="shared" si="157"/>
        <v>-7.9777998017345975E-2</v>
      </c>
      <c r="BY72" s="581">
        <f t="shared" si="157"/>
        <v>-0.11583316089157236</v>
      </c>
      <c r="BZ72" s="1152">
        <f t="shared" si="157"/>
        <v>-5.4163871746894354E-2</v>
      </c>
      <c r="CA72" s="1152">
        <f t="shared" si="157"/>
        <v>-7.7159820671044432E-3</v>
      </c>
      <c r="CB72" s="1152">
        <f t="shared" ref="CB72" si="158">(CB70+CB71)/2</f>
        <v>-6.5626174485648114E-2</v>
      </c>
      <c r="CC72" s="1152">
        <f t="shared" ref="CC72:CE72" si="159">(CC70+CC71)/2</f>
        <v>-0.12300619253520867</v>
      </c>
      <c r="CD72" s="581"/>
      <c r="CE72" s="1152">
        <f t="shared" si="159"/>
        <v>-0.10202390287929436</v>
      </c>
      <c r="CF72" s="1152">
        <f>(CF70+CF71)/2</f>
        <v>-3.9638406537383486E-2</v>
      </c>
      <c r="CG72" s="1152">
        <f>(CG70+CG71)/2</f>
        <v>2.0661989084390209E-2</v>
      </c>
      <c r="CH72" s="1152">
        <f>(CH70+CH71)/2</f>
        <v>8.9501040163866619E-2</v>
      </c>
      <c r="CI72" s="581"/>
      <c r="CJ72" s="1152">
        <f t="shared" ref="CJ72" si="160">(CJ70+CJ71)/2</f>
        <v>0.12927459092022264</v>
      </c>
      <c r="CK72" s="1152">
        <f>(CK70+CK71)/2</f>
        <v>5.7067491417856386E-2</v>
      </c>
      <c r="CL72" s="1152">
        <f>(CL70+CL71)/2</f>
        <v>3.1739187750178699E-2</v>
      </c>
      <c r="CM72" s="1152">
        <f>(CM70+CM71)/2</f>
        <v>3.1551038700705303E-2</v>
      </c>
      <c r="CN72" s="581"/>
      <c r="CO72" s="583"/>
      <c r="CP72" s="200"/>
      <c r="CQ72" s="201"/>
      <c r="CR72" s="200"/>
    </row>
    <row r="73" spans="1:96" hidden="1" outlineLevel="1">
      <c r="A73" s="560" t="s">
        <v>352</v>
      </c>
      <c r="B73" s="560"/>
      <c r="C73" s="874"/>
      <c r="D73" s="874"/>
      <c r="E73" s="874"/>
      <c r="F73" s="874"/>
      <c r="G73" s="875"/>
      <c r="H73" s="657"/>
      <c r="I73" s="657"/>
      <c r="J73" s="657"/>
      <c r="K73" s="657"/>
      <c r="L73" s="868"/>
      <c r="M73" s="657"/>
      <c r="N73" s="657"/>
      <c r="O73" s="657"/>
      <c r="P73" s="657"/>
      <c r="Q73" s="581"/>
      <c r="R73" s="1152"/>
      <c r="S73" s="1152"/>
      <c r="T73" s="1152"/>
      <c r="U73" s="1152"/>
      <c r="V73" s="581"/>
      <c r="W73" s="1152"/>
      <c r="X73" s="1152"/>
      <c r="Y73" s="1152"/>
      <c r="Z73" s="1152"/>
      <c r="AA73" s="581"/>
      <c r="AB73" s="1152"/>
      <c r="AC73" s="1152"/>
      <c r="AD73" s="1152"/>
      <c r="AE73" s="1152"/>
      <c r="AF73" s="581"/>
      <c r="AG73" s="1152"/>
      <c r="AH73" s="1152"/>
      <c r="AI73" s="1152"/>
      <c r="AJ73" s="1152"/>
      <c r="AK73" s="581"/>
      <c r="AL73" s="1152">
        <f t="shared" ref="AL73:AU73" si="161">AL68/AG68-1</f>
        <v>9.6115932568021867E-2</v>
      </c>
      <c r="AM73" s="1152">
        <f t="shared" si="161"/>
        <v>0.15964167624570358</v>
      </c>
      <c r="AN73" s="1152">
        <f t="shared" si="161"/>
        <v>0.11432531947943603</v>
      </c>
      <c r="AO73" s="1152">
        <f t="shared" si="161"/>
        <v>0.12949096920411041</v>
      </c>
      <c r="AP73" s="581">
        <f t="shared" si="161"/>
        <v>0.12498963236367278</v>
      </c>
      <c r="AQ73" s="1152">
        <f t="shared" si="161"/>
        <v>0.18953095930877217</v>
      </c>
      <c r="AR73" s="1152">
        <f t="shared" si="161"/>
        <v>5.0614817614938135E-2</v>
      </c>
      <c r="AS73" s="1152">
        <f t="shared" si="161"/>
        <v>0.12936515203958976</v>
      </c>
      <c r="AT73" s="1152">
        <f t="shared" si="161"/>
        <v>0.11565119898009502</v>
      </c>
      <c r="AU73" s="581">
        <f t="shared" si="161"/>
        <v>0.12016511093111926</v>
      </c>
      <c r="AV73" s="1152">
        <f t="shared" ref="AV73:BE73" si="162">AV68/AQ68-1</f>
        <v>1.1496492190968599E-2</v>
      </c>
      <c r="AW73" s="1152">
        <f t="shared" si="162"/>
        <v>7.4359396493409724E-2</v>
      </c>
      <c r="AX73" s="1152">
        <f>AX68/AS68-1</f>
        <v>8.6234792050809306E-2</v>
      </c>
      <c r="AY73" s="1152">
        <f t="shared" si="162"/>
        <v>8.6888850027193598E-2</v>
      </c>
      <c r="AZ73" s="581">
        <f t="shared" si="162"/>
        <v>6.4452135479132533E-2</v>
      </c>
      <c r="BA73" s="1152">
        <f>BA68/AV68-1</f>
        <v>2.2220589320318229E-2</v>
      </c>
      <c r="BB73" s="1152">
        <f t="shared" si="162"/>
        <v>0.1094227176308542</v>
      </c>
      <c r="BC73" s="1152">
        <f t="shared" si="162"/>
        <v>0.11269576637141099</v>
      </c>
      <c r="BD73" s="1152">
        <f t="shared" si="162"/>
        <v>7.7127184589871334E-2</v>
      </c>
      <c r="BE73" s="581">
        <f t="shared" si="162"/>
        <v>8.0496508483918872E-2</v>
      </c>
      <c r="BF73" s="1152">
        <f>BF68/BA68-1</f>
        <v>0.13840707964601773</v>
      </c>
      <c r="BG73" s="1152">
        <f t="shared" ref="BG73:BT73" si="163">BG68/BB68-1</f>
        <v>1.0564533132042087E-2</v>
      </c>
      <c r="BH73" s="1152">
        <f t="shared" si="163"/>
        <v>-7.040167200957903E-4</v>
      </c>
      <c r="BI73" s="1152">
        <f t="shared" si="163"/>
        <v>-3.0413567672557096E-2</v>
      </c>
      <c r="BJ73" s="581">
        <f t="shared" si="163"/>
        <v>2.6216960329301653E-2</v>
      </c>
      <c r="BK73" s="1152">
        <f t="shared" si="163"/>
        <v>-0.12041355721393032</v>
      </c>
      <c r="BL73" s="1152">
        <f t="shared" si="163"/>
        <v>-0.16481356348670073</v>
      </c>
      <c r="BM73" s="1152">
        <f t="shared" si="163"/>
        <v>-0.13120482504427744</v>
      </c>
      <c r="BN73" s="1152">
        <f t="shared" si="163"/>
        <v>-0.19801387599550491</v>
      </c>
      <c r="BO73" s="581">
        <f t="shared" si="163"/>
        <v>-0.15334684976108448</v>
      </c>
      <c r="BP73" s="1152">
        <f t="shared" si="163"/>
        <v>-0.14335633434175199</v>
      </c>
      <c r="BQ73" s="1152">
        <f t="shared" si="163"/>
        <v>-4.9902912621358597E-2</v>
      </c>
      <c r="BR73" s="1152">
        <f t="shared" si="163"/>
        <v>-0.1107972027972024</v>
      </c>
      <c r="BS73" s="1152">
        <f t="shared" si="163"/>
        <v>-0.10131440668930924</v>
      </c>
      <c r="BT73" s="581">
        <f t="shared" si="163"/>
        <v>-0.10249608776374952</v>
      </c>
      <c r="BU73" s="1152">
        <f t="shared" ref="BU73:CE73" si="164">BU68/BP68-1</f>
        <v>-0.13205510761221473</v>
      </c>
      <c r="BV73" s="1152">
        <f t="shared" si="164"/>
        <v>-0.15014114551400015</v>
      </c>
      <c r="BW73" s="1152">
        <f t="shared" si="164"/>
        <v>-0.17149013809808455</v>
      </c>
      <c r="BX73" s="1152">
        <f t="shared" si="164"/>
        <v>-8.2444587020470528E-2</v>
      </c>
      <c r="BY73" s="581">
        <f t="shared" si="164"/>
        <v>-0.13498599890103713</v>
      </c>
      <c r="BZ73" s="1152">
        <f t="shared" si="164"/>
        <v>6.9782751810401056E-2</v>
      </c>
      <c r="CA73" s="1152">
        <f t="shared" si="164"/>
        <v>9.4181524414300943E-2</v>
      </c>
      <c r="CB73" s="1152">
        <f t="shared" si="164"/>
        <v>0.1937578363521737</v>
      </c>
      <c r="CC73" s="1152">
        <f t="shared" si="164"/>
        <v>4.6188148529285655E-2</v>
      </c>
      <c r="CD73" s="581"/>
      <c r="CE73" s="1152">
        <f t="shared" si="164"/>
        <v>-2.2222222222222143E-2</v>
      </c>
      <c r="CF73" s="1152">
        <f>CF68/CA68-1</f>
        <v>-9.890109890109855E-3</v>
      </c>
      <c r="CG73" s="1152">
        <f>CG68/CB68-1</f>
        <v>-7.8293583730513316E-2</v>
      </c>
      <c r="CH73" s="1152">
        <f>CH68/CC68-1</f>
        <v>2.3170655371710813E-2</v>
      </c>
      <c r="CI73" s="581"/>
      <c r="CJ73" s="1152">
        <f t="shared" ref="CJ73" si="165">CJ68/CE68-1</f>
        <v>2.7840909090908639E-2</v>
      </c>
      <c r="CK73" s="1152">
        <f>CK68/CF68-1</f>
        <v>3.8845726970029304E-3</v>
      </c>
      <c r="CL73" s="1152">
        <f>CL68/CG68-1</f>
        <v>1.4398357431243403E-2</v>
      </c>
      <c r="CM73" s="1152">
        <f>CM68/CH68-1</f>
        <v>1.4478715268926967E-2</v>
      </c>
      <c r="CN73" s="581"/>
      <c r="CO73" s="583"/>
      <c r="CP73" s="200"/>
      <c r="CQ73" s="201"/>
      <c r="CR73" s="200"/>
    </row>
    <row r="74" spans="1:96" collapsed="1">
      <c r="A74" s="279" t="s">
        <v>571</v>
      </c>
      <c r="B74" s="279"/>
      <c r="C74" s="414"/>
      <c r="D74" s="414"/>
      <c r="E74" s="414"/>
      <c r="F74" s="414"/>
      <c r="G74" s="781"/>
      <c r="H74" s="414"/>
      <c r="I74" s="414"/>
      <c r="J74" s="414"/>
      <c r="K74" s="414"/>
      <c r="L74" s="648"/>
      <c r="M74" s="414"/>
      <c r="N74" s="414"/>
      <c r="O74" s="414"/>
      <c r="P74" s="414"/>
      <c r="Q74" s="781"/>
      <c r="R74" s="414"/>
      <c r="S74" s="414"/>
      <c r="T74" s="414"/>
      <c r="U74" s="414"/>
      <c r="V74" s="781"/>
      <c r="W74" s="414"/>
      <c r="X74" s="414"/>
      <c r="Y74" s="414"/>
      <c r="Z74" s="414"/>
      <c r="AA74" s="781"/>
      <c r="AB74" s="414"/>
      <c r="AC74" s="414"/>
      <c r="AD74" s="414"/>
      <c r="AE74" s="414"/>
      <c r="AF74" s="781"/>
      <c r="AG74" s="414"/>
      <c r="AH74" s="414"/>
      <c r="AI74" s="414"/>
      <c r="AJ74" s="414"/>
      <c r="AK74" s="781"/>
      <c r="AL74" s="414"/>
      <c r="AM74" s="414"/>
      <c r="AN74" s="414"/>
      <c r="AO74" s="414"/>
      <c r="AP74" s="781"/>
      <c r="AQ74" s="414"/>
      <c r="AR74" s="414"/>
      <c r="AS74" s="414"/>
      <c r="AT74" s="414"/>
      <c r="AU74" s="781"/>
      <c r="AV74" s="414"/>
      <c r="AW74" s="414"/>
      <c r="AX74" s="414"/>
      <c r="AY74" s="414"/>
      <c r="AZ74" s="781"/>
      <c r="BA74" s="414"/>
      <c r="BB74" s="414"/>
      <c r="BC74" s="414"/>
      <c r="BD74" s="414"/>
      <c r="BE74" s="781"/>
      <c r="BF74" s="414"/>
      <c r="BG74" s="414"/>
      <c r="BH74" s="414"/>
      <c r="BI74" s="414"/>
      <c r="BJ74" s="781"/>
      <c r="BK74" s="414"/>
      <c r="BL74" s="414"/>
      <c r="BM74" s="414"/>
      <c r="BN74" s="414"/>
      <c r="BO74" s="781"/>
      <c r="BP74" s="414"/>
      <c r="BQ74" s="414"/>
      <c r="BR74" s="414"/>
      <c r="BS74" s="414"/>
      <c r="BT74" s="781"/>
      <c r="BU74" s="414"/>
      <c r="BV74" s="414"/>
      <c r="BW74" s="414"/>
      <c r="BX74" s="414"/>
      <c r="BY74" s="781"/>
      <c r="BZ74" s="414"/>
      <c r="CA74" s="414"/>
      <c r="CB74" s="414"/>
      <c r="CC74" s="414"/>
      <c r="CD74" s="781"/>
      <c r="CE74" s="414"/>
      <c r="CF74" s="414"/>
      <c r="CG74" s="414"/>
      <c r="CH74" s="414"/>
      <c r="CI74" s="781"/>
      <c r="CJ74" s="414"/>
      <c r="CK74" s="414"/>
      <c r="CL74" s="414"/>
      <c r="CM74" s="414"/>
      <c r="CN74" s="781"/>
      <c r="CO74" s="1809"/>
      <c r="CP74" s="414"/>
      <c r="CQ74" s="415"/>
      <c r="CR74" s="414"/>
    </row>
    <row r="75" spans="1:96">
      <c r="A75" s="660" t="s">
        <v>167</v>
      </c>
      <c r="B75" s="660"/>
      <c r="C75" s="860" t="s">
        <v>131</v>
      </c>
      <c r="D75" s="860" t="s">
        <v>131</v>
      </c>
      <c r="E75" s="860" t="s">
        <v>131</v>
      </c>
      <c r="F75" s="860" t="s">
        <v>131</v>
      </c>
      <c r="G75" s="861" t="s">
        <v>131</v>
      </c>
      <c r="H75" s="877">
        <f t="shared" ref="H75:Q77" si="166">H39/C39-1</f>
        <v>-0.18564971167496014</v>
      </c>
      <c r="I75" s="877">
        <f t="shared" si="166"/>
        <v>2.5064002540264863E-3</v>
      </c>
      <c r="J75" s="877">
        <f t="shared" si="166"/>
        <v>1.2019632283516435E-2</v>
      </c>
      <c r="K75" s="877">
        <f t="shared" si="166"/>
        <v>0.14265334056674495</v>
      </c>
      <c r="L75" s="878">
        <f t="shared" si="166"/>
        <v>-1.3031100171088328E-2</v>
      </c>
      <c r="M75" s="877">
        <f t="shared" si="166"/>
        <v>0.18881305009990901</v>
      </c>
      <c r="N75" s="877">
        <f t="shared" si="166"/>
        <v>-8.0634234415914996E-3</v>
      </c>
      <c r="O75" s="877">
        <f t="shared" si="166"/>
        <v>7.4385648260855142E-4</v>
      </c>
      <c r="P75" s="877">
        <f t="shared" si="166"/>
        <v>0.23618426349140331</v>
      </c>
      <c r="Q75" s="878">
        <f t="shared" si="166"/>
        <v>9.6608427543679598E-2</v>
      </c>
      <c r="R75" s="877">
        <f t="shared" ref="R75:AA77" si="167">R39/M39-1</f>
        <v>0.25255972696245732</v>
      </c>
      <c r="S75" s="877">
        <f t="shared" si="167"/>
        <v>0.15946632782719172</v>
      </c>
      <c r="T75" s="877">
        <f t="shared" si="167"/>
        <v>0.24936224489795911</v>
      </c>
      <c r="U75" s="877">
        <f t="shared" si="167"/>
        <v>0.1626740947075207</v>
      </c>
      <c r="V75" s="878">
        <f t="shared" si="167"/>
        <v>0.20368634801624497</v>
      </c>
      <c r="W75" s="877">
        <f t="shared" si="167"/>
        <v>0.18801089918256131</v>
      </c>
      <c r="X75" s="877">
        <f t="shared" si="167"/>
        <v>0.32821917808219192</v>
      </c>
      <c r="Y75" s="877">
        <f t="shared" si="167"/>
        <v>0.16539050535987743</v>
      </c>
      <c r="Z75" s="877">
        <f t="shared" si="167"/>
        <v>0.20268327743171999</v>
      </c>
      <c r="AA75" s="878">
        <f t="shared" si="167"/>
        <v>0.21943939787178834</v>
      </c>
      <c r="AB75" s="877">
        <f t="shared" ref="AB75:AH77" si="168">AB39/W39-1</f>
        <v>0.43899082568807324</v>
      </c>
      <c r="AC75" s="877">
        <f t="shared" si="168"/>
        <v>0.26196369636963679</v>
      </c>
      <c r="AD75" s="877">
        <f t="shared" si="168"/>
        <v>0.35917652212001761</v>
      </c>
      <c r="AE75" s="877">
        <f t="shared" si="168"/>
        <v>0.34223107569721112</v>
      </c>
      <c r="AF75" s="878">
        <f t="shared" si="168"/>
        <v>0.3480898158986907</v>
      </c>
      <c r="AG75" s="877">
        <f t="shared" si="168"/>
        <v>-4.9091488683455475E-2</v>
      </c>
      <c r="AH75" s="877">
        <f t="shared" si="168"/>
        <v>0.2536776724419747</v>
      </c>
      <c r="AI75" s="877">
        <f t="shared" ref="AI75:AU77" si="169">AI39/AD39-1</f>
        <v>0.2913309700290041</v>
      </c>
      <c r="AJ75" s="877">
        <f>AJ39/AE39-1</f>
        <v>0.265657465123182</v>
      </c>
      <c r="AK75" s="878">
        <f t="shared" si="169"/>
        <v>0.19111146195137385</v>
      </c>
      <c r="AL75" s="877">
        <f t="shared" si="169"/>
        <v>0.33053972510895058</v>
      </c>
      <c r="AM75" s="877">
        <f t="shared" si="169"/>
        <v>7.8226857887875312E-4</v>
      </c>
      <c r="AN75" s="877">
        <f t="shared" si="169"/>
        <v>7.2123783379086648E-2</v>
      </c>
      <c r="AO75" s="877">
        <f t="shared" si="169"/>
        <v>-8.9118198874295063E-3</v>
      </c>
      <c r="AP75" s="878">
        <f t="shared" si="169"/>
        <v>8.217907084631193E-2</v>
      </c>
      <c r="AQ75" s="877">
        <f t="shared" si="169"/>
        <v>-0.17838246409674974</v>
      </c>
      <c r="AR75" s="877">
        <f t="shared" si="169"/>
        <v>-0.17196456487754042</v>
      </c>
      <c r="AS75" s="877">
        <f t="shared" si="169"/>
        <v>-0.17458100558659218</v>
      </c>
      <c r="AT75" s="877">
        <f t="shared" si="169"/>
        <v>-9.0866067203028922E-2</v>
      </c>
      <c r="AU75" s="878">
        <f t="shared" si="169"/>
        <v>-0.15322432482087089</v>
      </c>
      <c r="AV75" s="877">
        <f t="shared" ref="AV75:AZ77" si="170">AV39/AQ39-1</f>
        <v>0.25237657160380245</v>
      </c>
      <c r="AW75" s="877">
        <f t="shared" si="170"/>
        <v>0.43234738829452479</v>
      </c>
      <c r="AX75" s="877">
        <f t="shared" si="170"/>
        <v>0.39283699943598416</v>
      </c>
      <c r="AY75" s="877">
        <f t="shared" si="170"/>
        <v>0.28292555960437271</v>
      </c>
      <c r="AZ75" s="878">
        <f t="shared" si="170"/>
        <v>0.3382512475591235</v>
      </c>
      <c r="BA75" s="877">
        <f t="shared" ref="BA75:BE77" si="171">BA39/AV39-1</f>
        <v>0.23971596474045054</v>
      </c>
      <c r="BB75" s="877">
        <f t="shared" si="171"/>
        <v>8.1942003514938522E-2</v>
      </c>
      <c r="BC75" s="877">
        <f t="shared" si="171"/>
        <v>2.7738408584733865E-2</v>
      </c>
      <c r="BD75" s="877">
        <f t="shared" si="171"/>
        <v>0.12578616352201255</v>
      </c>
      <c r="BE75" s="878">
        <f t="shared" si="171"/>
        <v>0.11455548130245474</v>
      </c>
      <c r="BF75" s="877">
        <f t="shared" ref="BF75:BJ77" si="172">BF39/BA39-1</f>
        <v>-6.3203634208967019E-3</v>
      </c>
      <c r="BG75" s="877">
        <f t="shared" si="172"/>
        <v>0.11939086294416223</v>
      </c>
      <c r="BH75" s="877">
        <f t="shared" si="172"/>
        <v>9.9881796690307167E-2</v>
      </c>
      <c r="BI75" s="877">
        <f t="shared" si="172"/>
        <v>5.1721030816363367E-2</v>
      </c>
      <c r="BJ75" s="878">
        <f t="shared" si="172"/>
        <v>6.4557161039461741E-2</v>
      </c>
      <c r="BK75" s="877">
        <f t="shared" ref="BK75:BT77" si="173">BK39/BF39-1</f>
        <v>-5.565493937586985E-3</v>
      </c>
      <c r="BL75" s="877">
        <f t="shared" si="173"/>
        <v>-4.6979865771812013E-2</v>
      </c>
      <c r="BM75" s="877">
        <f t="shared" si="173"/>
        <v>-4.3345871395307101E-2</v>
      </c>
      <c r="BN75" s="877">
        <f t="shared" si="173"/>
        <v>-1.5421521590130216E-2</v>
      </c>
      <c r="BO75" s="878">
        <f t="shared" si="173"/>
        <v>-2.8159062416753144E-2</v>
      </c>
      <c r="BP75" s="877">
        <f t="shared" si="173"/>
        <v>7.2556466120327734E-2</v>
      </c>
      <c r="BQ75" s="877">
        <f t="shared" si="173"/>
        <v>0.10239817282070818</v>
      </c>
      <c r="BR75" s="877">
        <f t="shared" si="173"/>
        <v>8.9683579853959916E-2</v>
      </c>
      <c r="BS75" s="877">
        <f t="shared" si="173"/>
        <v>7.3094326487991745E-2</v>
      </c>
      <c r="BT75" s="878">
        <f t="shared" si="173"/>
        <v>8.4581561945958228E-2</v>
      </c>
      <c r="BU75" s="877">
        <f t="shared" ref="BU75:BZ77" si="174">BU39/BP39-1</f>
        <v>0.20126723816623193</v>
      </c>
      <c r="BV75" s="877">
        <f t="shared" si="174"/>
        <v>0.15538674033149169</v>
      </c>
      <c r="BW75" s="877">
        <f t="shared" si="174"/>
        <v>0.19948453608247418</v>
      </c>
      <c r="BX75" s="877">
        <f t="shared" si="174"/>
        <v>0.25883879338306848</v>
      </c>
      <c r="BY75" s="878">
        <f t="shared" si="174"/>
        <v>0.20479912268984002</v>
      </c>
      <c r="BZ75" s="877">
        <f t="shared" si="174"/>
        <v>0.25116351225566236</v>
      </c>
      <c r="CA75" s="877">
        <f t="shared" ref="CA75:CE77" si="175">CA39/BV39-1</f>
        <v>0.22534369396294074</v>
      </c>
      <c r="CB75" s="877">
        <f t="shared" si="175"/>
        <v>0.22031227617819793</v>
      </c>
      <c r="CC75" s="877">
        <f t="shared" si="175"/>
        <v>0.18749677918062368</v>
      </c>
      <c r="CD75" s="878"/>
      <c r="CE75" s="877">
        <f t="shared" si="175"/>
        <v>0.20991940483570981</v>
      </c>
      <c r="CF75" s="877">
        <f t="shared" ref="CF75:CH77" si="176">CF39/CA39-1</f>
        <v>0.25207317073170743</v>
      </c>
      <c r="CG75" s="877">
        <f t="shared" si="176"/>
        <v>0.24791642211527165</v>
      </c>
      <c r="CH75" s="877">
        <f t="shared" si="176"/>
        <v>0.24862351977520647</v>
      </c>
      <c r="CI75" s="878"/>
      <c r="CJ75" s="877">
        <f t="shared" ref="CJ75:CJ77" si="177">CJ39/CE39-1</f>
        <v>0.20917074725995355</v>
      </c>
      <c r="CK75" s="877">
        <f t="shared" ref="CK75:CK77" si="178">CK39/CF39-1</f>
        <v>0.18658984985871663</v>
      </c>
      <c r="CL75" s="877">
        <f t="shared" ref="CL75:CL77" si="179">CL39/CG39-1</f>
        <v>0.19059518752263704</v>
      </c>
      <c r="CM75" s="877">
        <f t="shared" ref="CM75:CM77" si="180">CM39/CH39-1</f>
        <v>0.14876629503848604</v>
      </c>
      <c r="CN75" s="878"/>
      <c r="CO75" s="1810"/>
      <c r="CP75" s="862"/>
      <c r="CQ75" s="863"/>
      <c r="CR75" s="862"/>
    </row>
    <row r="76" spans="1:96">
      <c r="A76" s="660" t="s">
        <v>168</v>
      </c>
      <c r="B76" s="660"/>
      <c r="C76" s="860" t="s">
        <v>131</v>
      </c>
      <c r="D76" s="860" t="s">
        <v>131</v>
      </c>
      <c r="E76" s="860" t="s">
        <v>131</v>
      </c>
      <c r="F76" s="860" t="s">
        <v>131</v>
      </c>
      <c r="G76" s="861" t="s">
        <v>131</v>
      </c>
      <c r="H76" s="877">
        <f t="shared" si="166"/>
        <v>-0.23993973089662934</v>
      </c>
      <c r="I76" s="877">
        <f t="shared" si="166"/>
        <v>4.2606656264187581E-2</v>
      </c>
      <c r="J76" s="877">
        <f t="shared" si="166"/>
        <v>-6.3789838352994344E-2</v>
      </c>
      <c r="K76" s="877">
        <f t="shared" si="166"/>
        <v>0.21242676077882572</v>
      </c>
      <c r="L76" s="878">
        <f t="shared" si="166"/>
        <v>-2.7255826204674483E-2</v>
      </c>
      <c r="M76" s="877">
        <f t="shared" si="166"/>
        <v>0.19049396567537902</v>
      </c>
      <c r="N76" s="877">
        <f t="shared" si="166"/>
        <v>4.9527264318714792E-2</v>
      </c>
      <c r="O76" s="877">
        <f t="shared" si="166"/>
        <v>0.23297961590710448</v>
      </c>
      <c r="P76" s="877">
        <f t="shared" si="166"/>
        <v>0.19950074598041834</v>
      </c>
      <c r="Q76" s="878">
        <f t="shared" si="166"/>
        <v>0.16561712846347598</v>
      </c>
      <c r="R76" s="877">
        <f t="shared" si="167"/>
        <v>0.61366181410974252</v>
      </c>
      <c r="S76" s="877">
        <f t="shared" si="167"/>
        <v>0.55080831408775999</v>
      </c>
      <c r="T76" s="877">
        <f t="shared" si="167"/>
        <v>0.46500593119810207</v>
      </c>
      <c r="U76" s="877">
        <f t="shared" si="167"/>
        <v>0.26909090909090927</v>
      </c>
      <c r="V76" s="878">
        <f t="shared" si="167"/>
        <v>0.46272285251215561</v>
      </c>
      <c r="W76" s="877">
        <f t="shared" si="167"/>
        <v>4.4413601665510116E-2</v>
      </c>
      <c r="X76" s="877">
        <f t="shared" si="167"/>
        <v>8.0416976917349059E-2</v>
      </c>
      <c r="Y76" s="877">
        <f t="shared" si="167"/>
        <v>0.23886639676113353</v>
      </c>
      <c r="Z76" s="877">
        <f t="shared" si="167"/>
        <v>0.17550143266475615</v>
      </c>
      <c r="AA76" s="878">
        <f t="shared" si="167"/>
        <v>0.1314866112650046</v>
      </c>
      <c r="AB76" s="877">
        <f t="shared" si="168"/>
        <v>0.37541528239202648</v>
      </c>
      <c r="AC76" s="877">
        <f t="shared" si="168"/>
        <v>0.24948311509303944</v>
      </c>
      <c r="AD76" s="877">
        <f t="shared" si="168"/>
        <v>8.1045751633986862E-2</v>
      </c>
      <c r="AE76" s="877">
        <f t="shared" si="168"/>
        <v>0.3187081048141378</v>
      </c>
      <c r="AF76" s="878">
        <f t="shared" si="168"/>
        <v>0.25689570752407365</v>
      </c>
      <c r="AG76" s="877">
        <f t="shared" si="168"/>
        <v>4.202898550724643E-2</v>
      </c>
      <c r="AH76" s="877">
        <f t="shared" si="168"/>
        <v>0.16326530612244894</v>
      </c>
      <c r="AI76" s="877">
        <f t="shared" si="169"/>
        <v>0.70193470374848843</v>
      </c>
      <c r="AJ76" s="877">
        <f>AJ40/AE40-1</f>
        <v>0.47088724584103514</v>
      </c>
      <c r="AK76" s="878">
        <f t="shared" si="169"/>
        <v>0.33281392027009482</v>
      </c>
      <c r="AL76" s="877">
        <f t="shared" si="169"/>
        <v>0.50162262401483537</v>
      </c>
      <c r="AM76" s="877">
        <f t="shared" si="169"/>
        <v>0.39687055476529176</v>
      </c>
      <c r="AN76" s="877">
        <f t="shared" si="169"/>
        <v>5.1509769094138624E-2</v>
      </c>
      <c r="AO76" s="877">
        <f t="shared" si="169"/>
        <v>-1.1310084825636224E-2</v>
      </c>
      <c r="AP76" s="878">
        <f t="shared" si="169"/>
        <v>0.19758378799688225</v>
      </c>
      <c r="AQ76" s="877">
        <f t="shared" si="169"/>
        <v>-0.14325409076875573</v>
      </c>
      <c r="AR76" s="877">
        <f t="shared" si="169"/>
        <v>-0.26951799049558733</v>
      </c>
      <c r="AS76" s="877">
        <f t="shared" si="169"/>
        <v>-0.33716216216216222</v>
      </c>
      <c r="AT76" s="877">
        <f t="shared" si="169"/>
        <v>-0.23736892278360344</v>
      </c>
      <c r="AU76" s="878">
        <f t="shared" si="169"/>
        <v>-0.2443052391799545</v>
      </c>
      <c r="AV76" s="877">
        <f t="shared" si="170"/>
        <v>-7.5675675675676013E-3</v>
      </c>
      <c r="AW76" s="877">
        <f t="shared" si="170"/>
        <v>0.2890334572490707</v>
      </c>
      <c r="AX76" s="877">
        <f t="shared" si="170"/>
        <v>0.52650356778797147</v>
      </c>
      <c r="AY76" s="877">
        <f t="shared" si="170"/>
        <v>0.3520833333333333</v>
      </c>
      <c r="AZ76" s="878">
        <f t="shared" si="170"/>
        <v>0.26687479814834747</v>
      </c>
      <c r="BA76" s="877">
        <f t="shared" si="171"/>
        <v>0.14415395787944818</v>
      </c>
      <c r="BB76" s="877">
        <f t="shared" si="171"/>
        <v>0.12364816149963964</v>
      </c>
      <c r="BC76" s="877">
        <f t="shared" si="171"/>
        <v>-2.1368948247078356E-2</v>
      </c>
      <c r="BD76" s="877">
        <f t="shared" si="171"/>
        <v>0.17411402157164879</v>
      </c>
      <c r="BE76" s="878">
        <f t="shared" si="171"/>
        <v>0.10279526323297961</v>
      </c>
      <c r="BF76" s="877">
        <f t="shared" si="172"/>
        <v>4.9508092668993919E-2</v>
      </c>
      <c r="BG76" s="877">
        <f t="shared" si="172"/>
        <v>4.2669233237087045E-2</v>
      </c>
      <c r="BH76" s="877">
        <f t="shared" si="172"/>
        <v>-1.0576595018764956E-2</v>
      </c>
      <c r="BI76" s="877">
        <f t="shared" si="172"/>
        <v>-8.4251968503937014E-2</v>
      </c>
      <c r="BJ76" s="878">
        <f t="shared" si="172"/>
        <v>-2.136173567042654E-3</v>
      </c>
      <c r="BK76" s="877">
        <f t="shared" si="173"/>
        <v>-0.10039310553371628</v>
      </c>
      <c r="BL76" s="877">
        <f t="shared" si="173"/>
        <v>-0.19138461538461538</v>
      </c>
      <c r="BM76" s="877">
        <f t="shared" si="173"/>
        <v>-9.0344827586206877E-2</v>
      </c>
      <c r="BN76" s="877">
        <f t="shared" si="173"/>
        <v>-0.1255374032674117</v>
      </c>
      <c r="BO76" s="878">
        <f t="shared" si="173"/>
        <v>-0.12850232543324058</v>
      </c>
      <c r="BP76" s="877">
        <f t="shared" si="173"/>
        <v>7.7310924369748957E-3</v>
      </c>
      <c r="BQ76" s="877">
        <f t="shared" si="173"/>
        <v>0.12861491628614918</v>
      </c>
      <c r="BR76" s="877">
        <f t="shared" si="173"/>
        <v>4.3214556482183308E-2</v>
      </c>
      <c r="BS76" s="877">
        <f t="shared" si="173"/>
        <v>1.0160603080956898E-2</v>
      </c>
      <c r="BT76" s="878">
        <f t="shared" si="173"/>
        <v>4.5678895513491469E-2</v>
      </c>
      <c r="BU76" s="877">
        <f t="shared" si="174"/>
        <v>2.4349566377585008E-2</v>
      </c>
      <c r="BV76" s="877">
        <f t="shared" si="174"/>
        <v>9.2043155765340279E-2</v>
      </c>
      <c r="BW76" s="877">
        <f t="shared" si="174"/>
        <v>0.27216569767441867</v>
      </c>
      <c r="BX76" s="877">
        <f t="shared" si="174"/>
        <v>0.15314730694354317</v>
      </c>
      <c r="BY76" s="878">
        <f t="shared" si="174"/>
        <v>0.13249307874411276</v>
      </c>
      <c r="BZ76" s="877">
        <f t="shared" si="174"/>
        <v>0.2556170628459784</v>
      </c>
      <c r="CA76" s="877">
        <f t="shared" si="175"/>
        <v>0.17505402902130296</v>
      </c>
      <c r="CB76" s="877">
        <f t="shared" si="175"/>
        <v>0.14310197086546683</v>
      </c>
      <c r="CC76" s="877">
        <f t="shared" si="175"/>
        <v>0.27392515475520529</v>
      </c>
      <c r="CD76" s="878"/>
      <c r="CE76" s="877">
        <f t="shared" si="175"/>
        <v>0.19061203319502074</v>
      </c>
      <c r="CF76" s="877">
        <f t="shared" si="176"/>
        <v>0.25039411455596405</v>
      </c>
      <c r="CG76" s="877">
        <f t="shared" si="176"/>
        <v>0.25137431284357836</v>
      </c>
      <c r="CH76" s="877">
        <f t="shared" si="176"/>
        <v>0.21324430760260027</v>
      </c>
      <c r="CI76" s="878"/>
      <c r="CJ76" s="877">
        <f t="shared" si="177"/>
        <v>0.2486692658848213</v>
      </c>
      <c r="CK76" s="877">
        <f t="shared" si="178"/>
        <v>0.26938620040412165</v>
      </c>
      <c r="CL76" s="877">
        <f t="shared" si="179"/>
        <v>0.26326235150424915</v>
      </c>
      <c r="CM76" s="877">
        <f t="shared" si="180"/>
        <v>0.22065088227216112</v>
      </c>
      <c r="CN76" s="878"/>
      <c r="CO76" s="1810"/>
      <c r="CP76" s="862"/>
      <c r="CQ76" s="863"/>
      <c r="CR76" s="862"/>
    </row>
    <row r="77" spans="1:96">
      <c r="A77" s="660" t="s">
        <v>169</v>
      </c>
      <c r="B77" s="660"/>
      <c r="C77" s="860"/>
      <c r="D77" s="860"/>
      <c r="E77" s="860"/>
      <c r="F77" s="860"/>
      <c r="G77" s="861"/>
      <c r="H77" s="877">
        <f t="shared" si="166"/>
        <v>-0.11778718764787344</v>
      </c>
      <c r="I77" s="877">
        <f t="shared" si="166"/>
        <v>-0.28595673169003533</v>
      </c>
      <c r="J77" s="877">
        <f t="shared" si="166"/>
        <v>-6.910921427144312E-2</v>
      </c>
      <c r="K77" s="877">
        <f t="shared" si="166"/>
        <v>-6.5819930724546727E-2</v>
      </c>
      <c r="L77" s="878">
        <f t="shared" si="166"/>
        <v>-0.15499193168074488</v>
      </c>
      <c r="M77" s="877">
        <f t="shared" si="166"/>
        <v>-0.12279392002866796</v>
      </c>
      <c r="N77" s="877">
        <f t="shared" si="166"/>
        <v>-8.6862722237812662E-4</v>
      </c>
      <c r="O77" s="877">
        <f t="shared" si="166"/>
        <v>0.30381169348590609</v>
      </c>
      <c r="P77" s="877">
        <f t="shared" si="166"/>
        <v>0.19640648663548244</v>
      </c>
      <c r="Q77" s="878">
        <f t="shared" si="166"/>
        <v>7.9347000759301567E-2</v>
      </c>
      <c r="R77" s="877">
        <f t="shared" si="167"/>
        <v>0.5662847790507366</v>
      </c>
      <c r="S77" s="877">
        <f t="shared" si="167"/>
        <v>0.22601839684625502</v>
      </c>
      <c r="T77" s="877">
        <f t="shared" si="167"/>
        <v>8.0769230769230704E-2</v>
      </c>
      <c r="U77" s="877">
        <f t="shared" si="167"/>
        <v>0.17510853835021645</v>
      </c>
      <c r="V77" s="878">
        <f t="shared" si="167"/>
        <v>0.24692226521280336</v>
      </c>
      <c r="W77" s="877">
        <f t="shared" si="167"/>
        <v>9.0909090909090828E-2</v>
      </c>
      <c r="X77" s="877">
        <f t="shared" si="167"/>
        <v>0.16291532690246524</v>
      </c>
      <c r="Y77" s="877">
        <f t="shared" si="167"/>
        <v>0.25385527876631087</v>
      </c>
      <c r="Z77" s="877">
        <f t="shared" si="167"/>
        <v>0.17364532019704448</v>
      </c>
      <c r="AA77" s="878">
        <f t="shared" si="167"/>
        <v>0.16755994358251058</v>
      </c>
      <c r="AB77" s="877">
        <f t="shared" si="168"/>
        <v>0.29118773946360155</v>
      </c>
      <c r="AC77" s="877">
        <f t="shared" si="168"/>
        <v>0.366820276497696</v>
      </c>
      <c r="AD77" s="877">
        <f t="shared" si="168"/>
        <v>0.19669820245979053</v>
      </c>
      <c r="AE77" s="877">
        <f t="shared" si="168"/>
        <v>0.35230849947534115</v>
      </c>
      <c r="AF77" s="878">
        <f t="shared" si="168"/>
        <v>0.30095675283884971</v>
      </c>
      <c r="AG77" s="877">
        <f t="shared" si="168"/>
        <v>4.4510385756675319E-3</v>
      </c>
      <c r="AH77" s="877">
        <f t="shared" si="168"/>
        <v>1.9554956169925752E-2</v>
      </c>
      <c r="AI77" s="877">
        <f t="shared" si="169"/>
        <v>0.34001628574365106</v>
      </c>
      <c r="AJ77" s="877">
        <f>AJ41/AE41-1</f>
        <v>0.2919495635305529</v>
      </c>
      <c r="AK77" s="878">
        <f t="shared" si="169"/>
        <v>0.15624756252019645</v>
      </c>
      <c r="AL77" s="877">
        <f t="shared" si="169"/>
        <v>0.25258493353028055</v>
      </c>
      <c r="AM77" s="877">
        <f t="shared" si="169"/>
        <v>0.37896825396825418</v>
      </c>
      <c r="AN77" s="877">
        <f t="shared" si="169"/>
        <v>-4.6017699115044275E-2</v>
      </c>
      <c r="AO77" s="877">
        <f t="shared" si="169"/>
        <v>6.9069069069069178E-2</v>
      </c>
      <c r="AP77" s="878">
        <f t="shared" si="169"/>
        <v>0.15290716350787004</v>
      </c>
      <c r="AQ77" s="877">
        <f t="shared" si="169"/>
        <v>7.7830188679245405E-2</v>
      </c>
      <c r="AR77" s="877">
        <f t="shared" si="169"/>
        <v>-0.17649880095923265</v>
      </c>
      <c r="AS77" s="877">
        <f t="shared" si="169"/>
        <v>-9.2764378478664145E-2</v>
      </c>
      <c r="AT77" s="877">
        <f t="shared" si="169"/>
        <v>-0.25224719101123594</v>
      </c>
      <c r="AU77" s="878">
        <f t="shared" si="169"/>
        <v>-0.11632766787405968</v>
      </c>
      <c r="AV77" s="877">
        <f t="shared" si="170"/>
        <v>-4.3216630196936556E-2</v>
      </c>
      <c r="AW77" s="877">
        <f t="shared" si="170"/>
        <v>0.22539312754804897</v>
      </c>
      <c r="AX77" s="877">
        <f t="shared" si="170"/>
        <v>0.3421949556918884</v>
      </c>
      <c r="AY77" s="877">
        <f>AY41/AT41-1</f>
        <v>0.43200601051840715</v>
      </c>
      <c r="AZ77" s="878">
        <f t="shared" si="170"/>
        <v>0.21835093804193617</v>
      </c>
      <c r="BA77" s="877">
        <f t="shared" si="171"/>
        <v>0.17953116066323616</v>
      </c>
      <c r="BB77" s="877">
        <f t="shared" si="171"/>
        <v>4.0874524714828775E-2</v>
      </c>
      <c r="BC77" s="877">
        <f t="shared" si="171"/>
        <v>7.9228034535297143E-2</v>
      </c>
      <c r="BD77" s="877">
        <f t="shared" si="171"/>
        <v>0.13483735571878297</v>
      </c>
      <c r="BE77" s="878">
        <f t="shared" si="171"/>
        <v>0.10785940384512949</v>
      </c>
      <c r="BF77" s="877">
        <f t="shared" si="172"/>
        <v>2.4721279689772224E-2</v>
      </c>
      <c r="BG77" s="877">
        <f t="shared" si="172"/>
        <v>0.13287671232876708</v>
      </c>
      <c r="BH77" s="877">
        <f t="shared" si="172"/>
        <v>9.3176470588235416E-2</v>
      </c>
      <c r="BI77" s="877">
        <f t="shared" si="172"/>
        <v>2.1266759130836865E-2</v>
      </c>
      <c r="BJ77" s="878">
        <f t="shared" si="172"/>
        <v>6.6502331249022495E-2</v>
      </c>
      <c r="BK77" s="877">
        <f t="shared" si="173"/>
        <v>-6.1494796594134815E-3</v>
      </c>
      <c r="BL77" s="877">
        <f t="shared" si="173"/>
        <v>-0.1039903264812575</v>
      </c>
      <c r="BM77" s="877">
        <f t="shared" si="173"/>
        <v>-0.15109771846749898</v>
      </c>
      <c r="BN77" s="877">
        <f t="shared" si="173"/>
        <v>-0.26663648709823451</v>
      </c>
      <c r="BO77" s="878">
        <f t="shared" si="173"/>
        <v>-0.13160610380797988</v>
      </c>
      <c r="BP77" s="877">
        <f t="shared" si="173"/>
        <v>-0.22084721561161358</v>
      </c>
      <c r="BQ77" s="877">
        <f t="shared" si="173"/>
        <v>-0.13450292397660824</v>
      </c>
      <c r="BR77" s="877">
        <f t="shared" si="173"/>
        <v>-0.24847870182555787</v>
      </c>
      <c r="BS77" s="877">
        <f t="shared" si="173"/>
        <v>-8.333333333333337E-2</v>
      </c>
      <c r="BT77" s="878">
        <f t="shared" si="173"/>
        <v>-0.17684336730642292</v>
      </c>
      <c r="BU77" s="877">
        <f t="shared" si="174"/>
        <v>-3.7874160048869787E-2</v>
      </c>
      <c r="BV77" s="877">
        <f t="shared" si="174"/>
        <v>-0.12110187110187121</v>
      </c>
      <c r="BW77" s="877">
        <f t="shared" si="174"/>
        <v>0.14439946018893401</v>
      </c>
      <c r="BX77" s="877">
        <f t="shared" si="174"/>
        <v>0.17710437710437721</v>
      </c>
      <c r="BY77" s="878">
        <f t="shared" si="174"/>
        <v>2.8039271185427816E-2</v>
      </c>
      <c r="BZ77" s="877">
        <f t="shared" si="174"/>
        <v>0.21396825396825392</v>
      </c>
      <c r="CA77" s="877">
        <f t="shared" si="175"/>
        <v>0.17149615612063873</v>
      </c>
      <c r="CB77" s="877">
        <f t="shared" si="175"/>
        <v>0.24941037735849059</v>
      </c>
      <c r="CC77" s="877">
        <f t="shared" si="175"/>
        <v>0.33834096109839873</v>
      </c>
      <c r="CD77" s="878"/>
      <c r="CE77" s="877">
        <f t="shared" si="175"/>
        <v>0.29027196652719667</v>
      </c>
      <c r="CF77" s="877">
        <f t="shared" si="176"/>
        <v>0.36092882382635039</v>
      </c>
      <c r="CG77" s="877">
        <f t="shared" si="176"/>
        <v>0.30816422840962709</v>
      </c>
      <c r="CH77" s="877">
        <f t="shared" si="176"/>
        <v>0.30972634242675512</v>
      </c>
      <c r="CI77" s="878"/>
      <c r="CJ77" s="877">
        <f t="shared" si="177"/>
        <v>0.32052746192142734</v>
      </c>
      <c r="CK77" s="877">
        <f t="shared" si="178"/>
        <v>0.30797114576247098</v>
      </c>
      <c r="CL77" s="877">
        <f t="shared" si="179"/>
        <v>0.30992876606654418</v>
      </c>
      <c r="CM77" s="877">
        <f t="shared" si="180"/>
        <v>0.2636612913303884</v>
      </c>
      <c r="CN77" s="878"/>
      <c r="CO77" s="1810"/>
      <c r="CP77" s="862"/>
      <c r="CQ77" s="863"/>
      <c r="CR77" s="862"/>
    </row>
    <row r="78" spans="1:96">
      <c r="A78" s="660" t="s">
        <v>288</v>
      </c>
      <c r="B78" s="660"/>
      <c r="C78" s="860" t="s">
        <v>131</v>
      </c>
      <c r="D78" s="860" t="s">
        <v>131</v>
      </c>
      <c r="E78" s="860" t="s">
        <v>131</v>
      </c>
      <c r="F78" s="860" t="s">
        <v>131</v>
      </c>
      <c r="G78" s="861" t="s">
        <v>131</v>
      </c>
      <c r="H78" s="860" t="s">
        <v>131</v>
      </c>
      <c r="I78" s="860" t="s">
        <v>131</v>
      </c>
      <c r="J78" s="860" t="s">
        <v>131</v>
      </c>
      <c r="K78" s="860" t="s">
        <v>131</v>
      </c>
      <c r="L78" s="861" t="s">
        <v>131</v>
      </c>
      <c r="M78" s="860" t="s">
        <v>131</v>
      </c>
      <c r="N78" s="860" t="s">
        <v>131</v>
      </c>
      <c r="O78" s="860" t="s">
        <v>131</v>
      </c>
      <c r="P78" s="860" t="s">
        <v>131</v>
      </c>
      <c r="Q78" s="861" t="s">
        <v>131</v>
      </c>
      <c r="R78" s="860" t="s">
        <v>131</v>
      </c>
      <c r="S78" s="860" t="s">
        <v>131</v>
      </c>
      <c r="T78" s="860" t="s">
        <v>131</v>
      </c>
      <c r="U78" s="860" t="s">
        <v>131</v>
      </c>
      <c r="V78" s="861" t="s">
        <v>131</v>
      </c>
      <c r="W78" s="860" t="s">
        <v>131</v>
      </c>
      <c r="X78" s="860" t="s">
        <v>131</v>
      </c>
      <c r="Y78" s="860" t="s">
        <v>131</v>
      </c>
      <c r="Z78" s="860" t="s">
        <v>131</v>
      </c>
      <c r="AA78" s="861" t="s">
        <v>131</v>
      </c>
      <c r="AB78" s="860" t="s">
        <v>131</v>
      </c>
      <c r="AC78" s="860" t="s">
        <v>131</v>
      </c>
      <c r="AD78" s="860" t="s">
        <v>131</v>
      </c>
      <c r="AE78" s="860" t="s">
        <v>131</v>
      </c>
      <c r="AF78" s="861" t="s">
        <v>131</v>
      </c>
      <c r="AG78" s="860" t="s">
        <v>131</v>
      </c>
      <c r="AH78" s="860" t="s">
        <v>131</v>
      </c>
      <c r="AI78" s="860" t="s">
        <v>131</v>
      </c>
      <c r="AJ78" s="860" t="s">
        <v>131</v>
      </c>
      <c r="AK78" s="861" t="s">
        <v>131</v>
      </c>
      <c r="AL78" s="860" t="s">
        <v>131</v>
      </c>
      <c r="AM78" s="860" t="s">
        <v>131</v>
      </c>
      <c r="AN78" s="860" t="s">
        <v>131</v>
      </c>
      <c r="AO78" s="860" t="s">
        <v>131</v>
      </c>
      <c r="AP78" s="861" t="s">
        <v>131</v>
      </c>
      <c r="AQ78" s="860" t="s">
        <v>131</v>
      </c>
      <c r="AR78" s="860" t="s">
        <v>131</v>
      </c>
      <c r="AS78" s="860" t="s">
        <v>131</v>
      </c>
      <c r="AT78" s="860" t="s">
        <v>131</v>
      </c>
      <c r="AU78" s="861" t="s">
        <v>131</v>
      </c>
      <c r="AV78" s="860" t="s">
        <v>131</v>
      </c>
      <c r="AW78" s="860" t="s">
        <v>131</v>
      </c>
      <c r="AX78" s="860" t="s">
        <v>131</v>
      </c>
      <c r="AY78" s="860" t="s">
        <v>131</v>
      </c>
      <c r="AZ78" s="861" t="s">
        <v>131</v>
      </c>
      <c r="BA78" s="860" t="s">
        <v>131</v>
      </c>
      <c r="BB78" s="860" t="s">
        <v>131</v>
      </c>
      <c r="BC78" s="860" t="s">
        <v>131</v>
      </c>
      <c r="BD78" s="860" t="s">
        <v>131</v>
      </c>
      <c r="BE78" s="861" t="s">
        <v>131</v>
      </c>
      <c r="BF78" s="860" t="s">
        <v>131</v>
      </c>
      <c r="BG78" s="860" t="s">
        <v>131</v>
      </c>
      <c r="BH78" s="860" t="s">
        <v>131</v>
      </c>
      <c r="BI78" s="860" t="s">
        <v>131</v>
      </c>
      <c r="BJ78" s="861" t="s">
        <v>131</v>
      </c>
      <c r="BK78" s="860" t="s">
        <v>131</v>
      </c>
      <c r="BL78" s="860" t="s">
        <v>131</v>
      </c>
      <c r="BM78" s="860" t="s">
        <v>131</v>
      </c>
      <c r="BN78" s="860" t="s">
        <v>131</v>
      </c>
      <c r="BO78" s="861" t="s">
        <v>131</v>
      </c>
      <c r="BP78" s="860" t="s">
        <v>131</v>
      </c>
      <c r="BQ78" s="860" t="s">
        <v>131</v>
      </c>
      <c r="BR78" s="860" t="s">
        <v>131</v>
      </c>
      <c r="BS78" s="860" t="s">
        <v>131</v>
      </c>
      <c r="BT78" s="861" t="s">
        <v>131</v>
      </c>
      <c r="BU78" s="860" t="s">
        <v>131</v>
      </c>
      <c r="BV78" s="860" t="s">
        <v>131</v>
      </c>
      <c r="BW78" s="860" t="s">
        <v>131</v>
      </c>
      <c r="BX78" s="860" t="s">
        <v>131</v>
      </c>
      <c r="BY78" s="861" t="s">
        <v>131</v>
      </c>
      <c r="BZ78" s="860" t="s">
        <v>131</v>
      </c>
      <c r="CA78" s="860" t="s">
        <v>131</v>
      </c>
      <c r="CB78" s="860" t="s">
        <v>131</v>
      </c>
      <c r="CC78" s="860" t="s">
        <v>131</v>
      </c>
      <c r="CD78" s="861"/>
      <c r="CE78" s="860" t="s">
        <v>131</v>
      </c>
      <c r="CF78" s="860" t="s">
        <v>131</v>
      </c>
      <c r="CG78" s="860" t="s">
        <v>131</v>
      </c>
      <c r="CH78" s="860" t="s">
        <v>131</v>
      </c>
      <c r="CI78" s="861"/>
      <c r="CJ78" s="860" t="s">
        <v>131</v>
      </c>
      <c r="CK78" s="860" t="s">
        <v>131</v>
      </c>
      <c r="CL78" s="860" t="s">
        <v>131</v>
      </c>
      <c r="CM78" s="860" t="s">
        <v>131</v>
      </c>
      <c r="CN78" s="861"/>
      <c r="CO78" s="1811"/>
      <c r="CP78" s="862"/>
      <c r="CQ78" s="863"/>
      <c r="CR78" s="862"/>
    </row>
    <row r="79" spans="1:96">
      <c r="A79" s="879" t="s">
        <v>526</v>
      </c>
      <c r="B79" s="879"/>
      <c r="C79" s="880" t="s">
        <v>131</v>
      </c>
      <c r="D79" s="880" t="s">
        <v>131</v>
      </c>
      <c r="E79" s="880" t="s">
        <v>131</v>
      </c>
      <c r="F79" s="880" t="s">
        <v>131</v>
      </c>
      <c r="G79" s="881" t="s">
        <v>131</v>
      </c>
      <c r="H79" s="882">
        <f t="shared" ref="H79:AZ79" si="181">H43/C43-1</f>
        <v>-0.18564971167496025</v>
      </c>
      <c r="I79" s="882">
        <f t="shared" si="181"/>
        <v>-7.7694111766295704E-2</v>
      </c>
      <c r="J79" s="882">
        <f t="shared" si="181"/>
        <v>-2.4781081617702316E-2</v>
      </c>
      <c r="K79" s="882">
        <f t="shared" si="181"/>
        <v>0.1138353368110685</v>
      </c>
      <c r="L79" s="883">
        <f t="shared" si="181"/>
        <v>-5.2802263930000315E-2</v>
      </c>
      <c r="M79" s="882">
        <f t="shared" si="181"/>
        <v>0.10824723026846228</v>
      </c>
      <c r="N79" s="882">
        <f t="shared" si="181"/>
        <v>8.7818527282979009E-3</v>
      </c>
      <c r="O79" s="882">
        <f t="shared" si="181"/>
        <v>0.12020191028471716</v>
      </c>
      <c r="P79" s="882">
        <f t="shared" si="181"/>
        <v>0.21697312780413602</v>
      </c>
      <c r="Q79" s="883">
        <f t="shared" si="181"/>
        <v>0.11157481018004978</v>
      </c>
      <c r="R79" s="882">
        <f t="shared" si="181"/>
        <v>0.42569258492059503</v>
      </c>
      <c r="S79" s="882">
        <f t="shared" si="181"/>
        <v>0.28093120013993622</v>
      </c>
      <c r="T79" s="882">
        <f t="shared" si="181"/>
        <v>0.26507417226013885</v>
      </c>
      <c r="U79" s="882">
        <f t="shared" si="181"/>
        <v>0.19776566848677879</v>
      </c>
      <c r="V79" s="883">
        <f t="shared" si="181"/>
        <v>0.28718462033954095</v>
      </c>
      <c r="W79" s="882">
        <f t="shared" si="181"/>
        <v>0.11718220283924863</v>
      </c>
      <c r="X79" s="882">
        <f t="shared" si="181"/>
        <v>0.20957606349903068</v>
      </c>
      <c r="Y79" s="882">
        <f t="shared" si="181"/>
        <v>0.20639910035099196</v>
      </c>
      <c r="Z79" s="882">
        <f t="shared" si="181"/>
        <v>0.18828550274503986</v>
      </c>
      <c r="AA79" s="883">
        <f t="shared" si="181"/>
        <v>0.17985324445676532</v>
      </c>
      <c r="AB79" s="882">
        <f>AB43/W43-1</f>
        <v>0.38613438447646575</v>
      </c>
      <c r="AC79" s="882">
        <f>AC43/X43-1</f>
        <v>0.28108638809424447</v>
      </c>
      <c r="AD79" s="882">
        <f>AD43/Y43-1</f>
        <v>0.23643281133543703</v>
      </c>
      <c r="AE79" s="882">
        <f>AE43/Z43-1</f>
        <v>0.33662570953286886</v>
      </c>
      <c r="AF79" s="883">
        <f>AF43/AA43-1</f>
        <v>0.30970477353392445</v>
      </c>
      <c r="AG79" s="882">
        <f t="shared" si="181"/>
        <v>-9.2619431926014295E-3</v>
      </c>
      <c r="AH79" s="882">
        <f t="shared" si="181"/>
        <v>0.17329445311713165</v>
      </c>
      <c r="AI79" s="882">
        <f t="shared" si="181"/>
        <v>0.41431207042283935</v>
      </c>
      <c r="AJ79" s="882">
        <f t="shared" si="181"/>
        <v>0.33574376076519963</v>
      </c>
      <c r="AK79" s="883">
        <f t="shared" si="181"/>
        <v>0.22621869296780961</v>
      </c>
      <c r="AL79" s="882">
        <f t="shared" si="181"/>
        <v>0.37116631018760171</v>
      </c>
      <c r="AM79" s="882">
        <f t="shared" si="181"/>
        <v>0.18952971993503032</v>
      </c>
      <c r="AN79" s="882">
        <f t="shared" si="181"/>
        <v>4.1765392409878865E-2</v>
      </c>
      <c r="AO79" s="882">
        <f t="shared" si="181"/>
        <v>4.4885322938374994E-3</v>
      </c>
      <c r="AP79" s="883">
        <f t="shared" si="181"/>
        <v>0.13363644798521523</v>
      </c>
      <c r="AQ79" s="882">
        <f t="shared" si="181"/>
        <v>-0.11685730168623554</v>
      </c>
      <c r="AR79" s="882">
        <f t="shared" si="181"/>
        <v>-0.2054525609830351</v>
      </c>
      <c r="AS79" s="882">
        <f t="shared" si="181"/>
        <v>-0.21386137274769301</v>
      </c>
      <c r="AT79" s="882">
        <f t="shared" si="181"/>
        <v>-0.17264047564680907</v>
      </c>
      <c r="AU79" s="883">
        <f t="shared" si="181"/>
        <v>-0.17711051934850497</v>
      </c>
      <c r="AV79" s="882">
        <f t="shared" si="181"/>
        <v>9.195183051666489E-2</v>
      </c>
      <c r="AW79" s="882">
        <f t="shared" si="181"/>
        <v>0.33825902226990379</v>
      </c>
      <c r="AX79" s="882">
        <f t="shared" si="181"/>
        <v>0.41979793751173822</v>
      </c>
      <c r="AY79" s="882">
        <f t="shared" si="181"/>
        <v>0.33100307282746333</v>
      </c>
      <c r="AZ79" s="883">
        <f t="shared" si="181"/>
        <v>0.28994895536199539</v>
      </c>
      <c r="BA79" s="882">
        <f t="shared" ref="BA79:BJ79" si="182">BA43/AV43-1</f>
        <v>0.19681611738674754</v>
      </c>
      <c r="BB79" s="882">
        <f t="shared" si="182"/>
        <v>8.4985180825738249E-2</v>
      </c>
      <c r="BC79" s="882">
        <f t="shared" si="182"/>
        <v>2.3116793679612169E-2</v>
      </c>
      <c r="BD79" s="882">
        <f t="shared" si="182"/>
        <v>0.14307810140622612</v>
      </c>
      <c r="BE79" s="883">
        <f t="shared" si="182"/>
        <v>0.10954157894736838</v>
      </c>
      <c r="BF79" s="882">
        <f t="shared" si="182"/>
        <v>1.704183881382404E-2</v>
      </c>
      <c r="BG79" s="882">
        <f t="shared" si="182"/>
        <v>9.8975839027188872E-2</v>
      </c>
      <c r="BH79" s="882">
        <f t="shared" si="182"/>
        <v>6.6489540194944352E-2</v>
      </c>
      <c r="BI79" s="882">
        <f t="shared" si="182"/>
        <v>1.0996727019922936E-3</v>
      </c>
      <c r="BJ79" s="883">
        <f t="shared" si="182"/>
        <v>4.4451501781911817E-2</v>
      </c>
      <c r="BK79" s="882">
        <f t="shared" ref="BK79:BT79" si="183">BK43/BF43-1</f>
        <v>-3.573123361588959E-2</v>
      </c>
      <c r="BL79" s="882">
        <f t="shared" si="183"/>
        <v>-0.10129405602210517</v>
      </c>
      <c r="BM79" s="882">
        <f t="shared" si="183"/>
        <v>-7.9088082326158049E-2</v>
      </c>
      <c r="BN79" s="882">
        <f t="shared" si="183"/>
        <v>-9.6866904566214829E-2</v>
      </c>
      <c r="BO79" s="883">
        <f t="shared" si="183"/>
        <v>-7.9124104697052E-2</v>
      </c>
      <c r="BP79" s="882">
        <f t="shared" si="183"/>
        <v>-7.6924374400345608E-3</v>
      </c>
      <c r="BQ79" s="882">
        <f t="shared" si="183"/>
        <v>5.7057104603537301E-2</v>
      </c>
      <c r="BR79" s="882">
        <f t="shared" si="183"/>
        <v>1.034047184306619E-2</v>
      </c>
      <c r="BS79" s="882">
        <f t="shared" si="183"/>
        <v>3.0362897535660682E-2</v>
      </c>
      <c r="BT79" s="883">
        <f t="shared" si="183"/>
        <v>2.2643542675649497E-2</v>
      </c>
      <c r="BU79" s="882">
        <f t="shared" ref="BU79:CE79" si="184">BU43/BP43-1</f>
        <v>0.10904791425029003</v>
      </c>
      <c r="BV79" s="882">
        <f t="shared" si="184"/>
        <v>8.7951035753336182E-2</v>
      </c>
      <c r="BW79" s="882">
        <f t="shared" si="184"/>
        <v>0.21121652979036387</v>
      </c>
      <c r="BX79" s="882">
        <f t="shared" si="184"/>
        <v>0.21715263181431932</v>
      </c>
      <c r="BY79" s="883">
        <f t="shared" si="184"/>
        <v>0.15636263236771031</v>
      </c>
      <c r="BZ79" s="882">
        <f t="shared" si="184"/>
        <v>0.24716795545542158</v>
      </c>
      <c r="CA79" s="882">
        <f t="shared" si="184"/>
        <v>0.20354461269465962</v>
      </c>
      <c r="CB79" s="882">
        <f t="shared" si="184"/>
        <v>0.20217233496035369</v>
      </c>
      <c r="CC79" s="882">
        <f t="shared" si="184"/>
        <v>0.23118040054990652</v>
      </c>
      <c r="CD79" s="883"/>
      <c r="CE79" s="882">
        <f t="shared" si="184"/>
        <v>0.21564624620934181</v>
      </c>
      <c r="CF79" s="882">
        <f>CF43/CA43-1</f>
        <v>0.26701837194155464</v>
      </c>
      <c r="CG79" s="882">
        <f>CG43/CB43-1</f>
        <v>0.2575925550234397</v>
      </c>
      <c r="CH79" s="882">
        <f>CH43/CC43-1</f>
        <v>0.24755738399011706</v>
      </c>
      <c r="CI79" s="883"/>
      <c r="CJ79" s="882">
        <f t="shared" ref="CJ79" si="185">CJ43/CE43-1</f>
        <v>0.2362572146575439</v>
      </c>
      <c r="CK79" s="882">
        <f>CK43/CF43-1</f>
        <v>0.22729600805772954</v>
      </c>
      <c r="CL79" s="882">
        <f>CL43/CG43-1</f>
        <v>0.22834594559604304</v>
      </c>
      <c r="CM79" s="882">
        <f>CM43/CH43-1</f>
        <v>0.18599143237949023</v>
      </c>
      <c r="CN79" s="883"/>
      <c r="CO79" s="1812"/>
      <c r="CP79" s="884"/>
      <c r="CQ79" s="885"/>
      <c r="CR79" s="884"/>
    </row>
    <row r="80" spans="1:96" hidden="1" outlineLevel="1">
      <c r="A80" s="886" t="s">
        <v>6</v>
      </c>
      <c r="B80" s="886"/>
      <c r="C80" s="884"/>
      <c r="D80" s="884"/>
      <c r="E80" s="884"/>
      <c r="F80" s="884"/>
      <c r="G80" s="887"/>
      <c r="H80" s="884"/>
      <c r="I80" s="884"/>
      <c r="J80" s="884"/>
      <c r="K80" s="884"/>
      <c r="L80" s="887"/>
      <c r="M80" s="884"/>
      <c r="N80" s="884"/>
      <c r="O80" s="884"/>
      <c r="P80" s="884"/>
      <c r="Q80" s="887"/>
      <c r="R80" s="884"/>
      <c r="S80" s="884"/>
      <c r="T80" s="884"/>
      <c r="U80" s="884"/>
      <c r="V80" s="887"/>
      <c r="W80" s="884"/>
      <c r="X80" s="884"/>
      <c r="Y80" s="884"/>
      <c r="Z80" s="884"/>
      <c r="AA80" s="887"/>
      <c r="AB80" s="884"/>
      <c r="AC80" s="884"/>
      <c r="AD80" s="884"/>
      <c r="AE80" s="884"/>
      <c r="AF80" s="887"/>
      <c r="AG80" s="884"/>
      <c r="AH80" s="884"/>
      <c r="AI80" s="884"/>
      <c r="AJ80" s="884"/>
      <c r="AK80" s="887"/>
      <c r="AL80" s="884"/>
      <c r="AM80" s="884"/>
      <c r="AN80" s="884"/>
      <c r="AO80" s="884"/>
      <c r="AP80" s="887"/>
      <c r="AQ80" s="884"/>
      <c r="AR80" s="884"/>
      <c r="AS80" s="884"/>
      <c r="AT80" s="884"/>
      <c r="AU80" s="887"/>
      <c r="AV80" s="884"/>
      <c r="AW80" s="884"/>
      <c r="AX80" s="884"/>
      <c r="AY80" s="884"/>
      <c r="AZ80" s="887"/>
      <c r="BA80" s="884"/>
      <c r="BB80" s="884"/>
      <c r="BC80" s="884"/>
      <c r="BD80" s="884"/>
      <c r="BE80" s="887"/>
      <c r="BF80" s="884"/>
      <c r="BG80" s="884"/>
      <c r="BH80" s="884"/>
      <c r="BI80" s="884"/>
      <c r="BJ80" s="887"/>
      <c r="BK80" s="884"/>
      <c r="BL80" s="884"/>
      <c r="BM80" s="884"/>
      <c r="BN80" s="884"/>
      <c r="BO80" s="887"/>
      <c r="BP80" s="884"/>
      <c r="BQ80" s="884"/>
      <c r="BR80" s="884"/>
      <c r="BS80" s="884"/>
      <c r="BT80" s="887"/>
      <c r="BU80" s="884"/>
      <c r="BV80" s="884"/>
      <c r="BW80" s="884"/>
      <c r="BX80" s="884"/>
      <c r="BY80" s="887"/>
      <c r="BZ80" s="884"/>
      <c r="CA80" s="884"/>
      <c r="CB80" s="884"/>
      <c r="CC80" s="884"/>
      <c r="CD80" s="887"/>
      <c r="CE80" s="884"/>
      <c r="CF80" s="884"/>
      <c r="CG80" s="884"/>
      <c r="CH80" s="884"/>
      <c r="CI80" s="887"/>
      <c r="CJ80" s="884"/>
      <c r="CK80" s="884"/>
      <c r="CL80" s="884"/>
      <c r="CM80" s="884"/>
      <c r="CN80" s="887"/>
      <c r="CO80" s="1813"/>
      <c r="CP80" s="884"/>
      <c r="CQ80" s="885"/>
      <c r="CR80" s="884"/>
    </row>
    <row r="81" spans="1:96" hidden="1" outlineLevel="1">
      <c r="A81" s="660" t="s">
        <v>167</v>
      </c>
      <c r="B81" s="660"/>
      <c r="C81" s="860" t="s">
        <v>131</v>
      </c>
      <c r="D81" s="860" t="s">
        <v>131</v>
      </c>
      <c r="E81" s="860" t="s">
        <v>131</v>
      </c>
      <c r="F81" s="860" t="s">
        <v>131</v>
      </c>
      <c r="G81" s="861" t="s">
        <v>131</v>
      </c>
      <c r="H81" s="540">
        <f t="shared" ref="H81:AF81" si="186">H52/C52-1</f>
        <v>-0.18564971167496014</v>
      </c>
      <c r="I81" s="540">
        <f t="shared" si="186"/>
        <v>2.5064002540264863E-3</v>
      </c>
      <c r="J81" s="540">
        <f t="shared" si="186"/>
        <v>1.2019632283516435E-2</v>
      </c>
      <c r="K81" s="540">
        <f t="shared" si="186"/>
        <v>0.14265334056674495</v>
      </c>
      <c r="L81" s="533">
        <f t="shared" si="186"/>
        <v>-1.3031100171088328E-2</v>
      </c>
      <c r="M81" s="540">
        <f t="shared" si="186"/>
        <v>0.18881305009990901</v>
      </c>
      <c r="N81" s="540">
        <f t="shared" si="186"/>
        <v>-8.0634234415914996E-3</v>
      </c>
      <c r="O81" s="540">
        <f t="shared" si="186"/>
        <v>7.4385648260855142E-4</v>
      </c>
      <c r="P81" s="540">
        <f t="shared" si="186"/>
        <v>0.23618426349140331</v>
      </c>
      <c r="Q81" s="533">
        <f t="shared" si="186"/>
        <v>9.6608427543679598E-2</v>
      </c>
      <c r="R81" s="540">
        <f t="shared" si="186"/>
        <v>0.25255972696245732</v>
      </c>
      <c r="S81" s="540">
        <f t="shared" si="186"/>
        <v>0.15946632782719172</v>
      </c>
      <c r="T81" s="540">
        <f t="shared" si="186"/>
        <v>0.24936224489795911</v>
      </c>
      <c r="U81" s="540">
        <f t="shared" si="186"/>
        <v>0.1626740947075207</v>
      </c>
      <c r="V81" s="533">
        <f t="shared" si="186"/>
        <v>0.20368634801624497</v>
      </c>
      <c r="W81" s="540">
        <f t="shared" si="186"/>
        <v>0.18801089918256131</v>
      </c>
      <c r="X81" s="540">
        <f t="shared" si="186"/>
        <v>0.32821917808219192</v>
      </c>
      <c r="Y81" s="540">
        <f t="shared" si="186"/>
        <v>0.16539050535987743</v>
      </c>
      <c r="Z81" s="540">
        <f t="shared" si="186"/>
        <v>0.20268327743171999</v>
      </c>
      <c r="AA81" s="533">
        <f t="shared" si="186"/>
        <v>0.21943939787178834</v>
      </c>
      <c r="AB81" s="540">
        <f t="shared" si="186"/>
        <v>0.43899082568807324</v>
      </c>
      <c r="AC81" s="540">
        <f t="shared" si="186"/>
        <v>0.26196369636963679</v>
      </c>
      <c r="AD81" s="540">
        <f t="shared" si="186"/>
        <v>0.35917652212001761</v>
      </c>
      <c r="AE81" s="540">
        <f t="shared" si="186"/>
        <v>0.34223107569721112</v>
      </c>
      <c r="AF81" s="533">
        <f t="shared" si="186"/>
        <v>0.3480898158986907</v>
      </c>
      <c r="AG81" s="540">
        <f t="shared" ref="AG81:AP81" si="187">AG52/AB52-1</f>
        <v>-4.9091488683455475E-2</v>
      </c>
      <c r="AH81" s="540">
        <f t="shared" si="187"/>
        <v>0.2536776724419747</v>
      </c>
      <c r="AI81" s="540">
        <f t="shared" si="187"/>
        <v>0.2913309700290041</v>
      </c>
      <c r="AJ81" s="540">
        <f t="shared" si="187"/>
        <v>0.265657465123182</v>
      </c>
      <c r="AK81" s="533">
        <f t="shared" si="187"/>
        <v>0.19111146195137385</v>
      </c>
      <c r="AL81" s="540">
        <f t="shared" si="187"/>
        <v>0.33053972510895058</v>
      </c>
      <c r="AM81" s="540">
        <f t="shared" si="187"/>
        <v>7.8226857887875312E-4</v>
      </c>
      <c r="AN81" s="540">
        <f>AN52/AI52-1</f>
        <v>7.2123783379086648E-2</v>
      </c>
      <c r="AO81" s="540">
        <f>AO52/AJ52-1</f>
        <v>-8.9118198874295063E-3</v>
      </c>
      <c r="AP81" s="533">
        <f t="shared" si="187"/>
        <v>8.217907084631193E-2</v>
      </c>
      <c r="AQ81" s="540">
        <f t="shared" ref="AQ81:AZ81" si="188">AQ52/AL52-1</f>
        <v>-0.17838246409674974</v>
      </c>
      <c r="AR81" s="540">
        <f t="shared" si="188"/>
        <v>-0.17196456487754042</v>
      </c>
      <c r="AS81" s="540">
        <f t="shared" si="188"/>
        <v>-0.17458100558659218</v>
      </c>
      <c r="AT81" s="540">
        <f t="shared" si="188"/>
        <v>-9.0866067203028922E-2</v>
      </c>
      <c r="AU81" s="533">
        <f t="shared" si="188"/>
        <v>-0.15322432482087089</v>
      </c>
      <c r="AV81" s="540">
        <f t="shared" si="188"/>
        <v>0.25237657160380245</v>
      </c>
      <c r="AW81" s="540">
        <f t="shared" si="188"/>
        <v>0.43234738829452479</v>
      </c>
      <c r="AX81" s="540">
        <f t="shared" si="188"/>
        <v>0.39283699943598416</v>
      </c>
      <c r="AY81" s="540">
        <f t="shared" si="188"/>
        <v>0.28292555960437271</v>
      </c>
      <c r="AZ81" s="533">
        <f t="shared" si="188"/>
        <v>0.3382512475591235</v>
      </c>
      <c r="BA81" s="540">
        <f t="shared" ref="BA81:BJ81" si="189">BA52/AV52-1</f>
        <v>0.23971596474045054</v>
      </c>
      <c r="BB81" s="540">
        <f t="shared" si="189"/>
        <v>8.1942003514938522E-2</v>
      </c>
      <c r="BC81" s="540">
        <f t="shared" si="189"/>
        <v>2.7738408584733865E-2</v>
      </c>
      <c r="BD81" s="540">
        <f t="shared" si="189"/>
        <v>0.12578616352201255</v>
      </c>
      <c r="BE81" s="533">
        <f t="shared" si="189"/>
        <v>0.11397535667963687</v>
      </c>
      <c r="BF81" s="540">
        <f t="shared" si="189"/>
        <v>-6.3203634208967019E-3</v>
      </c>
      <c r="BG81" s="540">
        <f t="shared" si="189"/>
        <v>0.11939086294416223</v>
      </c>
      <c r="BH81" s="540">
        <f t="shared" si="189"/>
        <v>9.9881796690307167E-2</v>
      </c>
      <c r="BI81" s="540">
        <f t="shared" si="189"/>
        <v>5.1721030816363367E-2</v>
      </c>
      <c r="BJ81" s="533">
        <f t="shared" si="189"/>
        <v>6.5492650269247665E-2</v>
      </c>
      <c r="BK81" s="540">
        <f t="shared" ref="BK81:BT81" si="190">BK52/BF52-1</f>
        <v>-5.565493937586985E-3</v>
      </c>
      <c r="BL81" s="540">
        <f t="shared" si="190"/>
        <v>-4.6979865771812013E-2</v>
      </c>
      <c r="BM81" s="540">
        <f t="shared" si="190"/>
        <v>-4.3345871395307101E-2</v>
      </c>
      <c r="BN81" s="540">
        <f t="shared" si="190"/>
        <v>-1.5421521590130216E-2</v>
      </c>
      <c r="BO81" s="533">
        <f t="shared" si="190"/>
        <v>-2.8183763602422252E-2</v>
      </c>
      <c r="BP81" s="540">
        <f t="shared" si="190"/>
        <v>7.2556466120327734E-2</v>
      </c>
      <c r="BQ81" s="540">
        <f t="shared" si="190"/>
        <v>0.10239817282070818</v>
      </c>
      <c r="BR81" s="540">
        <f t="shared" si="190"/>
        <v>8.9683579853959916E-2</v>
      </c>
      <c r="BS81" s="540">
        <f t="shared" si="190"/>
        <v>7.3094326487991745E-2</v>
      </c>
      <c r="BT81" s="533">
        <f t="shared" si="190"/>
        <v>8.4332833583208311E-2</v>
      </c>
      <c r="BU81" s="540">
        <f t="shared" ref="BU81:CE81" si="191">BU52/BP52-1</f>
        <v>0.20126723816623193</v>
      </c>
      <c r="BV81" s="540">
        <f t="shared" si="191"/>
        <v>0.15538674033149169</v>
      </c>
      <c r="BW81" s="540">
        <f t="shared" si="191"/>
        <v>0.19948453608247418</v>
      </c>
      <c r="BX81" s="540">
        <f t="shared" si="191"/>
        <v>0.25883879338306848</v>
      </c>
      <c r="BY81" s="533">
        <f t="shared" si="191"/>
        <v>0.20467507777393723</v>
      </c>
      <c r="BZ81" s="540">
        <f t="shared" si="191"/>
        <v>0.25116351225566236</v>
      </c>
      <c r="CA81" s="540">
        <f t="shared" si="191"/>
        <v>0.22534369396294074</v>
      </c>
      <c r="CB81" s="540">
        <f t="shared" si="191"/>
        <v>0.22031227617819793</v>
      </c>
      <c r="CC81" s="540">
        <f t="shared" si="191"/>
        <v>0.18749677918062368</v>
      </c>
      <c r="CD81" s="533"/>
      <c r="CE81" s="540">
        <f t="shared" si="191"/>
        <v>0.20991940483570981</v>
      </c>
      <c r="CF81" s="540">
        <f>CF52/CA52-1</f>
        <v>0.25207317073170743</v>
      </c>
      <c r="CG81" s="540">
        <f>CG52/CB52-1</f>
        <v>0.24791642211527165</v>
      </c>
      <c r="CH81" s="540">
        <f>CH52/CC52-1</f>
        <v>0.24862351977520647</v>
      </c>
      <c r="CI81" s="533"/>
      <c r="CJ81" s="540">
        <f t="shared" ref="CJ81" si="192">CJ52/CE52-1</f>
        <v>0.20917074725995355</v>
      </c>
      <c r="CK81" s="540">
        <f>CK52/CF52-1</f>
        <v>0.18658984985871663</v>
      </c>
      <c r="CL81" s="540">
        <f>CL52/CG52-1</f>
        <v>0.19059518752263704</v>
      </c>
      <c r="CM81" s="540">
        <f>CM52/CH52-1</f>
        <v>0.14876629503848604</v>
      </c>
      <c r="CN81" s="533"/>
      <c r="CO81" s="532"/>
      <c r="CP81" s="862"/>
      <c r="CQ81" s="863"/>
      <c r="CR81" s="862"/>
    </row>
    <row r="82" spans="1:96" hidden="1" outlineLevel="1">
      <c r="A82" s="660" t="s">
        <v>168</v>
      </c>
      <c r="B82" s="660"/>
      <c r="C82" s="860" t="s">
        <v>131</v>
      </c>
      <c r="D82" s="860" t="s">
        <v>131</v>
      </c>
      <c r="E82" s="860" t="s">
        <v>131</v>
      </c>
      <c r="F82" s="860" t="s">
        <v>131</v>
      </c>
      <c r="G82" s="861" t="s">
        <v>131</v>
      </c>
      <c r="H82" s="540" t="s">
        <v>31</v>
      </c>
      <c r="I82" s="540" t="s">
        <v>31</v>
      </c>
      <c r="J82" s="540" t="s">
        <v>31</v>
      </c>
      <c r="K82" s="540" t="s">
        <v>31</v>
      </c>
      <c r="L82" s="533">
        <f>L53/G40-1</f>
        <v>-3.2737790866013028E-2</v>
      </c>
      <c r="M82" s="540" t="s">
        <v>31</v>
      </c>
      <c r="N82" s="540" t="s">
        <v>31</v>
      </c>
      <c r="O82" s="540" t="s">
        <v>31</v>
      </c>
      <c r="P82" s="540" t="s">
        <v>31</v>
      </c>
      <c r="Q82" s="533">
        <f>Q53/L40-1</f>
        <v>5.667506297229119E-3</v>
      </c>
      <c r="R82" s="540" t="s">
        <v>31</v>
      </c>
      <c r="S82" s="540" t="s">
        <v>31</v>
      </c>
      <c r="T82" s="540" t="s">
        <v>31</v>
      </c>
      <c r="U82" s="540" t="s">
        <v>31</v>
      </c>
      <c r="V82" s="533">
        <f>V53/Q40-1</f>
        <v>0.32712047541869271</v>
      </c>
      <c r="W82" s="540" t="s">
        <v>31</v>
      </c>
      <c r="X82" s="540" t="s">
        <v>31</v>
      </c>
      <c r="Y82" s="540" t="s">
        <v>31</v>
      </c>
      <c r="Z82" s="540" t="s">
        <v>31</v>
      </c>
      <c r="AA82" s="533">
        <f>AA53/V40-1</f>
        <v>0.1037857802400739</v>
      </c>
      <c r="AB82" s="540" t="s">
        <v>31</v>
      </c>
      <c r="AC82" s="540" t="s">
        <v>31</v>
      </c>
      <c r="AD82" s="540" t="s">
        <v>31</v>
      </c>
      <c r="AE82" s="540" t="s">
        <v>31</v>
      </c>
      <c r="AF82" s="533">
        <f t="shared" ref="AF82:AO83" si="193">AF53/AA40-1</f>
        <v>0.2794189652358412</v>
      </c>
      <c r="AG82" s="540">
        <f t="shared" si="193"/>
        <v>-2.3188405797101463E-2</v>
      </c>
      <c r="AH82" s="540">
        <f t="shared" si="193"/>
        <v>8.7699944842801969E-2</v>
      </c>
      <c r="AI82" s="540">
        <f t="shared" si="193"/>
        <v>0.61850060459492129</v>
      </c>
      <c r="AJ82" s="540">
        <f t="shared" si="193"/>
        <v>0.35582255083179293</v>
      </c>
      <c r="AK82" s="533">
        <f t="shared" si="193"/>
        <v>0.24724061810154496</v>
      </c>
      <c r="AL82" s="540">
        <f t="shared" si="193"/>
        <v>0.38386648122392208</v>
      </c>
      <c r="AM82" s="540">
        <f t="shared" si="193"/>
        <v>0.25889046941678506</v>
      </c>
      <c r="AN82" s="540">
        <f t="shared" si="193"/>
        <v>-5.0444049733570084E-2</v>
      </c>
      <c r="AO82" s="540">
        <f t="shared" si="193"/>
        <v>-9.1109016650959829E-3</v>
      </c>
      <c r="AP82" s="533">
        <f t="shared" ref="AP82:AY83" si="194">AP53/AK40-1</f>
        <v>0.11720576773187807</v>
      </c>
      <c r="AQ82" s="540">
        <f t="shared" si="194"/>
        <v>-0.13553565915405985</v>
      </c>
      <c r="AR82" s="540">
        <f t="shared" si="194"/>
        <v>-0.20196877121520718</v>
      </c>
      <c r="AS82" s="540">
        <f t="shared" si="194"/>
        <v>-0.28716216216216217</v>
      </c>
      <c r="AT82" s="540">
        <f t="shared" si="194"/>
        <v>-0.28821099459802979</v>
      </c>
      <c r="AU82" s="533">
        <f t="shared" si="194"/>
        <v>-0.22705824926781648</v>
      </c>
      <c r="AV82" s="540">
        <f t="shared" si="194"/>
        <v>-7.2792792792792937E-2</v>
      </c>
      <c r="AW82" s="540">
        <f t="shared" si="194"/>
        <v>0.29553903345724897</v>
      </c>
      <c r="AX82" s="540">
        <f t="shared" si="194"/>
        <v>0.59098187560577853</v>
      </c>
      <c r="AY82" s="540">
        <f t="shared" si="194"/>
        <v>0.41020723786319779</v>
      </c>
      <c r="AZ82" s="533">
        <f t="shared" ref="AZ82:BI83" si="195">AZ53/AU40-1</f>
        <v>0.27753297564971602</v>
      </c>
      <c r="BA82" s="540">
        <f t="shared" si="195"/>
        <v>0.1771968046477852</v>
      </c>
      <c r="BB82" s="540">
        <f t="shared" si="195"/>
        <v>6.596971881759206E-2</v>
      </c>
      <c r="BC82" s="540">
        <f t="shared" si="195"/>
        <v>-7.1452420701168529E-2</v>
      </c>
      <c r="BD82" s="540">
        <f t="shared" si="195"/>
        <v>0.1587057010785824</v>
      </c>
      <c r="BE82" s="533">
        <f t="shared" si="195"/>
        <v>8.2596872875594807E-2</v>
      </c>
      <c r="BF82" s="540">
        <f t="shared" si="195"/>
        <v>3.0466518565534617E-2</v>
      </c>
      <c r="BG82" s="540">
        <f t="shared" si="195"/>
        <v>6.2880975296759845E-2</v>
      </c>
      <c r="BH82" s="540">
        <f t="shared" si="195"/>
        <v>4.0600477652678268E-2</v>
      </c>
      <c r="BI82" s="540">
        <f t="shared" si="195"/>
        <v>-6.0629921259842567E-2</v>
      </c>
      <c r="BJ82" s="533">
        <f t="shared" ref="BJ82:BT83" si="196">BJ53/BE40-1</f>
        <v>1.6282194014212381E-2</v>
      </c>
      <c r="BK82" s="540">
        <f t="shared" si="196"/>
        <v>-0.11248866041729666</v>
      </c>
      <c r="BL82" s="540">
        <f t="shared" si="196"/>
        <v>-0.17599999999999993</v>
      </c>
      <c r="BM82" s="540">
        <f t="shared" si="196"/>
        <v>-9.1034482758620583E-2</v>
      </c>
      <c r="BN82" s="540">
        <f t="shared" si="196"/>
        <v>-8.7990828317569325E-2</v>
      </c>
      <c r="BO82" s="533">
        <f t="shared" si="196"/>
        <v>-0.11729539211652507</v>
      </c>
      <c r="BP82" s="540">
        <f t="shared" si="196"/>
        <v>7.3949579831933399E-3</v>
      </c>
      <c r="BQ82" s="540">
        <f t="shared" si="196"/>
        <v>8.0669710806697159E-2</v>
      </c>
      <c r="BR82" s="540">
        <f t="shared" si="196"/>
        <v>1.8953752843062777E-3</v>
      </c>
      <c r="BS82" s="540">
        <f t="shared" si="196"/>
        <v>-2.7531956735496688E-2</v>
      </c>
      <c r="BT82" s="533">
        <f t="shared" si="196"/>
        <v>1.427709744045913E-2</v>
      </c>
      <c r="BU82" s="540">
        <f t="shared" ref="BU82:BZ83" si="197">BU53/BP40-1</f>
        <v>3.1020680453635707E-2</v>
      </c>
      <c r="BV82" s="540">
        <f t="shared" si="197"/>
        <v>0.15037086985839498</v>
      </c>
      <c r="BW82" s="540">
        <f t="shared" si="197"/>
        <v>0.39353197674418605</v>
      </c>
      <c r="BX82" s="540">
        <f t="shared" si="197"/>
        <v>0.28260869565217384</v>
      </c>
      <c r="BY82" s="533">
        <f t="shared" si="197"/>
        <v>0.21095836800090639</v>
      </c>
      <c r="BZ82" s="540">
        <f t="shared" si="197"/>
        <v>0.35949202214262455</v>
      </c>
      <c r="CA82" s="540">
        <f t="shared" ref="CA82:CE83" si="198">CA53/BV40-1</f>
        <v>0.21673355974066078</v>
      </c>
      <c r="CB82" s="540">
        <f t="shared" si="198"/>
        <v>0.17766352470722646</v>
      </c>
      <c r="CC82" s="540">
        <f t="shared" si="198"/>
        <v>0.36368317388857618</v>
      </c>
      <c r="CD82" s="533"/>
      <c r="CE82" s="540">
        <f t="shared" si="198"/>
        <v>0.20980290456431527</v>
      </c>
      <c r="CF82" s="540">
        <f t="shared" ref="CF82:CH83" si="199">CF53/CA40-1</f>
        <v>0.2905937992643195</v>
      </c>
      <c r="CG82" s="540">
        <f t="shared" si="199"/>
        <v>0.28160919540229878</v>
      </c>
      <c r="CH82" s="540">
        <f t="shared" si="199"/>
        <v>0.27420469880928477</v>
      </c>
      <c r="CI82" s="533"/>
      <c r="CJ82" s="540">
        <f t="shared" ref="CJ82:CJ83" si="200">CJ53/CE40-1</f>
        <v>0.11939467496459844</v>
      </c>
      <c r="CK82" s="540">
        <f t="shared" ref="CK82:CK83" si="201">CK53/CF40-1</f>
        <v>0.21231870898626526</v>
      </c>
      <c r="CL82" s="540">
        <f t="shared" ref="CL82:CL83" si="202">CL53/CG40-1</f>
        <v>0.23152316375407067</v>
      </c>
      <c r="CM82" s="540">
        <f t="shared" ref="CM82:CM83" si="203">CM53/CH40-1</f>
        <v>0.18909984357145571</v>
      </c>
      <c r="CN82" s="533"/>
      <c r="CO82" s="532"/>
      <c r="CP82" s="862"/>
      <c r="CQ82" s="863"/>
      <c r="CR82" s="862"/>
    </row>
    <row r="83" spans="1:96" hidden="1" outlineLevel="1">
      <c r="A83" s="660" t="s">
        <v>169</v>
      </c>
      <c r="B83" s="660"/>
      <c r="C83" s="860" t="s">
        <v>131</v>
      </c>
      <c r="D83" s="860" t="s">
        <v>131</v>
      </c>
      <c r="E83" s="860" t="s">
        <v>131</v>
      </c>
      <c r="F83" s="860" t="s">
        <v>131</v>
      </c>
      <c r="G83" s="861" t="s">
        <v>131</v>
      </c>
      <c r="H83" s="540" t="s">
        <v>31</v>
      </c>
      <c r="I83" s="540" t="s">
        <v>31</v>
      </c>
      <c r="J83" s="540" t="s">
        <v>31</v>
      </c>
      <c r="K83" s="540" t="s">
        <v>31</v>
      </c>
      <c r="L83" s="533">
        <f>L54/G41-1</f>
        <v>-0.19560851031697946</v>
      </c>
      <c r="M83" s="540" t="s">
        <v>31</v>
      </c>
      <c r="N83" s="540" t="s">
        <v>31</v>
      </c>
      <c r="O83" s="540" t="s">
        <v>31</v>
      </c>
      <c r="P83" s="540" t="s">
        <v>31</v>
      </c>
      <c r="Q83" s="533">
        <f>Q54/L41-1</f>
        <v>5.0493545937737361E-2</v>
      </c>
      <c r="R83" s="540" t="s">
        <v>31</v>
      </c>
      <c r="S83" s="540" t="s">
        <v>31</v>
      </c>
      <c r="T83" s="540" t="s">
        <v>31</v>
      </c>
      <c r="U83" s="540" t="s">
        <v>31</v>
      </c>
      <c r="V83" s="533">
        <f>V54/Q41-1</f>
        <v>0.18360886387618702</v>
      </c>
      <c r="W83" s="540" t="s">
        <v>31</v>
      </c>
      <c r="X83" s="540" t="s">
        <v>31</v>
      </c>
      <c r="Y83" s="540" t="s">
        <v>31</v>
      </c>
      <c r="Z83" s="540" t="s">
        <v>31</v>
      </c>
      <c r="AA83" s="533">
        <f>AA54/V41-1</f>
        <v>0.15909732016925249</v>
      </c>
      <c r="AB83" s="540" t="s">
        <v>31</v>
      </c>
      <c r="AC83" s="540" t="s">
        <v>31</v>
      </c>
      <c r="AD83" s="540" t="s">
        <v>31</v>
      </c>
      <c r="AE83" s="540" t="s">
        <v>31</v>
      </c>
      <c r="AF83" s="533">
        <f t="shared" si="193"/>
        <v>0.35217685431263557</v>
      </c>
      <c r="AG83" s="540">
        <f t="shared" si="193"/>
        <v>2.9673590504450953E-3</v>
      </c>
      <c r="AH83" s="540">
        <f t="shared" si="193"/>
        <v>2.7646662171274317E-2</v>
      </c>
      <c r="AI83" s="540">
        <f t="shared" si="193"/>
        <v>0.3613616779059392</v>
      </c>
      <c r="AJ83" s="540">
        <f t="shared" si="193"/>
        <v>0.26323957322987401</v>
      </c>
      <c r="AK83" s="533">
        <f t="shared" si="193"/>
        <v>0.15624756252019645</v>
      </c>
      <c r="AL83" s="540">
        <f t="shared" si="193"/>
        <v>0.20457902511078285</v>
      </c>
      <c r="AM83" s="540">
        <f t="shared" si="193"/>
        <v>0.27711640211640209</v>
      </c>
      <c r="AN83" s="540">
        <f t="shared" si="193"/>
        <v>-0.10560471976401187</v>
      </c>
      <c r="AO83" s="540">
        <f t="shared" si="193"/>
        <v>2.3423423423423406E-2</v>
      </c>
      <c r="AP83" s="533">
        <f t="shared" si="194"/>
        <v>8.9302923225184516E-2</v>
      </c>
      <c r="AQ83" s="540">
        <f t="shared" si="194"/>
        <v>-1.0023584905660354E-2</v>
      </c>
      <c r="AR83" s="540">
        <f t="shared" si="194"/>
        <v>-0.1937649880095923</v>
      </c>
      <c r="AS83" s="540">
        <f t="shared" si="194"/>
        <v>-0.14471243042671622</v>
      </c>
      <c r="AT83" s="540">
        <f t="shared" si="194"/>
        <v>-0.28595505617977535</v>
      </c>
      <c r="AU83" s="533">
        <f t="shared" si="194"/>
        <v>-0.16216216216216217</v>
      </c>
      <c r="AV83" s="540">
        <f t="shared" si="194"/>
        <v>-5.2516411378555783E-2</v>
      </c>
      <c r="AW83" s="540">
        <f t="shared" si="194"/>
        <v>0.1770529994175889</v>
      </c>
      <c r="AX83" s="540">
        <f t="shared" si="194"/>
        <v>0.2559601636410791</v>
      </c>
      <c r="AY83" s="540">
        <f t="shared" si="194"/>
        <v>0.34511716049121377</v>
      </c>
      <c r="AZ83" s="533">
        <f t="shared" si="195"/>
        <v>0.16440871837856985</v>
      </c>
      <c r="BA83" s="540">
        <f t="shared" si="195"/>
        <v>0.16123499142367081</v>
      </c>
      <c r="BB83" s="540">
        <f t="shared" si="195"/>
        <v>-1.6159695817490549E-2</v>
      </c>
      <c r="BC83" s="540">
        <f t="shared" si="195"/>
        <v>3.1488065007617916E-2</v>
      </c>
      <c r="BD83" s="540">
        <f t="shared" si="195"/>
        <v>8.2371458551941279E-2</v>
      </c>
      <c r="BE83" s="533">
        <f t="shared" si="195"/>
        <v>6.0429606625258758E-2</v>
      </c>
      <c r="BF83" s="540">
        <f t="shared" si="195"/>
        <v>-3.3446437227338865E-2</v>
      </c>
      <c r="BG83" s="540">
        <f t="shared" si="195"/>
        <v>0.12231217919672499</v>
      </c>
      <c r="BH83" s="540">
        <f t="shared" si="195"/>
        <v>8.8941176470588301E-2</v>
      </c>
      <c r="BI83" s="540">
        <f t="shared" si="195"/>
        <v>4.9006010171058767E-2</v>
      </c>
      <c r="BJ83" s="533">
        <f t="shared" si="196"/>
        <v>5.5285186921514518E-2</v>
      </c>
      <c r="BK83" s="540">
        <f t="shared" si="196"/>
        <v>8.845789971617779E-2</v>
      </c>
      <c r="BL83" s="540">
        <f t="shared" si="196"/>
        <v>-5.8847239016525554E-2</v>
      </c>
      <c r="BM83" s="540">
        <f t="shared" si="196"/>
        <v>-8.4804132587171788E-2</v>
      </c>
      <c r="BN83" s="540">
        <f t="shared" si="196"/>
        <v>-0.27750113173381608</v>
      </c>
      <c r="BO83" s="533">
        <f t="shared" si="196"/>
        <v>-8.4646606746297426E-2</v>
      </c>
      <c r="BP83" s="540">
        <f t="shared" si="196"/>
        <v>-0.15564017134697772</v>
      </c>
      <c r="BQ83" s="540">
        <f t="shared" si="196"/>
        <v>-0.10346378767431397</v>
      </c>
      <c r="BR83" s="540">
        <f t="shared" si="196"/>
        <v>-0.23478701825557813</v>
      </c>
      <c r="BS83" s="540">
        <f t="shared" si="196"/>
        <v>-6.6666666666666763E-2</v>
      </c>
      <c r="BT83" s="533">
        <f t="shared" si="196"/>
        <v>-0.14392561905600731</v>
      </c>
      <c r="BU83" s="540">
        <f t="shared" si="197"/>
        <v>-3.6652412950519242E-2</v>
      </c>
      <c r="BV83" s="540">
        <f t="shared" si="197"/>
        <v>-7.9002079002079117E-2</v>
      </c>
      <c r="BW83" s="540">
        <f t="shared" si="197"/>
        <v>0.25168690958164652</v>
      </c>
      <c r="BX83" s="540">
        <f t="shared" si="197"/>
        <v>0.30168350168350178</v>
      </c>
      <c r="BY83" s="533">
        <f t="shared" si="197"/>
        <v>9.3459952079046005E-2</v>
      </c>
      <c r="BZ83" s="540">
        <f t="shared" si="197"/>
        <v>0.29650793650793639</v>
      </c>
      <c r="CA83" s="540">
        <f t="shared" si="198"/>
        <v>0.19869899467770558</v>
      </c>
      <c r="CB83" s="540">
        <f t="shared" si="198"/>
        <v>0.23231132075471694</v>
      </c>
      <c r="CC83" s="540">
        <f t="shared" si="198"/>
        <v>0.34062929061784963</v>
      </c>
      <c r="CD83" s="533"/>
      <c r="CE83" s="540">
        <f t="shared" si="198"/>
        <v>0.21809623430962333</v>
      </c>
      <c r="CF83" s="540">
        <f t="shared" si="199"/>
        <v>0.31297324583543684</v>
      </c>
      <c r="CG83" s="540">
        <f t="shared" si="199"/>
        <v>0.30344502123643213</v>
      </c>
      <c r="CH83" s="540">
        <f t="shared" si="199"/>
        <v>0.21483102649374608</v>
      </c>
      <c r="CI83" s="533"/>
      <c r="CJ83" s="540">
        <f t="shared" si="200"/>
        <v>0.2926865528305187</v>
      </c>
      <c r="CK83" s="540">
        <f t="shared" si="201"/>
        <v>0.30408657306546805</v>
      </c>
      <c r="CL83" s="540">
        <f t="shared" si="202"/>
        <v>0.29553040863530078</v>
      </c>
      <c r="CM83" s="540">
        <f t="shared" si="203"/>
        <v>0.24918257606146144</v>
      </c>
      <c r="CN83" s="533"/>
      <c r="CO83" s="532"/>
      <c r="CP83" s="862"/>
      <c r="CQ83" s="863"/>
      <c r="CR83" s="862"/>
    </row>
    <row r="84" spans="1:96" hidden="1" outlineLevel="1">
      <c r="A84" s="879" t="s">
        <v>526</v>
      </c>
      <c r="B84" s="879"/>
      <c r="C84" s="880" t="s">
        <v>131</v>
      </c>
      <c r="D84" s="880" t="s">
        <v>131</v>
      </c>
      <c r="E84" s="880" t="s">
        <v>131</v>
      </c>
      <c r="F84" s="880" t="s">
        <v>131</v>
      </c>
      <c r="G84" s="881" t="s">
        <v>131</v>
      </c>
      <c r="H84" s="888">
        <f t="shared" ref="H84:AF84" si="204">H55/C43-1</f>
        <v>-0.12144470941645036</v>
      </c>
      <c r="I84" s="888">
        <f t="shared" si="204"/>
        <v>-2.4852485543214176E-4</v>
      </c>
      <c r="J84" s="888">
        <f t="shared" si="204"/>
        <v>1.7315481739117899E-2</v>
      </c>
      <c r="K84" s="888">
        <f t="shared" si="204"/>
        <v>0.19398209672680777</v>
      </c>
      <c r="L84" s="889">
        <f t="shared" si="204"/>
        <v>-6.4543612819502827E-2</v>
      </c>
      <c r="M84" s="888">
        <f t="shared" si="204"/>
        <v>0.19924464466875813</v>
      </c>
      <c r="N84" s="888">
        <f t="shared" si="204"/>
        <v>5.3998855817949387E-2</v>
      </c>
      <c r="O84" s="888">
        <f t="shared" si="204"/>
        <v>0.16318172720705038</v>
      </c>
      <c r="P84" s="888">
        <f t="shared" si="204"/>
        <v>0.2567298699205196</v>
      </c>
      <c r="Q84" s="889">
        <f t="shared" si="204"/>
        <v>6.1394863271256206E-2</v>
      </c>
      <c r="R84" s="888">
        <f t="shared" si="204"/>
        <v>0.32801495478199372</v>
      </c>
      <c r="S84" s="888">
        <f t="shared" si="204"/>
        <v>0.23095400223647977</v>
      </c>
      <c r="T84" s="888">
        <f t="shared" si="204"/>
        <v>0.23060459636126618</v>
      </c>
      <c r="U84" s="888">
        <f t="shared" si="204"/>
        <v>0.16318540043392682</v>
      </c>
      <c r="V84" s="889">
        <f t="shared" si="204"/>
        <v>0.23452499287506723</v>
      </c>
      <c r="W84" s="888">
        <f t="shared" si="204"/>
        <v>9.0528514154899486E-2</v>
      </c>
      <c r="X84" s="888">
        <f t="shared" si="204"/>
        <v>0.18494702317812162</v>
      </c>
      <c r="Y84" s="888">
        <f t="shared" si="204"/>
        <v>0.19921577952654501</v>
      </c>
      <c r="Z84" s="888">
        <f t="shared" si="204"/>
        <v>0.20295365330079984</v>
      </c>
      <c r="AA84" s="889">
        <f t="shared" si="204"/>
        <v>0.16904008866055742</v>
      </c>
      <c r="AB84" s="888">
        <f t="shared" si="204"/>
        <v>0.43794434975321561</v>
      </c>
      <c r="AC84" s="888">
        <f t="shared" si="204"/>
        <v>0.31172975773593903</v>
      </c>
      <c r="AD84" s="888">
        <f t="shared" si="204"/>
        <v>0.24012861393030094</v>
      </c>
      <c r="AE84" s="888">
        <f t="shared" si="204"/>
        <v>0.32388987618810594</v>
      </c>
      <c r="AF84" s="889">
        <f t="shared" si="204"/>
        <v>0.32750451223376031</v>
      </c>
      <c r="AG84" s="888">
        <f t="shared" ref="AG84:AM84" si="205">AG55/AB43-1</f>
        <v>-3.0173400175139364E-2</v>
      </c>
      <c r="AH84" s="888">
        <f t="shared" si="205"/>
        <v>0.15365973411219658</v>
      </c>
      <c r="AI84" s="888">
        <f t="shared" si="205"/>
        <v>0.39590262890013306</v>
      </c>
      <c r="AJ84" s="888">
        <f t="shared" si="205"/>
        <v>0.29380290981053236</v>
      </c>
      <c r="AK84" s="889">
        <f t="shared" si="205"/>
        <v>0.2006368190113772</v>
      </c>
      <c r="AL84" s="888">
        <f t="shared" si="205"/>
        <v>0.32197527898528966</v>
      </c>
      <c r="AM84" s="888">
        <f t="shared" si="205"/>
        <v>0.12986317979229511</v>
      </c>
      <c r="AN84" s="888">
        <f t="shared" ref="AN84:AZ84" si="206">AN55/AI43-1</f>
        <v>-3.7408152769915493E-3</v>
      </c>
      <c r="AO84" s="888">
        <f t="shared" si="206"/>
        <v>-3.0849056914370454E-3</v>
      </c>
      <c r="AP84" s="889">
        <f t="shared" si="206"/>
        <v>9.4974763140219576E-2</v>
      </c>
      <c r="AQ84" s="888">
        <f t="shared" si="206"/>
        <v>-0.13077169280528267</v>
      </c>
      <c r="AR84" s="888">
        <f t="shared" si="206"/>
        <v>-0.18704320510189587</v>
      </c>
      <c r="AS84" s="888">
        <f t="shared" si="206"/>
        <v>-0.20665601962001989</v>
      </c>
      <c r="AT84" s="888">
        <f t="shared" si="206"/>
        <v>-0.19665771150692501</v>
      </c>
      <c r="AU84" s="889">
        <f t="shared" si="206"/>
        <v>-0.18036564820864553</v>
      </c>
      <c r="AV84" s="888">
        <f t="shared" si="206"/>
        <v>6.6773483894759567E-2</v>
      </c>
      <c r="AW84" s="888">
        <f t="shared" si="206"/>
        <v>0.3284175780823162</v>
      </c>
      <c r="AX84" s="888">
        <f t="shared" si="206"/>
        <v>0.41977069764174413</v>
      </c>
      <c r="AY84" s="888">
        <f t="shared" si="206"/>
        <v>0.33422357447420303</v>
      </c>
      <c r="AZ84" s="889">
        <f t="shared" si="206"/>
        <v>0.28169492203057933</v>
      </c>
      <c r="BA84" s="888">
        <f t="shared" ref="BA84:BJ84" si="207">BA55/AV43-1</f>
        <v>0.20367998136718279</v>
      </c>
      <c r="BB84" s="888">
        <f t="shared" si="207"/>
        <v>5.5316080527233913E-2</v>
      </c>
      <c r="BC84" s="888">
        <f t="shared" si="207"/>
        <v>-1.5338491940475318E-3</v>
      </c>
      <c r="BD84" s="888">
        <f t="shared" si="207"/>
        <v>0.12823504433769273</v>
      </c>
      <c r="BE84" s="889">
        <f t="shared" si="207"/>
        <v>9.3368421052631545E-2</v>
      </c>
      <c r="BF84" s="888">
        <f t="shared" si="207"/>
        <v>-4.9235870959207784E-4</v>
      </c>
      <c r="BG84" s="888">
        <f t="shared" si="207"/>
        <v>0.10282400952725057</v>
      </c>
      <c r="BH84" s="888">
        <f t="shared" si="207"/>
        <v>8.0425419359423378E-2</v>
      </c>
      <c r="BI84" s="888">
        <f t="shared" si="207"/>
        <v>1.4094384378572355E-2</v>
      </c>
      <c r="BJ84" s="889">
        <f t="shared" si="207"/>
        <v>4.8011380528441006E-2</v>
      </c>
      <c r="BK84" s="888">
        <f t="shared" ref="BK84:BT84" si="208">BK55/BF43-1</f>
        <v>-2.0397619639884512E-2</v>
      </c>
      <c r="BL84" s="888">
        <f t="shared" si="208"/>
        <v>-8.6930576664659753E-2</v>
      </c>
      <c r="BM84" s="888">
        <f t="shared" si="208"/>
        <v>-6.5039145644005925E-2</v>
      </c>
      <c r="BN84" s="888">
        <f t="shared" si="208"/>
        <v>-8.7589342377677459E-2</v>
      </c>
      <c r="BO84" s="889">
        <f t="shared" si="208"/>
        <v>-6.5939668145506447E-2</v>
      </c>
      <c r="BP84" s="888">
        <f t="shared" si="208"/>
        <v>5.7814823891502165E-3</v>
      </c>
      <c r="BQ84" s="888">
        <f t="shared" si="208"/>
        <v>5.1408689732016954E-2</v>
      </c>
      <c r="BR84" s="888">
        <f t="shared" si="208"/>
        <v>2.091207182256527E-3</v>
      </c>
      <c r="BS84" s="888">
        <f t="shared" si="208"/>
        <v>2.1888280587770703E-2</v>
      </c>
      <c r="BT84" s="889">
        <f t="shared" si="208"/>
        <v>2.0383503812351433E-2</v>
      </c>
      <c r="BU84" s="888">
        <f t="shared" ref="BU84:CE84" si="209">BU55/BP43-1</f>
        <v>0.11126664800223973</v>
      </c>
      <c r="BV84" s="888">
        <f t="shared" si="209"/>
        <v>0.11176849452541093</v>
      </c>
      <c r="BW84" s="888">
        <f t="shared" si="209"/>
        <v>0.26028312855763147</v>
      </c>
      <c r="BX84" s="888">
        <f t="shared" si="209"/>
        <v>0.27155911333720906</v>
      </c>
      <c r="BY84" s="889">
        <f t="shared" si="209"/>
        <v>0.18900957665240337</v>
      </c>
      <c r="BZ84" s="888">
        <f t="shared" si="209"/>
        <v>0.28761671900257935</v>
      </c>
      <c r="CA84" s="888">
        <f t="shared" si="209"/>
        <v>0.21911134286387912</v>
      </c>
      <c r="CB84" s="888">
        <f t="shared" si="209"/>
        <v>0.2097542389026481</v>
      </c>
      <c r="CC84" s="888">
        <f t="shared" si="209"/>
        <v>0.25591317846546735</v>
      </c>
      <c r="CD84" s="889"/>
      <c r="CE84" s="888">
        <f t="shared" si="209"/>
        <v>0.21098649278735793</v>
      </c>
      <c r="CF84" s="888">
        <f>CF55/CA43-1</f>
        <v>0.27117220236661077</v>
      </c>
      <c r="CG84" s="888">
        <f>CG55/CB43-1</f>
        <v>0.26519245310857409</v>
      </c>
      <c r="CH84" s="888">
        <f>CH55/CC43-1</f>
        <v>0.25091782676031582</v>
      </c>
      <c r="CI84" s="889"/>
      <c r="CJ84" s="888">
        <f t="shared" ref="CJ84" si="210">CJ55/CE43-1</f>
        <v>0.19688012996540238</v>
      </c>
      <c r="CK84" s="888">
        <f>CK55/CF43-1</f>
        <v>0.21138027669434867</v>
      </c>
      <c r="CL84" s="888">
        <f>CL55/CG43-1</f>
        <v>0.21754452756220499</v>
      </c>
      <c r="CM84" s="888">
        <f>CM55/CH43-1</f>
        <v>0.17514357124323854</v>
      </c>
      <c r="CN84" s="889"/>
      <c r="CO84" s="1814"/>
      <c r="CP84" s="884"/>
      <c r="CQ84" s="885"/>
      <c r="CR84" s="884"/>
    </row>
    <row r="85" spans="1:96" hidden="1" outlineLevel="1">
      <c r="A85" s="886" t="s">
        <v>92</v>
      </c>
      <c r="B85" s="886"/>
      <c r="C85" s="884"/>
      <c r="D85" s="884"/>
      <c r="E85" s="884"/>
      <c r="F85" s="884"/>
      <c r="G85" s="887"/>
      <c r="H85" s="884"/>
      <c r="I85" s="884"/>
      <c r="J85" s="884"/>
      <c r="K85" s="884"/>
      <c r="L85" s="887"/>
      <c r="M85" s="884"/>
      <c r="N85" s="884"/>
      <c r="O85" s="884"/>
      <c r="P85" s="884"/>
      <c r="Q85" s="887"/>
      <c r="R85" s="884"/>
      <c r="S85" s="884"/>
      <c r="T85" s="884"/>
      <c r="U85" s="884"/>
      <c r="V85" s="887"/>
      <c r="W85" s="884"/>
      <c r="X85" s="884"/>
      <c r="Y85" s="884"/>
      <c r="Z85" s="884"/>
      <c r="AA85" s="887"/>
      <c r="AB85" s="884"/>
      <c r="AC85" s="884"/>
      <c r="AD85" s="884"/>
      <c r="AE85" s="884"/>
      <c r="AF85" s="887"/>
      <c r="AG85" s="884"/>
      <c r="AH85" s="884"/>
      <c r="AI85" s="884"/>
      <c r="AJ85" s="884"/>
      <c r="AK85" s="887"/>
      <c r="AL85" s="884"/>
      <c r="AM85" s="884"/>
      <c r="AN85" s="884"/>
      <c r="AO85" s="884"/>
      <c r="AP85" s="887"/>
      <c r="AQ85" s="884"/>
      <c r="AR85" s="884"/>
      <c r="AS85" s="884"/>
      <c r="AT85" s="884"/>
      <c r="AU85" s="887"/>
      <c r="AV85" s="884"/>
      <c r="AW85" s="884"/>
      <c r="AX85" s="884"/>
      <c r="AY85" s="884"/>
      <c r="AZ85" s="887"/>
      <c r="BA85" s="884"/>
      <c r="BB85" s="884"/>
      <c r="BC85" s="884"/>
      <c r="BD85" s="884"/>
      <c r="BE85" s="887"/>
      <c r="BF85" s="884"/>
      <c r="BG85" s="884"/>
      <c r="BH85" s="884"/>
      <c r="BI85" s="884"/>
      <c r="BJ85" s="887"/>
      <c r="BK85" s="884"/>
      <c r="BL85" s="884"/>
      <c r="BM85" s="884"/>
      <c r="BN85" s="884"/>
      <c r="BO85" s="887"/>
      <c r="BP85" s="884"/>
      <c r="BQ85" s="884"/>
      <c r="BR85" s="884"/>
      <c r="BS85" s="884"/>
      <c r="BT85" s="887"/>
      <c r="BU85" s="884"/>
      <c r="BV85" s="884"/>
      <c r="BW85" s="884"/>
      <c r="BX85" s="884"/>
      <c r="BY85" s="887"/>
      <c r="BZ85" s="884"/>
      <c r="CA85" s="884"/>
      <c r="CB85" s="884"/>
      <c r="CC85" s="884"/>
      <c r="CD85" s="887"/>
      <c r="CE85" s="884"/>
      <c r="CF85" s="884"/>
      <c r="CG85" s="884"/>
      <c r="CH85" s="884"/>
      <c r="CI85" s="887"/>
      <c r="CJ85" s="884"/>
      <c r="CK85" s="884"/>
      <c r="CL85" s="884"/>
      <c r="CM85" s="884"/>
      <c r="CN85" s="887"/>
      <c r="CO85" s="1813"/>
      <c r="CP85" s="884"/>
      <c r="CQ85" s="885"/>
      <c r="CR85" s="884"/>
    </row>
    <row r="86" spans="1:96" hidden="1" outlineLevel="1">
      <c r="A86" s="660" t="s">
        <v>167</v>
      </c>
      <c r="B86" s="660"/>
      <c r="C86" s="860" t="s">
        <v>131</v>
      </c>
      <c r="D86" s="860" t="s">
        <v>131</v>
      </c>
      <c r="E86" s="860" t="s">
        <v>131</v>
      </c>
      <c r="F86" s="860" t="s">
        <v>131</v>
      </c>
      <c r="G86" s="861" t="s">
        <v>131</v>
      </c>
      <c r="H86" s="540">
        <f t="shared" ref="H86:AM86" si="211">H75-H81</f>
        <v>0</v>
      </c>
      <c r="I86" s="540">
        <f t="shared" si="211"/>
        <v>0</v>
      </c>
      <c r="J86" s="540">
        <f t="shared" si="211"/>
        <v>0</v>
      </c>
      <c r="K86" s="540">
        <f t="shared" si="211"/>
        <v>0</v>
      </c>
      <c r="L86" s="533">
        <f t="shared" si="211"/>
        <v>0</v>
      </c>
      <c r="M86" s="540">
        <f t="shared" si="211"/>
        <v>0</v>
      </c>
      <c r="N86" s="540">
        <f t="shared" si="211"/>
        <v>0</v>
      </c>
      <c r="O86" s="540">
        <f t="shared" si="211"/>
        <v>0</v>
      </c>
      <c r="P86" s="540">
        <f t="shared" si="211"/>
        <v>0</v>
      </c>
      <c r="Q86" s="533">
        <f t="shared" si="211"/>
        <v>0</v>
      </c>
      <c r="R86" s="540">
        <f t="shared" si="211"/>
        <v>0</v>
      </c>
      <c r="S86" s="540">
        <f t="shared" si="211"/>
        <v>0</v>
      </c>
      <c r="T86" s="540">
        <f t="shared" si="211"/>
        <v>0</v>
      </c>
      <c r="U86" s="540">
        <f t="shared" si="211"/>
        <v>0</v>
      </c>
      <c r="V86" s="533">
        <f t="shared" si="211"/>
        <v>0</v>
      </c>
      <c r="W86" s="540">
        <f t="shared" si="211"/>
        <v>0</v>
      </c>
      <c r="X86" s="540">
        <f t="shared" si="211"/>
        <v>0</v>
      </c>
      <c r="Y86" s="540">
        <f t="shared" si="211"/>
        <v>0</v>
      </c>
      <c r="Z86" s="540">
        <f t="shared" si="211"/>
        <v>0</v>
      </c>
      <c r="AA86" s="533">
        <f t="shared" si="211"/>
        <v>0</v>
      </c>
      <c r="AB86" s="540">
        <f t="shared" si="211"/>
        <v>0</v>
      </c>
      <c r="AC86" s="540">
        <f t="shared" si="211"/>
        <v>0</v>
      </c>
      <c r="AD86" s="540">
        <f t="shared" si="211"/>
        <v>0</v>
      </c>
      <c r="AE86" s="540">
        <f t="shared" si="211"/>
        <v>0</v>
      </c>
      <c r="AF86" s="533">
        <f t="shared" si="211"/>
        <v>0</v>
      </c>
      <c r="AG86" s="540">
        <f t="shared" si="211"/>
        <v>0</v>
      </c>
      <c r="AH86" s="540">
        <f t="shared" si="211"/>
        <v>0</v>
      </c>
      <c r="AI86" s="540">
        <f t="shared" si="211"/>
        <v>0</v>
      </c>
      <c r="AJ86" s="540">
        <f t="shared" si="211"/>
        <v>0</v>
      </c>
      <c r="AK86" s="533">
        <f t="shared" si="211"/>
        <v>0</v>
      </c>
      <c r="AL86" s="540">
        <f t="shared" si="211"/>
        <v>0</v>
      </c>
      <c r="AM86" s="540">
        <f t="shared" si="211"/>
        <v>0</v>
      </c>
      <c r="AN86" s="540">
        <f t="shared" ref="AN86:BJ86" si="212">AN75-AN81</f>
        <v>0</v>
      </c>
      <c r="AO86" s="540">
        <f t="shared" si="212"/>
        <v>0</v>
      </c>
      <c r="AP86" s="533">
        <f t="shared" si="212"/>
        <v>0</v>
      </c>
      <c r="AQ86" s="540">
        <f t="shared" si="212"/>
        <v>0</v>
      </c>
      <c r="AR86" s="540">
        <f t="shared" si="212"/>
        <v>0</v>
      </c>
      <c r="AS86" s="540">
        <f t="shared" si="212"/>
        <v>0</v>
      </c>
      <c r="AT86" s="540">
        <f t="shared" si="212"/>
        <v>0</v>
      </c>
      <c r="AU86" s="533">
        <f t="shared" si="212"/>
        <v>0</v>
      </c>
      <c r="AV86" s="540">
        <f t="shared" si="212"/>
        <v>0</v>
      </c>
      <c r="AW86" s="540">
        <f t="shared" si="212"/>
        <v>0</v>
      </c>
      <c r="AX86" s="540">
        <f t="shared" si="212"/>
        <v>0</v>
      </c>
      <c r="AY86" s="540">
        <f t="shared" si="212"/>
        <v>0</v>
      </c>
      <c r="AZ86" s="533">
        <f t="shared" si="212"/>
        <v>0</v>
      </c>
      <c r="BA86" s="540">
        <f t="shared" si="212"/>
        <v>0</v>
      </c>
      <c r="BB86" s="540">
        <f t="shared" si="212"/>
        <v>0</v>
      </c>
      <c r="BC86" s="540">
        <f t="shared" si="212"/>
        <v>0</v>
      </c>
      <c r="BD86" s="540">
        <f t="shared" si="212"/>
        <v>0</v>
      </c>
      <c r="BE86" s="533">
        <f t="shared" si="212"/>
        <v>5.8012462281786803E-4</v>
      </c>
      <c r="BF86" s="540">
        <f t="shared" si="212"/>
        <v>0</v>
      </c>
      <c r="BG86" s="540">
        <f t="shared" si="212"/>
        <v>0</v>
      </c>
      <c r="BH86" s="540">
        <f t="shared" si="212"/>
        <v>0</v>
      </c>
      <c r="BI86" s="540">
        <f t="shared" si="212"/>
        <v>0</v>
      </c>
      <c r="BJ86" s="533">
        <f t="shared" si="212"/>
        <v>-9.3548922978592408E-4</v>
      </c>
      <c r="BK86" s="540">
        <f t="shared" ref="BK86:BT86" si="213">BK75-BK81</f>
        <v>0</v>
      </c>
      <c r="BL86" s="540">
        <f t="shared" si="213"/>
        <v>0</v>
      </c>
      <c r="BM86" s="540">
        <f t="shared" si="213"/>
        <v>0</v>
      </c>
      <c r="BN86" s="540">
        <f>BN75-BN81</f>
        <v>0</v>
      </c>
      <c r="BO86" s="533">
        <f t="shared" si="213"/>
        <v>2.4701185669107062E-5</v>
      </c>
      <c r="BP86" s="540">
        <f t="shared" si="213"/>
        <v>0</v>
      </c>
      <c r="BQ86" s="540">
        <f t="shared" si="213"/>
        <v>0</v>
      </c>
      <c r="BR86" s="540">
        <f t="shared" si="213"/>
        <v>0</v>
      </c>
      <c r="BS86" s="540">
        <f t="shared" si="213"/>
        <v>0</v>
      </c>
      <c r="BT86" s="533">
        <f t="shared" si="213"/>
        <v>2.4872836274991705E-4</v>
      </c>
      <c r="BU86" s="540">
        <f t="shared" ref="BU86:BZ88" si="214">BU75-BU81</f>
        <v>0</v>
      </c>
      <c r="BV86" s="540">
        <f t="shared" si="214"/>
        <v>0</v>
      </c>
      <c r="BW86" s="540">
        <f t="shared" si="214"/>
        <v>0</v>
      </c>
      <c r="BX86" s="540">
        <f t="shared" si="214"/>
        <v>0</v>
      </c>
      <c r="BY86" s="533">
        <f t="shared" si="214"/>
        <v>1.2404491590278788E-4</v>
      </c>
      <c r="BZ86" s="540">
        <f t="shared" si="214"/>
        <v>0</v>
      </c>
      <c r="CA86" s="540">
        <f t="shared" ref="CA86:CB88" si="215">CA75-CA81</f>
        <v>0</v>
      </c>
      <c r="CB86" s="540">
        <f t="shared" si="215"/>
        <v>0</v>
      </c>
      <c r="CC86" s="540">
        <f t="shared" ref="CC86:CE86" si="216">CC75-CC81</f>
        <v>0</v>
      </c>
      <c r="CD86" s="533"/>
      <c r="CE86" s="540">
        <f t="shared" si="216"/>
        <v>0</v>
      </c>
      <c r="CF86" s="540">
        <f t="shared" ref="CF86" si="217">CF75-CF81</f>
        <v>0</v>
      </c>
      <c r="CG86" s="540">
        <f t="shared" ref="CG86:CG88" si="218">CG75-CG81</f>
        <v>0</v>
      </c>
      <c r="CH86" s="540">
        <f t="shared" ref="CH86" si="219">CH75-CH81</f>
        <v>0</v>
      </c>
      <c r="CI86" s="533"/>
      <c r="CJ86" s="540">
        <f t="shared" ref="CJ86:CM88" si="220">CJ75-CJ81</f>
        <v>0</v>
      </c>
      <c r="CK86" s="540">
        <f t="shared" si="220"/>
        <v>0</v>
      </c>
      <c r="CL86" s="540">
        <f t="shared" si="220"/>
        <v>0</v>
      </c>
      <c r="CM86" s="540">
        <f t="shared" si="220"/>
        <v>0</v>
      </c>
      <c r="CN86" s="533"/>
      <c r="CO86" s="532"/>
      <c r="CP86" s="862"/>
      <c r="CQ86" s="863"/>
      <c r="CR86" s="862"/>
    </row>
    <row r="87" spans="1:96" hidden="1" outlineLevel="1">
      <c r="A87" s="660" t="s">
        <v>168</v>
      </c>
      <c r="B87" s="660"/>
      <c r="C87" s="860" t="s">
        <v>131</v>
      </c>
      <c r="D87" s="860" t="s">
        <v>131</v>
      </c>
      <c r="E87" s="860" t="s">
        <v>131</v>
      </c>
      <c r="F87" s="860" t="s">
        <v>131</v>
      </c>
      <c r="G87" s="861" t="s">
        <v>131</v>
      </c>
      <c r="H87" s="540" t="s">
        <v>31</v>
      </c>
      <c r="I87" s="540" t="s">
        <v>31</v>
      </c>
      <c r="J87" s="540" t="s">
        <v>31</v>
      </c>
      <c r="K87" s="540" t="s">
        <v>31</v>
      </c>
      <c r="L87" s="533">
        <f>L76-L82</f>
        <v>5.4819646613385453E-3</v>
      </c>
      <c r="M87" s="540" t="s">
        <v>31</v>
      </c>
      <c r="N87" s="540" t="s">
        <v>31</v>
      </c>
      <c r="O87" s="540" t="s">
        <v>31</v>
      </c>
      <c r="P87" s="540" t="s">
        <v>31</v>
      </c>
      <c r="Q87" s="533">
        <f>Q76-Q82</f>
        <v>0.15994962216624686</v>
      </c>
      <c r="R87" s="540" t="s">
        <v>31</v>
      </c>
      <c r="S87" s="540" t="s">
        <v>31</v>
      </c>
      <c r="T87" s="540" t="s">
        <v>31</v>
      </c>
      <c r="U87" s="540" t="s">
        <v>31</v>
      </c>
      <c r="V87" s="533">
        <f>V76-V82</f>
        <v>0.1356023770934629</v>
      </c>
      <c r="W87" s="540" t="s">
        <v>31</v>
      </c>
      <c r="X87" s="540" t="s">
        <v>31</v>
      </c>
      <c r="Y87" s="540" t="s">
        <v>31</v>
      </c>
      <c r="Z87" s="540" t="s">
        <v>31</v>
      </c>
      <c r="AA87" s="533">
        <f>AA76-AA82</f>
        <v>2.7700831024930705E-2</v>
      </c>
      <c r="AB87" s="540" t="s">
        <v>31</v>
      </c>
      <c r="AC87" s="540" t="s">
        <v>31</v>
      </c>
      <c r="AD87" s="540" t="s">
        <v>31</v>
      </c>
      <c r="AE87" s="540" t="s">
        <v>31</v>
      </c>
      <c r="AF87" s="533">
        <f t="shared" ref="AF87:BJ87" si="221">AF76-AF82</f>
        <v>-2.2523257711767553E-2</v>
      </c>
      <c r="AG87" s="540">
        <f t="shared" si="221"/>
        <v>6.5217391304347894E-2</v>
      </c>
      <c r="AH87" s="540">
        <f t="shared" si="221"/>
        <v>7.556536127964697E-2</v>
      </c>
      <c r="AI87" s="540">
        <f t="shared" si="221"/>
        <v>8.3434099153567143E-2</v>
      </c>
      <c r="AJ87" s="540">
        <f t="shared" si="221"/>
        <v>0.11506469500924221</v>
      </c>
      <c r="AK87" s="533">
        <f t="shared" si="221"/>
        <v>8.5573302168549858E-2</v>
      </c>
      <c r="AL87" s="540">
        <f t="shared" si="221"/>
        <v>0.11775614279091329</v>
      </c>
      <c r="AM87" s="540">
        <f t="shared" si="221"/>
        <v>0.1379800853485067</v>
      </c>
      <c r="AN87" s="540">
        <f t="shared" si="221"/>
        <v>0.10195381882770871</v>
      </c>
      <c r="AO87" s="540">
        <f t="shared" si="221"/>
        <v>-2.1991831605402412E-3</v>
      </c>
      <c r="AP87" s="533">
        <f t="shared" si="221"/>
        <v>8.037802026500418E-2</v>
      </c>
      <c r="AQ87" s="540">
        <f t="shared" si="221"/>
        <v>-7.7184316146958754E-3</v>
      </c>
      <c r="AR87" s="540">
        <f t="shared" si="221"/>
        <v>-6.7549219280380157E-2</v>
      </c>
      <c r="AS87" s="540">
        <f t="shared" si="221"/>
        <v>-5.0000000000000044E-2</v>
      </c>
      <c r="AT87" s="540">
        <f t="shared" si="221"/>
        <v>5.0842071814426348E-2</v>
      </c>
      <c r="AU87" s="533">
        <f t="shared" si="221"/>
        <v>-1.7246989912138022E-2</v>
      </c>
      <c r="AV87" s="540">
        <f t="shared" si="221"/>
        <v>6.5225225225225336E-2</v>
      </c>
      <c r="AW87" s="540">
        <f t="shared" si="221"/>
        <v>-6.5055762081782653E-3</v>
      </c>
      <c r="AX87" s="540">
        <f t="shared" si="221"/>
        <v>-6.4478307817807057E-2</v>
      </c>
      <c r="AY87" s="540">
        <f t="shared" si="221"/>
        <v>-5.812390452986449E-2</v>
      </c>
      <c r="AZ87" s="533">
        <f t="shared" si="221"/>
        <v>-1.0658177501368549E-2</v>
      </c>
      <c r="BA87" s="540">
        <f t="shared" si="221"/>
        <v>-3.304284676833702E-2</v>
      </c>
      <c r="BB87" s="540">
        <f t="shared" si="221"/>
        <v>5.7678442682047582E-2</v>
      </c>
      <c r="BC87" s="540">
        <f t="shared" si="221"/>
        <v>5.0083472454090172E-2</v>
      </c>
      <c r="BD87" s="540">
        <f t="shared" si="221"/>
        <v>1.5408320493066396E-2</v>
      </c>
      <c r="BE87" s="533">
        <f t="shared" si="221"/>
        <v>2.0198390357384799E-2</v>
      </c>
      <c r="BF87" s="540">
        <f>BF76-BF82</f>
        <v>1.9041574103459302E-2</v>
      </c>
      <c r="BG87" s="540">
        <f t="shared" si="221"/>
        <v>-2.0211742059672799E-2</v>
      </c>
      <c r="BH87" s="540">
        <f t="shared" si="221"/>
        <v>-5.1177072671443224E-2</v>
      </c>
      <c r="BI87" s="540">
        <f t="shared" si="221"/>
        <v>-2.3622047244094446E-2</v>
      </c>
      <c r="BJ87" s="533">
        <f t="shared" si="221"/>
        <v>-1.8418367581255035E-2</v>
      </c>
      <c r="BK87" s="540">
        <f t="shared" ref="BK87:BT87" si="222">BK76-BK82</f>
        <v>1.2095554883580384E-2</v>
      </c>
      <c r="BL87" s="540">
        <f t="shared" si="222"/>
        <v>-1.5384615384615441E-2</v>
      </c>
      <c r="BM87" s="540">
        <f t="shared" si="222"/>
        <v>6.8965517241370566E-4</v>
      </c>
      <c r="BN87" s="540">
        <f>BN76-BN82</f>
        <v>-3.7546574949842371E-2</v>
      </c>
      <c r="BO87" s="533">
        <f t="shared" si="222"/>
        <v>-1.1206933316715517E-2</v>
      </c>
      <c r="BP87" s="540">
        <f t="shared" si="222"/>
        <v>3.3613445378155582E-4</v>
      </c>
      <c r="BQ87" s="540">
        <f t="shared" si="222"/>
        <v>4.7945205479452024E-2</v>
      </c>
      <c r="BR87" s="540">
        <f t="shared" si="222"/>
        <v>4.1319181197877031E-2</v>
      </c>
      <c r="BS87" s="540">
        <f t="shared" si="222"/>
        <v>3.7692559816453586E-2</v>
      </c>
      <c r="BT87" s="533">
        <f t="shared" si="222"/>
        <v>3.1401798073032339E-2</v>
      </c>
      <c r="BU87" s="540">
        <f t="shared" si="214"/>
        <v>-6.6711140760506993E-3</v>
      </c>
      <c r="BV87" s="540">
        <f t="shared" si="214"/>
        <v>-5.8327714093054706E-2</v>
      </c>
      <c r="BW87" s="540">
        <f t="shared" si="214"/>
        <v>-0.12136627906976738</v>
      </c>
      <c r="BX87" s="540">
        <f t="shared" si="214"/>
        <v>-0.12946138870863066</v>
      </c>
      <c r="BY87" s="533">
        <f t="shared" si="214"/>
        <v>-7.8465289256793636E-2</v>
      </c>
      <c r="BZ87" s="540">
        <f t="shared" si="214"/>
        <v>-0.10387495929664614</v>
      </c>
      <c r="CA87" s="540">
        <f t="shared" si="215"/>
        <v>-4.1679530719357816E-2</v>
      </c>
      <c r="CB87" s="540">
        <f t="shared" si="215"/>
        <v>-3.4561553841759629E-2</v>
      </c>
      <c r="CC87" s="540">
        <f t="shared" ref="CC87:CE87" si="223">CC76-CC82</f>
        <v>-8.9758019133370892E-2</v>
      </c>
      <c r="CD87" s="533"/>
      <c r="CE87" s="540">
        <f t="shared" si="223"/>
        <v>-1.9190871369294538E-2</v>
      </c>
      <c r="CF87" s="540">
        <f t="shared" ref="CF87" si="224">CF76-CF82</f>
        <v>-4.0199684708355443E-2</v>
      </c>
      <c r="CG87" s="540">
        <f t="shared" si="218"/>
        <v>-3.0234882558720422E-2</v>
      </c>
      <c r="CH87" s="540">
        <f t="shared" ref="CH87" si="225">CH76-CH82</f>
        <v>-6.0960391206684506E-2</v>
      </c>
      <c r="CI87" s="533"/>
      <c r="CJ87" s="540">
        <f t="shared" ref="CJ87" si="226">CJ76-CJ82</f>
        <v>0.12927459092022286</v>
      </c>
      <c r="CK87" s="540">
        <f t="shared" si="220"/>
        <v>5.7067491417856386E-2</v>
      </c>
      <c r="CL87" s="540">
        <f t="shared" si="220"/>
        <v>3.1739187750178477E-2</v>
      </c>
      <c r="CM87" s="540">
        <f t="shared" si="220"/>
        <v>3.1551038700705414E-2</v>
      </c>
      <c r="CN87" s="533"/>
      <c r="CO87" s="532"/>
      <c r="CP87" s="862"/>
      <c r="CQ87" s="863"/>
      <c r="CR87" s="862"/>
    </row>
    <row r="88" spans="1:96" hidden="1" outlineLevel="1">
      <c r="A88" s="660" t="s">
        <v>169</v>
      </c>
      <c r="B88" s="660"/>
      <c r="C88" s="860" t="s">
        <v>131</v>
      </c>
      <c r="D88" s="860" t="s">
        <v>131</v>
      </c>
      <c r="E88" s="860" t="s">
        <v>131</v>
      </c>
      <c r="F88" s="860" t="s">
        <v>131</v>
      </c>
      <c r="G88" s="861" t="s">
        <v>131</v>
      </c>
      <c r="H88" s="540" t="s">
        <v>31</v>
      </c>
      <c r="I88" s="540" t="s">
        <v>31</v>
      </c>
      <c r="J88" s="540" t="s">
        <v>31</v>
      </c>
      <c r="K88" s="540" t="s">
        <v>31</v>
      </c>
      <c r="L88" s="533">
        <f>L77-L83</f>
        <v>4.0616578636234579E-2</v>
      </c>
      <c r="M88" s="540" t="s">
        <v>31</v>
      </c>
      <c r="N88" s="540" t="s">
        <v>31</v>
      </c>
      <c r="O88" s="540" t="s">
        <v>31</v>
      </c>
      <c r="P88" s="540" t="s">
        <v>31</v>
      </c>
      <c r="Q88" s="533">
        <f>Q77-Q83</f>
        <v>2.8853454821564206E-2</v>
      </c>
      <c r="R88" s="540" t="s">
        <v>31</v>
      </c>
      <c r="S88" s="540" t="s">
        <v>31</v>
      </c>
      <c r="T88" s="540" t="s">
        <v>31</v>
      </c>
      <c r="U88" s="540" t="s">
        <v>31</v>
      </c>
      <c r="V88" s="533">
        <f>V77-V83</f>
        <v>6.3313401336616337E-2</v>
      </c>
      <c r="W88" s="540" t="s">
        <v>31</v>
      </c>
      <c r="X88" s="540" t="s">
        <v>31</v>
      </c>
      <c r="Y88" s="540" t="s">
        <v>31</v>
      </c>
      <c r="Z88" s="540" t="s">
        <v>31</v>
      </c>
      <c r="AA88" s="533">
        <f>AA77-AA83</f>
        <v>8.4626234132580969E-3</v>
      </c>
      <c r="AB88" s="540" t="s">
        <v>31</v>
      </c>
      <c r="AC88" s="540" t="s">
        <v>31</v>
      </c>
      <c r="AD88" s="540" t="s">
        <v>31</v>
      </c>
      <c r="AE88" s="540" t="s">
        <v>31</v>
      </c>
      <c r="AF88" s="533">
        <f t="shared" ref="AF88:BJ88" si="227">AF77-AF83</f>
        <v>-5.1220101473785862E-2</v>
      </c>
      <c r="AG88" s="540">
        <f t="shared" si="227"/>
        <v>1.4836795252224366E-3</v>
      </c>
      <c r="AH88" s="540">
        <f t="shared" si="227"/>
        <v>-8.0917060013485642E-3</v>
      </c>
      <c r="AI88" s="540">
        <f t="shared" si="227"/>
        <v>-2.1345392162288146E-2</v>
      </c>
      <c r="AJ88" s="540">
        <f t="shared" si="227"/>
        <v>2.8709990300678889E-2</v>
      </c>
      <c r="AK88" s="533">
        <f t="shared" si="227"/>
        <v>0</v>
      </c>
      <c r="AL88" s="540">
        <f t="shared" si="227"/>
        <v>4.80059084194977E-2</v>
      </c>
      <c r="AM88" s="540">
        <f t="shared" si="227"/>
        <v>0.10185185185185208</v>
      </c>
      <c r="AN88" s="540">
        <f t="shared" si="227"/>
        <v>5.9587020648967592E-2</v>
      </c>
      <c r="AO88" s="540">
        <f t="shared" si="227"/>
        <v>4.5645645645645772E-2</v>
      </c>
      <c r="AP88" s="533">
        <f t="shared" si="227"/>
        <v>6.360424028268552E-2</v>
      </c>
      <c r="AQ88" s="540">
        <f t="shared" si="227"/>
        <v>8.7853773584905759E-2</v>
      </c>
      <c r="AR88" s="540">
        <f t="shared" si="227"/>
        <v>1.7266187050359649E-2</v>
      </c>
      <c r="AS88" s="540">
        <f t="shared" si="227"/>
        <v>5.1948051948052076E-2</v>
      </c>
      <c r="AT88" s="540">
        <f t="shared" si="227"/>
        <v>3.3707865168539408E-2</v>
      </c>
      <c r="AU88" s="533">
        <f t="shared" si="227"/>
        <v>4.583449428810249E-2</v>
      </c>
      <c r="AV88" s="540">
        <f t="shared" si="227"/>
        <v>9.2997811816192266E-3</v>
      </c>
      <c r="AW88" s="540">
        <f t="shared" si="227"/>
        <v>4.8340128130460069E-2</v>
      </c>
      <c r="AX88" s="540">
        <f t="shared" si="227"/>
        <v>8.6234792050809306E-2</v>
      </c>
      <c r="AY88" s="540">
        <f t="shared" si="227"/>
        <v>8.6888850027193376E-2</v>
      </c>
      <c r="AZ88" s="533">
        <f t="shared" si="227"/>
        <v>5.394221966336632E-2</v>
      </c>
      <c r="BA88" s="540">
        <f t="shared" si="227"/>
        <v>1.8296169239565341E-2</v>
      </c>
      <c r="BB88" s="540">
        <f t="shared" si="227"/>
        <v>5.7034220532319324E-2</v>
      </c>
      <c r="BC88" s="540">
        <f t="shared" si="227"/>
        <v>4.7739969527679227E-2</v>
      </c>
      <c r="BD88" s="540">
        <f t="shared" si="227"/>
        <v>5.2465897166841691E-2</v>
      </c>
      <c r="BE88" s="533">
        <f t="shared" si="227"/>
        <v>4.7429797219870728E-2</v>
      </c>
      <c r="BF88" s="540">
        <f t="shared" si="227"/>
        <v>5.816771691711109E-2</v>
      </c>
      <c r="BG88" s="540">
        <f t="shared" si="227"/>
        <v>1.0564533132042087E-2</v>
      </c>
      <c r="BH88" s="540">
        <f t="shared" si="227"/>
        <v>4.2352941176471148E-3</v>
      </c>
      <c r="BI88" s="540">
        <f t="shared" si="227"/>
        <v>-2.7739251040221902E-2</v>
      </c>
      <c r="BJ88" s="533">
        <f t="shared" si="227"/>
        <v>1.1217144327507977E-2</v>
      </c>
      <c r="BK88" s="540">
        <f t="shared" ref="BK88:BT88" si="228">BK77-BK83</f>
        <v>-9.4607379375591272E-2</v>
      </c>
      <c r="BL88" s="540">
        <f t="shared" si="228"/>
        <v>-4.5143087464731946E-2</v>
      </c>
      <c r="BM88" s="540">
        <f t="shared" si="228"/>
        <v>-6.6293585880327188E-2</v>
      </c>
      <c r="BN88" s="540">
        <f>BN77-BN83</f>
        <v>1.0864644635581566E-2</v>
      </c>
      <c r="BO88" s="533">
        <f t="shared" si="228"/>
        <v>-4.6959497061682454E-2</v>
      </c>
      <c r="BP88" s="540">
        <f t="shared" si="228"/>
        <v>-6.5207044264635861E-2</v>
      </c>
      <c r="BQ88" s="540">
        <f t="shared" si="228"/>
        <v>-3.1039136302294268E-2</v>
      </c>
      <c r="BR88" s="540">
        <f t="shared" si="228"/>
        <v>-1.369168356997974E-2</v>
      </c>
      <c r="BS88" s="540">
        <f t="shared" si="228"/>
        <v>-1.6666666666666607E-2</v>
      </c>
      <c r="BT88" s="533">
        <f t="shared" si="228"/>
        <v>-3.2917748250415602E-2</v>
      </c>
      <c r="BU88" s="540">
        <f t="shared" si="214"/>
        <v>-1.2217470983505452E-3</v>
      </c>
      <c r="BV88" s="540">
        <f t="shared" si="214"/>
        <v>-4.2099792099792088E-2</v>
      </c>
      <c r="BW88" s="540">
        <f t="shared" si="214"/>
        <v>-0.10728744939271251</v>
      </c>
      <c r="BX88" s="540">
        <f t="shared" si="214"/>
        <v>-0.12457912457912457</v>
      </c>
      <c r="BY88" s="533">
        <f t="shared" si="214"/>
        <v>-6.5420680893618188E-2</v>
      </c>
      <c r="BZ88" s="540">
        <f t="shared" si="214"/>
        <v>-8.2539682539682468E-2</v>
      </c>
      <c r="CA88" s="540">
        <f t="shared" si="215"/>
        <v>-2.7202838557066844E-2</v>
      </c>
      <c r="CB88" s="540">
        <f t="shared" si="215"/>
        <v>1.7099056603773644E-2</v>
      </c>
      <c r="CC88" s="540">
        <f t="shared" ref="CC88:CE88" si="229">CC77-CC83</f>
        <v>-2.2883295194509046E-3</v>
      </c>
      <c r="CD88" s="533"/>
      <c r="CE88" s="540">
        <f t="shared" si="229"/>
        <v>7.2175732217573341E-2</v>
      </c>
      <c r="CF88" s="540">
        <f t="shared" ref="CF88" si="230">CF77-CF83</f>
        <v>4.7955577990913545E-2</v>
      </c>
      <c r="CG88" s="540">
        <f t="shared" si="218"/>
        <v>4.7192071731949614E-3</v>
      </c>
      <c r="CH88" s="540">
        <f t="shared" ref="CH88" si="231">CH77-CH83</f>
        <v>9.4895315933009039E-2</v>
      </c>
      <c r="CI88" s="533"/>
      <c r="CJ88" s="540">
        <f t="shared" ref="CJ88" si="232">CJ77-CJ83</f>
        <v>2.7840909090908639E-2</v>
      </c>
      <c r="CK88" s="540">
        <f t="shared" si="220"/>
        <v>3.8845726970029304E-3</v>
      </c>
      <c r="CL88" s="540">
        <f t="shared" si="220"/>
        <v>1.4398357431243403E-2</v>
      </c>
      <c r="CM88" s="540">
        <f t="shared" si="220"/>
        <v>1.4478715268926967E-2</v>
      </c>
      <c r="CN88" s="533"/>
      <c r="CO88" s="532"/>
      <c r="CP88" s="862"/>
      <c r="CQ88" s="863"/>
      <c r="CR88" s="862"/>
    </row>
    <row r="89" spans="1:96" hidden="1" outlineLevel="1">
      <c r="A89" s="879" t="s">
        <v>526</v>
      </c>
      <c r="B89" s="879"/>
      <c r="C89" s="880" t="s">
        <v>131</v>
      </c>
      <c r="D89" s="880" t="s">
        <v>131</v>
      </c>
      <c r="E89" s="880" t="s">
        <v>131</v>
      </c>
      <c r="F89" s="880" t="s">
        <v>131</v>
      </c>
      <c r="G89" s="881" t="s">
        <v>131</v>
      </c>
      <c r="H89" s="888">
        <f t="shared" ref="H89:AM89" si="233">H79-H84</f>
        <v>-6.4205002258509891E-2</v>
      </c>
      <c r="I89" s="888">
        <f t="shared" si="233"/>
        <v>-7.7445586910863562E-2</v>
      </c>
      <c r="J89" s="888">
        <f t="shared" si="233"/>
        <v>-4.2096563356820216E-2</v>
      </c>
      <c r="K89" s="888">
        <f t="shared" si="233"/>
        <v>-8.0146759915739274E-2</v>
      </c>
      <c r="L89" s="889">
        <f t="shared" si="233"/>
        <v>1.1741348889502512E-2</v>
      </c>
      <c r="M89" s="888">
        <f t="shared" si="233"/>
        <v>-9.0997414400295851E-2</v>
      </c>
      <c r="N89" s="888">
        <f t="shared" si="233"/>
        <v>-4.5217003089651486E-2</v>
      </c>
      <c r="O89" s="888">
        <f t="shared" si="233"/>
        <v>-4.2979816922333214E-2</v>
      </c>
      <c r="P89" s="888">
        <f t="shared" si="233"/>
        <v>-3.9756742116383581E-2</v>
      </c>
      <c r="Q89" s="889">
        <f t="shared" si="233"/>
        <v>5.0179946908793571E-2</v>
      </c>
      <c r="R89" s="888">
        <f t="shared" si="233"/>
        <v>9.7677630138601312E-2</v>
      </c>
      <c r="S89" s="888">
        <f t="shared" si="233"/>
        <v>4.997719790345645E-2</v>
      </c>
      <c r="T89" s="888">
        <f t="shared" si="233"/>
        <v>3.4469575898872673E-2</v>
      </c>
      <c r="U89" s="888">
        <f t="shared" si="233"/>
        <v>3.458026805285197E-2</v>
      </c>
      <c r="V89" s="889">
        <f t="shared" si="233"/>
        <v>5.2659627464473724E-2</v>
      </c>
      <c r="W89" s="888">
        <f t="shared" si="233"/>
        <v>2.6653688684349142E-2</v>
      </c>
      <c r="X89" s="888">
        <f t="shared" si="233"/>
        <v>2.4629040320909068E-2</v>
      </c>
      <c r="Y89" s="888">
        <f t="shared" si="233"/>
        <v>7.1833208244469482E-3</v>
      </c>
      <c r="Z89" s="888">
        <f t="shared" si="233"/>
        <v>-1.4668150555759984E-2</v>
      </c>
      <c r="AA89" s="889">
        <f t="shared" si="233"/>
        <v>1.0813155796207896E-2</v>
      </c>
      <c r="AB89" s="888">
        <f t="shared" si="233"/>
        <v>-5.1809965276749859E-2</v>
      </c>
      <c r="AC89" s="888">
        <f t="shared" si="233"/>
        <v>-3.0643369641694562E-2</v>
      </c>
      <c r="AD89" s="888">
        <f t="shared" si="233"/>
        <v>-3.6958025948639062E-3</v>
      </c>
      <c r="AE89" s="888">
        <f t="shared" si="233"/>
        <v>1.2735833344762915E-2</v>
      </c>
      <c r="AF89" s="889">
        <f t="shared" si="233"/>
        <v>-1.7799738699835865E-2</v>
      </c>
      <c r="AG89" s="888">
        <f t="shared" si="233"/>
        <v>2.0911456982537935E-2</v>
      </c>
      <c r="AH89" s="888">
        <f t="shared" si="233"/>
        <v>1.9634719004935075E-2</v>
      </c>
      <c r="AI89" s="888">
        <f t="shared" si="233"/>
        <v>1.8409441522706294E-2</v>
      </c>
      <c r="AJ89" s="888">
        <f t="shared" si="233"/>
        <v>4.1940850954667264E-2</v>
      </c>
      <c r="AK89" s="889">
        <f t="shared" si="233"/>
        <v>2.558187395643241E-2</v>
      </c>
      <c r="AL89" s="888">
        <f t="shared" si="233"/>
        <v>4.9191031202312052E-2</v>
      </c>
      <c r="AM89" s="888">
        <f t="shared" si="233"/>
        <v>5.9666540142735203E-2</v>
      </c>
      <c r="AN89" s="888">
        <f t="shared" ref="AN89:BJ89" si="234">AN79-AN84</f>
        <v>4.5506207686870415E-2</v>
      </c>
      <c r="AO89" s="888">
        <f t="shared" si="234"/>
        <v>7.5734379852745448E-3</v>
      </c>
      <c r="AP89" s="889">
        <f t="shared" si="234"/>
        <v>3.8661684844995658E-2</v>
      </c>
      <c r="AQ89" s="888">
        <f t="shared" si="234"/>
        <v>1.3914391119047131E-2</v>
      </c>
      <c r="AR89" s="888">
        <f t="shared" si="234"/>
        <v>-1.8409355881139233E-2</v>
      </c>
      <c r="AS89" s="888">
        <f t="shared" si="234"/>
        <v>-7.2053531276731198E-3</v>
      </c>
      <c r="AT89" s="888">
        <f t="shared" si="234"/>
        <v>2.4017235860115949E-2</v>
      </c>
      <c r="AU89" s="889">
        <f t="shared" si="234"/>
        <v>3.2551288601405659E-3</v>
      </c>
      <c r="AV89" s="888">
        <f t="shared" si="234"/>
        <v>2.5178346621905323E-2</v>
      </c>
      <c r="AW89" s="888">
        <f t="shared" si="234"/>
        <v>9.8414441875875891E-3</v>
      </c>
      <c r="AX89" s="888">
        <f t="shared" si="234"/>
        <v>2.7239869994089005E-5</v>
      </c>
      <c r="AY89" s="888">
        <f t="shared" si="234"/>
        <v>-3.2205016467397041E-3</v>
      </c>
      <c r="AZ89" s="1212">
        <f t="shared" si="234"/>
        <v>8.2540333314160552E-3</v>
      </c>
      <c r="BA89" s="888">
        <f t="shared" si="234"/>
        <v>-6.8638639804352586E-3</v>
      </c>
      <c r="BB89" s="888">
        <f t="shared" si="234"/>
        <v>2.9669100298504336E-2</v>
      </c>
      <c r="BC89" s="888">
        <f t="shared" si="234"/>
        <v>2.4650642873659701E-2</v>
      </c>
      <c r="BD89" s="888">
        <f t="shared" si="234"/>
        <v>1.4843057068533394E-2</v>
      </c>
      <c r="BE89" s="889">
        <f t="shared" si="234"/>
        <v>1.6173157894736834E-2</v>
      </c>
      <c r="BF89" s="888">
        <f t="shared" si="234"/>
        <v>1.7534197523416117E-2</v>
      </c>
      <c r="BG89" s="888">
        <f t="shared" si="234"/>
        <v>-3.8481705000616984E-3</v>
      </c>
      <c r="BH89" s="888">
        <f t="shared" si="234"/>
        <v>-1.3935879164479026E-2</v>
      </c>
      <c r="BI89" s="888">
        <f t="shared" si="234"/>
        <v>-1.2994711676580062E-2</v>
      </c>
      <c r="BJ89" s="889">
        <f t="shared" si="234"/>
        <v>-3.5598787465291881E-3</v>
      </c>
      <c r="BK89" s="888">
        <f t="shared" ref="BK89:BT89" si="235">BK79-BK84</f>
        <v>-1.5333613976005078E-2</v>
      </c>
      <c r="BL89" s="888">
        <f t="shared" si="235"/>
        <v>-1.4363479357445419E-2</v>
      </c>
      <c r="BM89" s="888">
        <f t="shared" si="235"/>
        <v>-1.4048936682152124E-2</v>
      </c>
      <c r="BN89" s="888">
        <f>BN79-BN84</f>
        <v>-9.2775621885373694E-3</v>
      </c>
      <c r="BO89" s="889">
        <f t="shared" si="235"/>
        <v>-1.3184436551545553E-2</v>
      </c>
      <c r="BP89" s="888">
        <f t="shared" si="235"/>
        <v>-1.3473919829184777E-2</v>
      </c>
      <c r="BQ89" s="888">
        <f t="shared" si="235"/>
        <v>5.6484148715203464E-3</v>
      </c>
      <c r="BR89" s="888">
        <f t="shared" si="235"/>
        <v>8.2492646608096631E-3</v>
      </c>
      <c r="BS89" s="888">
        <f t="shared" si="235"/>
        <v>8.4746169478899791E-3</v>
      </c>
      <c r="BT89" s="889">
        <f t="shared" si="235"/>
        <v>2.2600388632980639E-3</v>
      </c>
      <c r="BU89" s="888">
        <f t="shared" ref="BU89:CB89" si="236">BU79-BU84</f>
        <v>-2.2187337519496975E-3</v>
      </c>
      <c r="BV89" s="888">
        <f t="shared" si="236"/>
        <v>-2.3817458772074751E-2</v>
      </c>
      <c r="BW89" s="888">
        <f t="shared" si="236"/>
        <v>-4.90665987672676E-2</v>
      </c>
      <c r="BX89" s="888">
        <f t="shared" si="236"/>
        <v>-5.4406481522889738E-2</v>
      </c>
      <c r="BY89" s="889">
        <f t="shared" si="236"/>
        <v>-3.2646944284693058E-2</v>
      </c>
      <c r="BZ89" s="888">
        <f t="shared" si="236"/>
        <v>-4.0448763547157762E-2</v>
      </c>
      <c r="CA89" s="888">
        <f t="shared" si="236"/>
        <v>-1.55667301692195E-2</v>
      </c>
      <c r="CB89" s="888">
        <f t="shared" si="236"/>
        <v>-7.5819039422944101E-3</v>
      </c>
      <c r="CC89" s="888">
        <f t="shared" ref="CC89:CE89" si="237">CC79-CC84</f>
        <v>-2.4732777915560833E-2</v>
      </c>
      <c r="CD89" s="889"/>
      <c r="CE89" s="888">
        <f t="shared" si="237"/>
        <v>4.659753421983881E-3</v>
      </c>
      <c r="CF89" s="888">
        <f>CF79-CF84</f>
        <v>-4.1538304250561264E-3</v>
      </c>
      <c r="CG89" s="888">
        <f>CG79-CG84</f>
        <v>-7.5998980851343934E-3</v>
      </c>
      <c r="CH89" s="888">
        <f>CH79-CH84</f>
        <v>-3.3604427701987571E-3</v>
      </c>
      <c r="CI89" s="889"/>
      <c r="CJ89" s="888">
        <f t="shared" ref="CJ89" si="238">CJ79-CJ84</f>
        <v>3.9377084692141517E-2</v>
      </c>
      <c r="CK89" s="888">
        <f>CK79-CK84</f>
        <v>1.5915731363380869E-2</v>
      </c>
      <c r="CL89" s="888">
        <f>CL79-CL84</f>
        <v>1.0801418033838051E-2</v>
      </c>
      <c r="CM89" s="888">
        <f>CM79-CM84</f>
        <v>1.0847861136251691E-2</v>
      </c>
      <c r="CN89" s="889"/>
      <c r="CO89" s="1814"/>
      <c r="CP89" s="884"/>
      <c r="CQ89" s="885"/>
      <c r="CR89" s="884"/>
    </row>
    <row r="90" spans="1:96" collapsed="1">
      <c r="A90" s="886" t="s">
        <v>129</v>
      </c>
      <c r="B90" s="886"/>
      <c r="C90" s="886"/>
      <c r="D90" s="886"/>
      <c r="E90" s="886"/>
      <c r="F90" s="886"/>
      <c r="G90" s="890"/>
      <c r="H90" s="886"/>
      <c r="I90" s="886"/>
      <c r="J90" s="886"/>
      <c r="K90" s="886"/>
      <c r="L90" s="890"/>
      <c r="M90" s="886"/>
      <c r="N90" s="886"/>
      <c r="O90" s="886"/>
      <c r="P90" s="886"/>
      <c r="Q90" s="890"/>
      <c r="R90" s="886"/>
      <c r="S90" s="886"/>
      <c r="T90" s="886"/>
      <c r="U90" s="886"/>
      <c r="V90" s="890"/>
      <c r="W90" s="886"/>
      <c r="X90" s="886"/>
      <c r="Y90" s="886"/>
      <c r="Z90" s="886"/>
      <c r="AA90" s="890"/>
      <c r="AB90" s="886"/>
      <c r="AC90" s="886"/>
      <c r="AD90" s="886"/>
      <c r="AE90" s="886"/>
      <c r="AF90" s="890"/>
      <c r="AG90" s="886"/>
      <c r="AH90" s="886"/>
      <c r="AI90" s="886"/>
      <c r="AJ90" s="886"/>
      <c r="AK90" s="890"/>
      <c r="AL90" s="886"/>
      <c r="AM90" s="886"/>
      <c r="AN90" s="886"/>
      <c r="AO90" s="886"/>
      <c r="AP90" s="890"/>
      <c r="AQ90" s="886"/>
      <c r="AR90" s="886"/>
      <c r="AS90" s="886"/>
      <c r="AT90" s="886"/>
      <c r="AU90" s="890"/>
      <c r="AV90" s="886"/>
      <c r="AW90" s="886"/>
      <c r="AX90" s="886"/>
      <c r="AY90" s="886"/>
      <c r="AZ90" s="890"/>
      <c r="BA90" s="886"/>
      <c r="BB90" s="886"/>
      <c r="BC90" s="886"/>
      <c r="BD90" s="886"/>
      <c r="BE90" s="890"/>
      <c r="BF90" s="886"/>
      <c r="BG90" s="886"/>
      <c r="BH90" s="886"/>
      <c r="BI90" s="886"/>
      <c r="BJ90" s="890"/>
      <c r="BK90" s="886"/>
      <c r="BL90" s="886"/>
      <c r="BM90" s="886"/>
      <c r="BN90" s="886"/>
      <c r="BO90" s="890"/>
      <c r="BP90" s="886"/>
      <c r="BQ90" s="886"/>
      <c r="BR90" s="886"/>
      <c r="BS90" s="886"/>
      <c r="BT90" s="890"/>
      <c r="BU90" s="886"/>
      <c r="BV90" s="886"/>
      <c r="BW90" s="886"/>
      <c r="BX90" s="886"/>
      <c r="BY90" s="890"/>
      <c r="BZ90" s="886"/>
      <c r="CA90" s="886"/>
      <c r="CB90" s="886"/>
      <c r="CC90" s="886"/>
      <c r="CD90" s="890"/>
      <c r="CE90" s="886"/>
      <c r="CF90" s="886"/>
      <c r="CG90" s="886"/>
      <c r="CH90" s="886"/>
      <c r="CI90" s="890"/>
      <c r="CJ90" s="886"/>
      <c r="CK90" s="886"/>
      <c r="CL90" s="886"/>
      <c r="CM90" s="886"/>
      <c r="CN90" s="890"/>
      <c r="CO90" s="1815"/>
      <c r="CP90" s="886"/>
      <c r="CQ90" s="891"/>
      <c r="CR90" s="886"/>
    </row>
    <row r="91" spans="1:96">
      <c r="A91" s="660" t="s">
        <v>167</v>
      </c>
      <c r="B91" s="660"/>
      <c r="C91" s="877">
        <f t="shared" ref="C91:AL91" si="239">C39/C43</f>
        <v>0.46</v>
      </c>
      <c r="D91" s="877">
        <f t="shared" si="239"/>
        <v>0.45999999999999996</v>
      </c>
      <c r="E91" s="877">
        <f t="shared" si="239"/>
        <v>0.53</v>
      </c>
      <c r="F91" s="877">
        <f t="shared" si="239"/>
        <v>0.48036947153549581</v>
      </c>
      <c r="G91" s="878">
        <f t="shared" si="239"/>
        <v>0.48101031129037508</v>
      </c>
      <c r="H91" s="877">
        <f t="shared" si="239"/>
        <v>0.46</v>
      </c>
      <c r="I91" s="877">
        <f t="shared" si="239"/>
        <v>0.5</v>
      </c>
      <c r="J91" s="877">
        <f t="shared" si="239"/>
        <v>0.55000000000000004</v>
      </c>
      <c r="K91" s="877">
        <f t="shared" si="239"/>
        <v>0.49279795964079859</v>
      </c>
      <c r="L91" s="878">
        <f t="shared" si="239"/>
        <v>0.50120708661146918</v>
      </c>
      <c r="M91" s="877">
        <f t="shared" si="239"/>
        <v>0.49344044190707154</v>
      </c>
      <c r="N91" s="877">
        <f t="shared" si="239"/>
        <v>0.49165068437525389</v>
      </c>
      <c r="O91" s="877">
        <f t="shared" si="239"/>
        <v>0.49134813644938308</v>
      </c>
      <c r="P91" s="877">
        <f t="shared" si="239"/>
        <v>0.50057726737797936</v>
      </c>
      <c r="Q91" s="878">
        <f t="shared" si="239"/>
        <v>0.49445877154568196</v>
      </c>
      <c r="R91" s="877">
        <f t="shared" si="239"/>
        <v>0.43351815933150789</v>
      </c>
      <c r="S91" s="877">
        <f t="shared" si="239"/>
        <v>0.44502968896692152</v>
      </c>
      <c r="T91" s="877">
        <f t="shared" si="239"/>
        <v>0.48524570672730388</v>
      </c>
      <c r="U91" s="877">
        <f t="shared" si="239"/>
        <v>0.48591159063287265</v>
      </c>
      <c r="V91" s="878">
        <f t="shared" si="239"/>
        <v>0.46238376652559948</v>
      </c>
      <c r="W91" s="877">
        <f t="shared" si="239"/>
        <v>0.46100295634005944</v>
      </c>
      <c r="X91" s="877">
        <f t="shared" si="239"/>
        <v>0.48868110533859915</v>
      </c>
      <c r="Y91" s="877">
        <f t="shared" si="239"/>
        <v>0.46875096244859243</v>
      </c>
      <c r="Z91" s="877">
        <f t="shared" si="239"/>
        <v>0.49179910300546065</v>
      </c>
      <c r="AA91" s="878">
        <f t="shared" si="239"/>
        <v>0.47789755589245092</v>
      </c>
      <c r="AB91" s="877">
        <f>AB39/AB43</f>
        <v>0.47858204241789953</v>
      </c>
      <c r="AC91" s="877">
        <f>AC39/AC43</f>
        <v>0.48138659482324497</v>
      </c>
      <c r="AD91" s="877">
        <f>AD39/AD43</f>
        <v>0.51528501754426759</v>
      </c>
      <c r="AE91" s="877">
        <f>AE39/AE43</f>
        <v>0.49386154579103603</v>
      </c>
      <c r="AF91" s="878">
        <f>AF39/AF43</f>
        <v>0.49190385586145291</v>
      </c>
      <c r="AG91" s="877">
        <f t="shared" si="239"/>
        <v>0.45934213828923925</v>
      </c>
      <c r="AH91" s="877">
        <f t="shared" si="239"/>
        <v>0.514366725368406</v>
      </c>
      <c r="AI91" s="877">
        <f t="shared" si="239"/>
        <v>0.47047855665116017</v>
      </c>
      <c r="AJ91" s="877">
        <f t="shared" si="239"/>
        <v>0.46794869684408985</v>
      </c>
      <c r="AK91" s="878">
        <f t="shared" si="239"/>
        <v>0.47782041185212487</v>
      </c>
      <c r="AL91" s="877">
        <f t="shared" si="239"/>
        <v>0.44573219008473292</v>
      </c>
      <c r="AM91" s="877">
        <f t="shared" ref="AM91:AR91" si="240">AM39/AM43</f>
        <v>0.43275009414964266</v>
      </c>
      <c r="AN91" s="877">
        <f t="shared" si="240"/>
        <v>0.48418891031572592</v>
      </c>
      <c r="AO91" s="877">
        <f t="shared" si="240"/>
        <v>0.46170603987103698</v>
      </c>
      <c r="AP91" s="878">
        <f t="shared" si="240"/>
        <v>0.4561314610592675</v>
      </c>
      <c r="AQ91" s="877">
        <f t="shared" si="240"/>
        <v>0.41467973906077144</v>
      </c>
      <c r="AR91" s="877">
        <f t="shared" si="240"/>
        <v>0.45098932412622594</v>
      </c>
      <c r="AS91" s="877">
        <f>AS39/AS43</f>
        <v>0.50838199473266932</v>
      </c>
      <c r="AT91" s="877">
        <f>AT39/AT43</f>
        <v>0.50734005649143055</v>
      </c>
      <c r="AU91" s="878">
        <f>AVERAGE(AQ91:AT91)</f>
        <v>0.47034777860277432</v>
      </c>
      <c r="AV91" s="877">
        <f>AV39/AV43</f>
        <v>0.47560265517642941</v>
      </c>
      <c r="AW91" s="877">
        <f>AW39/AW43</f>
        <v>0.48269682461414476</v>
      </c>
      <c r="AX91" s="877">
        <f>AX39/AX43</f>
        <v>0.49872818758400067</v>
      </c>
      <c r="AY91" s="877">
        <f>AY39/AY43</f>
        <v>0.48901429243233269</v>
      </c>
      <c r="AZ91" s="878">
        <f>AVERAGE(AV91:AY91)</f>
        <v>0.48651048995172685</v>
      </c>
      <c r="BA91" s="877">
        <f>BA39/BA43</f>
        <v>0.49265062187045705</v>
      </c>
      <c r="BB91" s="877">
        <f>BB39/BB43</f>
        <v>0.48134295172203495</v>
      </c>
      <c r="BC91" s="877">
        <f>BC39/BC43</f>
        <v>0.50098103851908582</v>
      </c>
      <c r="BD91" s="877">
        <f>BD39/BD43</f>
        <v>0.48161671849680737</v>
      </c>
      <c r="BE91" s="878">
        <f>AVERAGE(BA91:BD91)</f>
        <v>0.48914783265209633</v>
      </c>
      <c r="BF91" s="877">
        <f>BF39/BF43</f>
        <v>0.48133407320946786</v>
      </c>
      <c r="BG91" s="877">
        <f>BG39/BG43</f>
        <v>0.49028457493403427</v>
      </c>
      <c r="BH91" s="877">
        <f>BH39/BH43</f>
        <v>0.51666697514297877</v>
      </c>
      <c r="BI91" s="877">
        <f>BI39/BI43</f>
        <v>0.50597003020561326</v>
      </c>
      <c r="BJ91" s="878">
        <f>AVERAGE(BF91:BI91)</f>
        <v>0.49856391337302353</v>
      </c>
      <c r="BK91" s="877">
        <f>BK39/BK43</f>
        <v>0.49639190651996834</v>
      </c>
      <c r="BL91" s="877">
        <f>BL39/BL43</f>
        <v>0.51991541231548399</v>
      </c>
      <c r="BM91" s="877">
        <f>BM39/BM43</f>
        <v>0.53671972899723552</v>
      </c>
      <c r="BN91" s="877">
        <f>BN39/BN43</f>
        <v>0.55159887837081545</v>
      </c>
      <c r="BO91" s="878">
        <f>AVERAGE(BK91:BN91)</f>
        <v>0.5261564815508758</v>
      </c>
      <c r="BP91" s="877">
        <f>BP39/BP43</f>
        <v>0.53653561572611286</v>
      </c>
      <c r="BQ91" s="877">
        <f>BQ39/BQ43</f>
        <v>0.54221649716160147</v>
      </c>
      <c r="BR91" s="877">
        <f>BR39/BR43</f>
        <v>0.57886889813001474</v>
      </c>
      <c r="BS91" s="877">
        <f>BS39/BS43</f>
        <v>0.57447490422312664</v>
      </c>
      <c r="BT91" s="878">
        <f>AVERAGE(BP91:BS91)</f>
        <v>0.55802397881021393</v>
      </c>
      <c r="BU91" s="877">
        <f>BU39/BU43</f>
        <v>0.58114951482219768</v>
      </c>
      <c r="BV91" s="877">
        <f>BV39/BV43</f>
        <v>0.57582531807206949</v>
      </c>
      <c r="BW91" s="877">
        <f>BW39/BW43</f>
        <v>0.57326190210286365</v>
      </c>
      <c r="BX91" s="877">
        <f>BX39/BX43</f>
        <v>0.59415004853016384</v>
      </c>
      <c r="BY91" s="878">
        <f>AVERAGE(BU91:BX91)</f>
        <v>0.58109669588182367</v>
      </c>
      <c r="BZ91" s="877">
        <f>BZ39/BZ43</f>
        <v>0.5830113457694629</v>
      </c>
      <c r="CA91" s="877">
        <f>CA39/CA43</f>
        <v>0.58625489647953932</v>
      </c>
      <c r="CB91" s="877">
        <f>CB39/CB43</f>
        <v>0.58191202397321795</v>
      </c>
      <c r="CC91" s="877">
        <f>CC39/CC43</f>
        <v>0.5730689577777931</v>
      </c>
      <c r="CD91" s="892"/>
      <c r="CE91" s="877">
        <f>CE39/CE43</f>
        <v>0.58026481197588553</v>
      </c>
      <c r="CF91" s="877">
        <f>CF39/CF43</f>
        <v>0.57933968705387118</v>
      </c>
      <c r="CG91" s="877">
        <f>CG39/CG43</f>
        <v>0.57743469301070993</v>
      </c>
      <c r="CH91" s="877">
        <f>CH39/CH43</f>
        <v>0.57355869021900285</v>
      </c>
      <c r="CI91" s="892"/>
      <c r="CJ91" s="1817">
        <f>1-CJ92-CJ93</f>
        <v>0.56755117623309426</v>
      </c>
      <c r="CK91" s="1817">
        <f t="shared" ref="CK91:CM91" si="241">1-CK92-CK93</f>
        <v>0.56012452396578893</v>
      </c>
      <c r="CL91" s="1817">
        <f t="shared" si="241"/>
        <v>0.55968839159033834</v>
      </c>
      <c r="CM91" s="1818">
        <f t="shared" si="241"/>
        <v>0.5555561984356584</v>
      </c>
      <c r="CN91" s="892"/>
      <c r="CO91" s="1816"/>
      <c r="CP91" s="862"/>
      <c r="CQ91" s="863"/>
      <c r="CR91" s="862"/>
    </row>
    <row r="92" spans="1:96">
      <c r="A92" s="660" t="s">
        <v>168</v>
      </c>
      <c r="B92" s="660"/>
      <c r="C92" s="877">
        <f t="shared" ref="C92:AL92" si="242">C40/C43</f>
        <v>0.3</v>
      </c>
      <c r="D92" s="877">
        <f t="shared" si="242"/>
        <v>0.22999999999999998</v>
      </c>
      <c r="E92" s="877">
        <f t="shared" si="242"/>
        <v>0.25</v>
      </c>
      <c r="F92" s="877">
        <f t="shared" si="242"/>
        <v>0.28592050351553661</v>
      </c>
      <c r="G92" s="878">
        <f t="shared" si="242"/>
        <v>0.26550678203168204</v>
      </c>
      <c r="H92" s="877">
        <f t="shared" si="242"/>
        <v>0.28000000000000003</v>
      </c>
      <c r="I92" s="877">
        <f t="shared" si="242"/>
        <v>0.26</v>
      </c>
      <c r="J92" s="877">
        <f t="shared" si="242"/>
        <v>0.23999999999999996</v>
      </c>
      <c r="K92" s="877">
        <f t="shared" si="242"/>
        <v>0.3112288311035995</v>
      </c>
      <c r="L92" s="878">
        <f t="shared" si="242"/>
        <v>0.27266764424084039</v>
      </c>
      <c r="M92" s="877">
        <f t="shared" si="242"/>
        <v>0.30077973694403748</v>
      </c>
      <c r="N92" s="877">
        <f t="shared" si="242"/>
        <v>0.27050158365245858</v>
      </c>
      <c r="O92" s="877">
        <f t="shared" si="242"/>
        <v>0.26416229529772317</v>
      </c>
      <c r="P92" s="877">
        <f t="shared" si="242"/>
        <v>0.30676044240433264</v>
      </c>
      <c r="Q92" s="878">
        <f t="shared" si="242"/>
        <v>0.28592414437083946</v>
      </c>
      <c r="R92" s="877">
        <f t="shared" si="242"/>
        <v>0.34043578615624137</v>
      </c>
      <c r="S92" s="877">
        <f t="shared" si="242"/>
        <v>0.32749308070278116</v>
      </c>
      <c r="T92" s="877">
        <f t="shared" si="242"/>
        <v>0.30591038683421146</v>
      </c>
      <c r="U92" s="877">
        <f t="shared" si="242"/>
        <v>0.32502759009271209</v>
      </c>
      <c r="V92" s="878">
        <f t="shared" si="242"/>
        <v>0.32491670071841694</v>
      </c>
      <c r="W92" s="877">
        <f t="shared" si="242"/>
        <v>0.31826121527146306</v>
      </c>
      <c r="X92" s="877">
        <f t="shared" si="242"/>
        <v>0.29252321940854265</v>
      </c>
      <c r="Y92" s="877">
        <f t="shared" si="242"/>
        <v>0.31414322056344562</v>
      </c>
      <c r="Z92" s="877">
        <f t="shared" si="242"/>
        <v>0.32153080798086092</v>
      </c>
      <c r="AA92" s="878">
        <f t="shared" si="242"/>
        <v>0.31159714003969852</v>
      </c>
      <c r="AB92" s="877">
        <f>AB40/AB43</f>
        <v>0.31580007261876064</v>
      </c>
      <c r="AC92" s="877">
        <f>AC40/AC43</f>
        <v>0.28530692919730083</v>
      </c>
      <c r="AD92" s="877">
        <f>AD40/AD43</f>
        <v>0.27466368643835598</v>
      </c>
      <c r="AE92" s="877">
        <f>AE40/AE43</f>
        <v>0.31722065452413239</v>
      </c>
      <c r="AF92" s="878">
        <f>AF40/AF43</f>
        <v>0.29903312235467711</v>
      </c>
      <c r="AG92" s="877">
        <f t="shared" si="242"/>
        <v>0.33214917609449846</v>
      </c>
      <c r="AH92" s="877">
        <f t="shared" si="242"/>
        <v>0.28286816787535024</v>
      </c>
      <c r="AI92" s="877">
        <f t="shared" si="242"/>
        <v>0.330520872716001</v>
      </c>
      <c r="AJ92" s="877">
        <f t="shared" si="242"/>
        <v>0.34931536164510746</v>
      </c>
      <c r="AK92" s="878">
        <f t="shared" si="242"/>
        <v>0.32502808053881699</v>
      </c>
      <c r="AL92" s="877">
        <f t="shared" si="242"/>
        <v>0.36375070891520533</v>
      </c>
      <c r="AM92" s="877">
        <f t="shared" ref="AM92:AR92" si="243">AM40/AM43</f>
        <v>0.33217346987098678</v>
      </c>
      <c r="AN92" s="877">
        <f t="shared" si="243"/>
        <v>0.33361247079482048</v>
      </c>
      <c r="AO92" s="877">
        <f t="shared" si="243"/>
        <v>0.3438213221661508</v>
      </c>
      <c r="AP92" s="878">
        <f t="shared" si="243"/>
        <v>0.34336260146613484</v>
      </c>
      <c r="AQ92" s="877">
        <f t="shared" si="243"/>
        <v>0.35287834280700414</v>
      </c>
      <c r="AR92" s="877">
        <f t="shared" si="243"/>
        <v>0.30538987587150351</v>
      </c>
      <c r="AS92" s="877">
        <f>AS40/AS43</f>
        <v>0.28128749962365968</v>
      </c>
      <c r="AT92" s="877">
        <f>AT40/AT43</f>
        <v>0.31692247151989417</v>
      </c>
      <c r="AU92" s="878">
        <f>AVERAGE(AQ92:AT92)</f>
        <v>0.31411954745551535</v>
      </c>
      <c r="AV92" s="877">
        <f>AV40/AV43</f>
        <v>0.32071736345638752</v>
      </c>
      <c r="AW92" s="877">
        <f>AW40/AW43</f>
        <v>0.29415663257461283</v>
      </c>
      <c r="AX92" s="877">
        <f>AX40/AX43</f>
        <v>0.30242780356632559</v>
      </c>
      <c r="AY92" s="877">
        <f>AY40/AY43</f>
        <v>0.32194185005942783</v>
      </c>
      <c r="AZ92" s="878">
        <f>AVERAGE(AV92:AY92)</f>
        <v>0.30981091241418846</v>
      </c>
      <c r="BA92" s="877">
        <f>BA40/BA43</f>
        <v>0.30660519642777212</v>
      </c>
      <c r="BB92" s="877">
        <f>BB40/BB43</f>
        <v>0.30463877777006759</v>
      </c>
      <c r="BC92" s="877">
        <f>BC40/BC43</f>
        <v>0.28927805829382203</v>
      </c>
      <c r="BD92" s="877">
        <f>BD40/BD43</f>
        <v>0.3306829514277953</v>
      </c>
      <c r="BE92" s="878">
        <f>AVERAGE(BA92:BD92)</f>
        <v>0.30780124597986425</v>
      </c>
      <c r="BF92" s="877">
        <f>BF40/BF43</f>
        <v>0.31639272114961442</v>
      </c>
      <c r="BG92" s="877">
        <f>BG40/BG43</f>
        <v>0.28903044958019436</v>
      </c>
      <c r="BH92" s="877">
        <f>BH40/BH43</f>
        <v>0.26837439153047438</v>
      </c>
      <c r="BI92" s="877">
        <f>BI40/BI43</f>
        <v>0.30248962223909948</v>
      </c>
      <c r="BJ92" s="878">
        <f>AVERAGE(BF92:BI92)</f>
        <v>0.29407179612484569</v>
      </c>
      <c r="BK92" s="877">
        <f>BK40/BK43</f>
        <v>0.29517607873214186</v>
      </c>
      <c r="BL92" s="877">
        <f>BL40/BL43</f>
        <v>0.2600566622697168</v>
      </c>
      <c r="BM92" s="877">
        <f>BM40/BM43</f>
        <v>0.26509392344031218</v>
      </c>
      <c r="BN92" s="877">
        <f>BN40/BN43</f>
        <v>0.29288690879035123</v>
      </c>
      <c r="BO92" s="878">
        <f>AVERAGE(BK92:BN92)</f>
        <v>0.27830339330813053</v>
      </c>
      <c r="BP92" s="877">
        <f>BP40/BP43</f>
        <v>0.29976402831660204</v>
      </c>
      <c r="BQ92" s="877">
        <f>BQ40/BQ43</f>
        <v>0.27766127945119301</v>
      </c>
      <c r="BR92" s="877">
        <f>BR40/BR43</f>
        <v>0.27371945148690729</v>
      </c>
      <c r="BS92" s="877">
        <f>BS40/BS43</f>
        <v>0.28714428394675251</v>
      </c>
      <c r="BT92" s="878">
        <f>AVERAGE(BP92:BS92)</f>
        <v>0.28457226080036369</v>
      </c>
      <c r="BU92" s="877">
        <f>BU40/BU43</f>
        <v>0.27687095253164273</v>
      </c>
      <c r="BV92" s="877">
        <f>BV40/BV43</f>
        <v>0.27870564931790687</v>
      </c>
      <c r="BW92" s="877">
        <f>BW40/BW43</f>
        <v>0.28749318425184439</v>
      </c>
      <c r="BX92" s="877">
        <f>BX40/BX43</f>
        <v>0.27204448241126028</v>
      </c>
      <c r="BY92" s="878">
        <f>AVERAGE(BU92:BX92)</f>
        <v>0.27877856712816357</v>
      </c>
      <c r="BZ92" s="877">
        <f>BZ40/BZ43</f>
        <v>0.27874665211246735</v>
      </c>
      <c r="CA92" s="877">
        <f>CA40/CA43</f>
        <v>0.27210806536599108</v>
      </c>
      <c r="CB92" s="877">
        <f>CB40/CB43</f>
        <v>0.27336681769466115</v>
      </c>
      <c r="CC92" s="877">
        <f>CC40/CC43</f>
        <v>0.28148946263380376</v>
      </c>
      <c r="CD92" s="892"/>
      <c r="CE92" s="877">
        <f>CE40/CE43</f>
        <v>0.2730063283235592</v>
      </c>
      <c r="CF92" s="877">
        <f>CF40/CF43</f>
        <v>0.2685377978659173</v>
      </c>
      <c r="CG92" s="877">
        <f>CG40/CG43</f>
        <v>0.27201513898952456</v>
      </c>
      <c r="CH92" s="877">
        <f>CH40/CH43</f>
        <v>0.27374731821817555</v>
      </c>
      <c r="CI92" s="892"/>
      <c r="CJ92" s="1817">
        <f>CH92+0.002</f>
        <v>0.27574731821817555</v>
      </c>
      <c r="CK92" s="1817">
        <f>CJ92+0.002</f>
        <v>0.27774731821817555</v>
      </c>
      <c r="CL92" s="1817">
        <f t="shared" ref="CL92:CM92" si="244">CK92+0.002</f>
        <v>0.27974731821817556</v>
      </c>
      <c r="CM92" s="1818">
        <f t="shared" si="244"/>
        <v>0.28174731821817556</v>
      </c>
      <c r="CN92" s="892"/>
      <c r="CO92" s="1816"/>
      <c r="CP92" s="862"/>
      <c r="CQ92" s="863"/>
      <c r="CR92" s="862"/>
    </row>
    <row r="93" spans="1:96">
      <c r="A93" s="660" t="s">
        <v>169</v>
      </c>
      <c r="B93" s="660"/>
      <c r="C93" s="877">
        <f t="shared" ref="C93:L93" si="245">C41/C43</f>
        <v>0.24</v>
      </c>
      <c r="D93" s="877">
        <f t="shared" si="245"/>
        <v>0.31</v>
      </c>
      <c r="E93" s="877">
        <f t="shared" si="245"/>
        <v>0.21999999999999997</v>
      </c>
      <c r="F93" s="877">
        <f t="shared" si="245"/>
        <v>0.23371002494896825</v>
      </c>
      <c r="G93" s="878">
        <f t="shared" si="245"/>
        <v>0.25348290667794293</v>
      </c>
      <c r="H93" s="877">
        <f t="shared" si="245"/>
        <v>0.26</v>
      </c>
      <c r="I93" s="877">
        <f t="shared" si="245"/>
        <v>0.24</v>
      </c>
      <c r="J93" s="877">
        <f t="shared" si="245"/>
        <v>0.21</v>
      </c>
      <c r="K93" s="877">
        <f t="shared" si="245"/>
        <v>0.19601393498815553</v>
      </c>
      <c r="L93" s="878">
        <f t="shared" si="245"/>
        <v>0.22613557145162894</v>
      </c>
      <c r="M93" s="860">
        <f>1-SUM(M91:M92)</f>
        <v>0.20577982114889104</v>
      </c>
      <c r="N93" s="860">
        <f>1-SUM(N91:N92)</f>
        <v>0.23784773197228759</v>
      </c>
      <c r="O93" s="860">
        <f>1-SUM(O91:O92)</f>
        <v>0.24448956825289381</v>
      </c>
      <c r="P93" s="860">
        <f>1-SUM(P91:P92)</f>
        <v>0.19266229021768799</v>
      </c>
      <c r="Q93" s="878">
        <f t="shared" ref="Q93:AL93" si="246">Q41/Q43</f>
        <v>0.21957923891039891</v>
      </c>
      <c r="R93" s="877">
        <f t="shared" si="246"/>
        <v>0.22609094195109158</v>
      </c>
      <c r="S93" s="877">
        <f t="shared" si="246"/>
        <v>0.22751380811295219</v>
      </c>
      <c r="T93" s="877">
        <f t="shared" si="246"/>
        <v>0.2088117053451338</v>
      </c>
      <c r="U93" s="877">
        <f t="shared" si="246"/>
        <v>0.1890561627186835</v>
      </c>
      <c r="V93" s="878">
        <f t="shared" si="246"/>
        <v>0.2127109333419738</v>
      </c>
      <c r="W93" s="877">
        <f t="shared" si="246"/>
        <v>0.22077389285276244</v>
      </c>
      <c r="X93" s="877">
        <f t="shared" si="246"/>
        <v>0.2187372109291997</v>
      </c>
      <c r="Y93" s="877">
        <f t="shared" si="246"/>
        <v>0.21702574126507324</v>
      </c>
      <c r="Z93" s="877">
        <f t="shared" si="246"/>
        <v>0.18672691042398565</v>
      </c>
      <c r="AA93" s="878">
        <f t="shared" si="246"/>
        <v>0.21049462422463067</v>
      </c>
      <c r="AB93" s="877">
        <f>AB41/AB43</f>
        <v>0.20565144825608181</v>
      </c>
      <c r="AC93" s="877">
        <f>AC41/AC43</f>
        <v>0.23337571759492398</v>
      </c>
      <c r="AD93" s="877">
        <f>AD41/AD43</f>
        <v>0.21005129601737635</v>
      </c>
      <c r="AE93" s="877">
        <f>AE41/AE43</f>
        <v>0.18891779968483161</v>
      </c>
      <c r="AF93" s="878">
        <f>AF41/AF43</f>
        <v>0.20908864986603498</v>
      </c>
      <c r="AG93" s="877">
        <f t="shared" si="246"/>
        <v>0.20849790655166944</v>
      </c>
      <c r="AH93" s="877">
        <f t="shared" si="246"/>
        <v>0.20279595534733499</v>
      </c>
      <c r="AI93" s="877">
        <f t="shared" si="246"/>
        <v>0.19901700861585139</v>
      </c>
      <c r="AJ93" s="877">
        <f t="shared" si="246"/>
        <v>0.18272386966355761</v>
      </c>
      <c r="AK93" s="878">
        <f t="shared" si="246"/>
        <v>0.19715752430189737</v>
      </c>
      <c r="AL93" s="877">
        <f t="shared" si="246"/>
        <v>0.1904665644705737</v>
      </c>
      <c r="AM93" s="877">
        <f t="shared" ref="AM93:AR93" si="247">AM41/AM43</f>
        <v>0.23509222154820347</v>
      </c>
      <c r="AN93" s="877">
        <f t="shared" si="247"/>
        <v>0.18224708286325156</v>
      </c>
      <c r="AO93" s="877">
        <f t="shared" si="247"/>
        <v>0.19447154542604017</v>
      </c>
      <c r="AP93" s="878">
        <f t="shared" si="247"/>
        <v>0.20050901019556749</v>
      </c>
      <c r="AQ93" s="877">
        <f t="shared" si="247"/>
        <v>0.23245463446890222</v>
      </c>
      <c r="AR93" s="877">
        <f t="shared" si="247"/>
        <v>0.2436591156465481</v>
      </c>
      <c r="AS93" s="877">
        <f>AS41/AS43</f>
        <v>0.21032046990209413</v>
      </c>
      <c r="AT93" s="877">
        <f>AT41/AT43</f>
        <v>0.1757599206637413</v>
      </c>
      <c r="AU93" s="878">
        <f>AVERAGE(AQ93:AT93)</f>
        <v>0.21554853517032141</v>
      </c>
      <c r="AV93" s="877">
        <f>AV41/AV43</f>
        <v>0.20367998136718296</v>
      </c>
      <c r="AW93" s="877">
        <f>AW41/AW43</f>
        <v>0.22310942860021105</v>
      </c>
      <c r="AX93" s="877">
        <f>AX41/AX43</f>
        <v>0.19882482311255262</v>
      </c>
      <c r="AY93" s="877">
        <f>AY41/AY43</f>
        <v>0.18909743180686267</v>
      </c>
      <c r="AZ93" s="878">
        <f>AVERAGE(AV93:AY93)</f>
        <v>0.20367791622170231</v>
      </c>
      <c r="BA93" s="877">
        <f>BA41/BA43</f>
        <v>0.20073834345620245</v>
      </c>
      <c r="BB93" s="877">
        <f>BB41/BB43</f>
        <v>0.21403879477588966</v>
      </c>
      <c r="BC93" s="877">
        <f>BC41/BC43</f>
        <v>0.20972905966372291</v>
      </c>
      <c r="BD93" s="877">
        <f>BD41/BD43</f>
        <v>0.18773417951137042</v>
      </c>
      <c r="BE93" s="878">
        <f>AVERAGE(BA93:BD93)</f>
        <v>0.20306009435179637</v>
      </c>
      <c r="BF93" s="877">
        <f>BF41/BF43</f>
        <v>0.20225407091330055</v>
      </c>
      <c r="BG93" s="877">
        <f>BG41/BG43</f>
        <v>0.22064139858721915</v>
      </c>
      <c r="BH93" s="877">
        <f>BH41/BH43</f>
        <v>0.21497714190527312</v>
      </c>
      <c r="BI93" s="877">
        <f>BI41/BI43</f>
        <v>0.19151607209119254</v>
      </c>
      <c r="BJ93" s="878">
        <f>AVERAGE(BF93:BI93)</f>
        <v>0.20734717087424637</v>
      </c>
      <c r="BK93" s="877">
        <f>BK41/BK43</f>
        <v>0.20845880383738824</v>
      </c>
      <c r="BL93" s="877">
        <f>BL41/BL43</f>
        <v>0.21997943691993166</v>
      </c>
      <c r="BM93" s="877">
        <f>BM41/BM43</f>
        <v>0.19816725436857299</v>
      </c>
      <c r="BN93" s="877">
        <f>BN41/BN43</f>
        <v>0.15551517280903604</v>
      </c>
      <c r="BO93" s="878">
        <f>AVERAGE(BK93:BN93)</f>
        <v>0.19553016698373224</v>
      </c>
      <c r="BP93" s="877">
        <f>BP41/BP43</f>
        <v>0.16368035835699715</v>
      </c>
      <c r="BQ93" s="877">
        <f>BQ41/BQ43</f>
        <v>0.1801147342090679</v>
      </c>
      <c r="BR93" s="877">
        <f>BR41/BR43</f>
        <v>0.14740269880217899</v>
      </c>
      <c r="BS93" s="877">
        <f>BS41/BS43</f>
        <v>0.13835472474397389</v>
      </c>
      <c r="BT93" s="878">
        <f>AVERAGE(BP93:BS93)</f>
        <v>0.15738812902805449</v>
      </c>
      <c r="BU93" s="877">
        <f>BU41/BU43</f>
        <v>0.14199666240225897</v>
      </c>
      <c r="BV93" s="877">
        <f>BV41/BV43</f>
        <v>0.14550517227433793</v>
      </c>
      <c r="BW93" s="877">
        <f>BW41/BW43</f>
        <v>0.1392711912285427</v>
      </c>
      <c r="BX93" s="877">
        <f>BX41/BX43</f>
        <v>0.13380240721859396</v>
      </c>
      <c r="BY93" s="878">
        <f>AVERAGE(BU93:BX93)</f>
        <v>0.1401438582809334</v>
      </c>
      <c r="BZ93" s="877">
        <f>BZ41/BZ43</f>
        <v>0.13821670094373378</v>
      </c>
      <c r="CA93" s="877">
        <f>CA41/CA43</f>
        <v>0.14163060364950822</v>
      </c>
      <c r="CB93" s="877">
        <f>CB41/CB43</f>
        <v>0.14474369982383481</v>
      </c>
      <c r="CC93" s="877">
        <f>CC41/CC43</f>
        <v>0.14544841860236676</v>
      </c>
      <c r="CD93" s="892"/>
      <c r="CE93" s="877">
        <f>CE41/CE43</f>
        <v>0.14670150554873024</v>
      </c>
      <c r="CF93" s="877">
        <f>CF41/CF43</f>
        <v>0.15212815781603553</v>
      </c>
      <c r="CG93" s="877">
        <f>CG41/CG43</f>
        <v>0.15056429019148604</v>
      </c>
      <c r="CH93" s="877">
        <f>CH41/CH43</f>
        <v>0.15269648334616606</v>
      </c>
      <c r="CI93" s="892"/>
      <c r="CJ93" s="1817">
        <f>CE93+0.01</f>
        <v>0.15670150554873025</v>
      </c>
      <c r="CK93" s="1817">
        <f t="shared" ref="CK93:CM93" si="248">CF93+0.01</f>
        <v>0.16212815781603554</v>
      </c>
      <c r="CL93" s="1817">
        <f t="shared" si="248"/>
        <v>0.16056429019148605</v>
      </c>
      <c r="CM93" s="1818">
        <f t="shared" si="248"/>
        <v>0.16269648334616607</v>
      </c>
      <c r="CN93" s="892"/>
      <c r="CO93" s="1816"/>
      <c r="CP93" s="862"/>
      <c r="CQ93" s="863"/>
      <c r="CR93" s="862"/>
    </row>
    <row r="94" spans="1:96">
      <c r="A94" s="893" t="s">
        <v>165</v>
      </c>
      <c r="B94" s="893"/>
      <c r="C94" s="894" t="s">
        <v>131</v>
      </c>
      <c r="D94" s="894" t="s">
        <v>131</v>
      </c>
      <c r="E94" s="894" t="s">
        <v>131</v>
      </c>
      <c r="F94" s="894" t="s">
        <v>131</v>
      </c>
      <c r="G94" s="895" t="s">
        <v>131</v>
      </c>
      <c r="H94" s="896" t="s">
        <v>131</v>
      </c>
      <c r="I94" s="896" t="s">
        <v>131</v>
      </c>
      <c r="J94" s="896" t="s">
        <v>131</v>
      </c>
      <c r="K94" s="896" t="s">
        <v>131</v>
      </c>
      <c r="L94" s="897" t="s">
        <v>131</v>
      </c>
      <c r="M94" s="896" t="s">
        <v>131</v>
      </c>
      <c r="N94" s="896" t="s">
        <v>131</v>
      </c>
      <c r="O94" s="896" t="s">
        <v>131</v>
      </c>
      <c r="P94" s="896" t="s">
        <v>131</v>
      </c>
      <c r="Q94" s="897" t="s">
        <v>131</v>
      </c>
      <c r="R94" s="896" t="str">
        <f t="shared" ref="R94:AF94" si="249">IF(R42/R43=0,"-",R42/R43)</f>
        <v>-</v>
      </c>
      <c r="S94" s="896" t="str">
        <f t="shared" si="249"/>
        <v>-</v>
      </c>
      <c r="T94" s="896" t="str">
        <f t="shared" si="249"/>
        <v>-</v>
      </c>
      <c r="U94" s="896" t="str">
        <f t="shared" si="249"/>
        <v>-</v>
      </c>
      <c r="V94" s="897" t="str">
        <f t="shared" si="249"/>
        <v>-</v>
      </c>
      <c r="W94" s="896" t="str">
        <f t="shared" si="249"/>
        <v>-</v>
      </c>
      <c r="X94" s="896" t="str">
        <f t="shared" si="249"/>
        <v>-</v>
      </c>
      <c r="Y94" s="896" t="str">
        <f t="shared" si="249"/>
        <v>-</v>
      </c>
      <c r="Z94" s="896" t="str">
        <f t="shared" si="249"/>
        <v>-</v>
      </c>
      <c r="AA94" s="897" t="str">
        <f t="shared" si="249"/>
        <v>-</v>
      </c>
      <c r="AB94" s="896" t="str">
        <f t="shared" si="249"/>
        <v>-</v>
      </c>
      <c r="AC94" s="896" t="str">
        <f t="shared" si="249"/>
        <v>-</v>
      </c>
      <c r="AD94" s="896" t="str">
        <f t="shared" si="249"/>
        <v>-</v>
      </c>
      <c r="AE94" s="896" t="str">
        <f t="shared" si="249"/>
        <v>-</v>
      </c>
      <c r="AF94" s="897" t="str">
        <f t="shared" si="249"/>
        <v>-</v>
      </c>
      <c r="AG94" s="896" t="str">
        <f t="shared" ref="AG94:AZ94" si="250">IF(AG42/AG43=0,"-",AG42/AG43)</f>
        <v>-</v>
      </c>
      <c r="AH94" s="896" t="str">
        <f t="shared" si="250"/>
        <v>-</v>
      </c>
      <c r="AI94" s="896" t="str">
        <f t="shared" si="250"/>
        <v>-</v>
      </c>
      <c r="AJ94" s="896" t="str">
        <f t="shared" si="250"/>
        <v>-</v>
      </c>
      <c r="AK94" s="897" t="str">
        <f t="shared" si="250"/>
        <v>-</v>
      </c>
      <c r="AL94" s="896" t="str">
        <f t="shared" si="250"/>
        <v>-</v>
      </c>
      <c r="AM94" s="896" t="str">
        <f t="shared" si="250"/>
        <v>-</v>
      </c>
      <c r="AN94" s="896" t="str">
        <f t="shared" si="250"/>
        <v>-</v>
      </c>
      <c r="AO94" s="896" t="str">
        <f t="shared" si="250"/>
        <v>-</v>
      </c>
      <c r="AP94" s="897" t="str">
        <f t="shared" si="250"/>
        <v>-</v>
      </c>
      <c r="AQ94" s="896" t="str">
        <f t="shared" si="250"/>
        <v>-</v>
      </c>
      <c r="AR94" s="896" t="str">
        <f t="shared" si="250"/>
        <v>-</v>
      </c>
      <c r="AS94" s="896" t="str">
        <f t="shared" si="250"/>
        <v>-</v>
      </c>
      <c r="AT94" s="896" t="str">
        <f t="shared" si="250"/>
        <v>-</v>
      </c>
      <c r="AU94" s="897" t="str">
        <f t="shared" si="250"/>
        <v>-</v>
      </c>
      <c r="AV94" s="896" t="str">
        <f t="shared" si="250"/>
        <v>-</v>
      </c>
      <c r="AW94" s="896" t="str">
        <f t="shared" si="250"/>
        <v>-</v>
      </c>
      <c r="AX94" s="896" t="str">
        <f t="shared" si="250"/>
        <v>-</v>
      </c>
      <c r="AY94" s="896" t="str">
        <f t="shared" si="250"/>
        <v>-</v>
      </c>
      <c r="AZ94" s="897" t="str">
        <f t="shared" si="250"/>
        <v>-</v>
      </c>
      <c r="BA94" s="896" t="str">
        <f t="shared" ref="BA94:BJ94" si="251">IF(BA42/BA43=0,"-",BA42/BA43)</f>
        <v>-</v>
      </c>
      <c r="BB94" s="896" t="str">
        <f t="shared" si="251"/>
        <v>-</v>
      </c>
      <c r="BC94" s="896" t="str">
        <f t="shared" si="251"/>
        <v>-</v>
      </c>
      <c r="BD94" s="896" t="str">
        <f t="shared" si="251"/>
        <v>-</v>
      </c>
      <c r="BE94" s="897" t="str">
        <f t="shared" si="251"/>
        <v>-</v>
      </c>
      <c r="BF94" s="896" t="str">
        <f t="shared" si="251"/>
        <v>-</v>
      </c>
      <c r="BG94" s="896" t="str">
        <f t="shared" si="251"/>
        <v>-</v>
      </c>
      <c r="BH94" s="896" t="str">
        <f t="shared" si="251"/>
        <v>-</v>
      </c>
      <c r="BI94" s="896" t="str">
        <f t="shared" si="251"/>
        <v>-</v>
      </c>
      <c r="BJ94" s="897" t="str">
        <f t="shared" si="251"/>
        <v>-</v>
      </c>
      <c r="BK94" s="896" t="str">
        <f t="shared" ref="BK94:BT94" si="252">IF(BK42/BK43=0,"-",BK42/BK43)</f>
        <v>-</v>
      </c>
      <c r="BL94" s="896" t="str">
        <f t="shared" si="252"/>
        <v>-</v>
      </c>
      <c r="BM94" s="896" t="str">
        <f t="shared" si="252"/>
        <v>-</v>
      </c>
      <c r="BN94" s="896" t="str">
        <f>IF(BN42/BN43=0,"-",BN42/BN43)</f>
        <v>-</v>
      </c>
      <c r="BO94" s="897" t="str">
        <f t="shared" si="252"/>
        <v>-</v>
      </c>
      <c r="BP94" s="896" t="str">
        <f t="shared" si="252"/>
        <v>-</v>
      </c>
      <c r="BQ94" s="896" t="str">
        <f t="shared" si="252"/>
        <v>-</v>
      </c>
      <c r="BR94" s="896" t="str">
        <f t="shared" si="252"/>
        <v>-</v>
      </c>
      <c r="BS94" s="896" t="str">
        <f t="shared" si="252"/>
        <v>-</v>
      </c>
      <c r="BT94" s="897" t="str">
        <f t="shared" si="252"/>
        <v>-</v>
      </c>
      <c r="BU94" s="896" t="str">
        <f t="shared" ref="BU94:CB94" si="253">IF(BU42/BU43=0,"-",BU42/BU43)</f>
        <v>-</v>
      </c>
      <c r="BV94" s="896" t="str">
        <f t="shared" si="253"/>
        <v>-</v>
      </c>
      <c r="BW94" s="896" t="str">
        <f t="shared" si="253"/>
        <v>-</v>
      </c>
      <c r="BX94" s="896" t="str">
        <f t="shared" si="253"/>
        <v>-</v>
      </c>
      <c r="BY94" s="897" t="str">
        <f t="shared" si="253"/>
        <v>-</v>
      </c>
      <c r="BZ94" s="896" t="str">
        <f t="shared" si="253"/>
        <v>-</v>
      </c>
      <c r="CA94" s="896" t="str">
        <f t="shared" si="253"/>
        <v>-</v>
      </c>
      <c r="CB94" s="896" t="str">
        <f t="shared" si="253"/>
        <v>-</v>
      </c>
      <c r="CC94" s="896" t="str">
        <f t="shared" ref="CC94:CE94" si="254">IF(CC42/CC43=0,"-",CC42/CC43)</f>
        <v>-</v>
      </c>
      <c r="CD94" s="897"/>
      <c r="CE94" s="896" t="str">
        <f t="shared" si="254"/>
        <v>-</v>
      </c>
      <c r="CF94" s="896" t="str">
        <f t="shared" ref="CF94:CG94" si="255">IF(CF42/CF43=0,"-",CF42/CF43)</f>
        <v>-</v>
      </c>
      <c r="CG94" s="896" t="str">
        <f t="shared" si="255"/>
        <v>-</v>
      </c>
      <c r="CH94" s="896" t="str">
        <f t="shared" ref="CH94" si="256">IF(CH42/CH43=0,"-",CH42/CH43)</f>
        <v>-</v>
      </c>
      <c r="CI94" s="897"/>
      <c r="CJ94" s="896" t="str">
        <f t="shared" ref="CJ94:CL94" si="257">IF(CJ42/CJ43=0,"-",CJ42/CJ43)</f>
        <v>-</v>
      </c>
      <c r="CK94" s="896" t="str">
        <f t="shared" si="257"/>
        <v>-</v>
      </c>
      <c r="CL94" s="896" t="str">
        <f t="shared" si="257"/>
        <v>-</v>
      </c>
      <c r="CM94" s="896" t="str">
        <f>IF(CM42/CM43=0,"-",CM42/CM43)</f>
        <v>-</v>
      </c>
      <c r="CN94" s="897"/>
      <c r="CO94" s="896"/>
      <c r="CP94" s="898"/>
      <c r="CQ94" s="899"/>
      <c r="CR94" s="898"/>
    </row>
    <row r="95" spans="1:96">
      <c r="A95" s="172" t="s">
        <v>776</v>
      </c>
      <c r="B95" s="172"/>
      <c r="C95" s="424"/>
      <c r="D95" s="424"/>
      <c r="E95" s="424"/>
      <c r="F95" s="424"/>
      <c r="G95" s="439"/>
      <c r="H95" s="424"/>
      <c r="I95" s="424"/>
      <c r="J95" s="424"/>
      <c r="K95" s="424"/>
      <c r="L95" s="439"/>
      <c r="M95" s="424"/>
      <c r="N95" s="424"/>
      <c r="O95" s="424"/>
      <c r="P95" s="424"/>
      <c r="Q95" s="439"/>
      <c r="R95" s="424"/>
      <c r="S95" s="424"/>
      <c r="T95" s="424"/>
      <c r="U95" s="424"/>
      <c r="V95" s="439"/>
      <c r="W95" s="424"/>
      <c r="X95" s="424"/>
      <c r="Y95" s="424"/>
      <c r="Z95" s="424"/>
      <c r="AA95" s="439"/>
      <c r="AB95" s="424"/>
      <c r="AC95" s="424"/>
      <c r="AD95" s="424"/>
      <c r="AE95" s="424"/>
      <c r="AF95" s="439"/>
      <c r="AG95" s="200"/>
      <c r="AH95" s="200"/>
      <c r="AI95" s="200"/>
      <c r="AJ95" s="200"/>
      <c r="AK95" s="200"/>
      <c r="AL95" s="200"/>
      <c r="AM95" s="200"/>
      <c r="AN95" s="200"/>
      <c r="AO95" s="200"/>
      <c r="AP95" s="200"/>
      <c r="AQ95" s="200"/>
      <c r="AR95" s="200"/>
      <c r="AS95" s="200"/>
      <c r="AT95" s="200"/>
      <c r="AU95" s="200"/>
      <c r="AV95" s="200"/>
      <c r="AW95" s="200"/>
      <c r="AX95" s="200"/>
      <c r="AY95" s="200"/>
      <c r="AZ95" s="200"/>
      <c r="BA95" s="200"/>
      <c r="BB95" s="200"/>
      <c r="BC95" s="200"/>
      <c r="BD95" s="200"/>
      <c r="BE95" s="200"/>
      <c r="BF95" s="200"/>
      <c r="BG95" s="200"/>
      <c r="BH95" s="200"/>
      <c r="BI95" s="200"/>
      <c r="BJ95" s="200"/>
      <c r="BK95" s="200"/>
      <c r="BL95" s="200"/>
      <c r="BM95" s="200"/>
      <c r="BN95" s="200"/>
      <c r="BO95" s="200"/>
      <c r="BP95" s="200"/>
      <c r="BQ95" s="200"/>
      <c r="BR95" s="200"/>
      <c r="BS95" s="200"/>
      <c r="BT95" s="200"/>
      <c r="BU95" s="200"/>
      <c r="BV95" s="200"/>
      <c r="BW95" s="200"/>
      <c r="BX95" s="200"/>
      <c r="BY95" s="200"/>
      <c r="BZ95" s="200"/>
      <c r="CA95" s="200"/>
      <c r="CB95" s="200"/>
      <c r="CC95" s="200"/>
      <c r="CD95" s="200"/>
      <c r="CE95" s="200"/>
      <c r="CF95" s="200"/>
      <c r="CG95" s="200"/>
      <c r="CH95" s="200"/>
      <c r="CI95" s="200"/>
      <c r="CJ95" s="200"/>
      <c r="CK95" s="200"/>
      <c r="CL95" s="200"/>
      <c r="CM95" s="200"/>
      <c r="CN95" s="200"/>
      <c r="CO95" s="200"/>
      <c r="CP95" s="200"/>
      <c r="CQ95" s="201"/>
      <c r="CR95" s="200"/>
    </row>
    <row r="96" spans="1:96">
      <c r="A96" s="172" t="s">
        <v>60</v>
      </c>
      <c r="B96" s="172"/>
      <c r="C96" s="424"/>
      <c r="D96" s="424"/>
      <c r="E96" s="424"/>
      <c r="F96" s="424"/>
      <c r="G96" s="439"/>
      <c r="H96" s="424"/>
      <c r="I96" s="424"/>
      <c r="J96" s="424"/>
      <c r="K96" s="424"/>
      <c r="L96" s="439"/>
      <c r="M96" s="424"/>
      <c r="N96" s="424"/>
      <c r="O96" s="424"/>
      <c r="P96" s="424"/>
      <c r="Q96" s="439"/>
      <c r="R96" s="424"/>
      <c r="S96" s="424"/>
      <c r="T96" s="424"/>
      <c r="U96" s="424"/>
      <c r="V96" s="439"/>
      <c r="W96" s="424"/>
      <c r="X96" s="424"/>
      <c r="Y96" s="424"/>
      <c r="Z96" s="424"/>
      <c r="AA96" s="439"/>
      <c r="AB96" s="424"/>
      <c r="AC96" s="424"/>
      <c r="AD96" s="424"/>
      <c r="AE96" s="424"/>
      <c r="AF96" s="439"/>
      <c r="AG96" s="200"/>
      <c r="AH96" s="200"/>
      <c r="AI96" s="200"/>
      <c r="AJ96" s="200"/>
      <c r="AK96" s="200"/>
      <c r="AL96" s="200"/>
      <c r="AM96" s="200"/>
      <c r="AN96" s="200"/>
      <c r="AO96" s="200"/>
      <c r="AP96" s="200"/>
      <c r="AQ96" s="200"/>
      <c r="AR96" s="200"/>
      <c r="AS96" s="200"/>
      <c r="AT96" s="200"/>
      <c r="AU96" s="200"/>
      <c r="AV96" s="200"/>
      <c r="AW96" s="200"/>
      <c r="AX96" s="200"/>
      <c r="AY96" s="200"/>
      <c r="AZ96" s="200"/>
      <c r="BA96" s="200"/>
      <c r="BB96" s="200"/>
      <c r="BC96" s="200"/>
      <c r="BD96" s="200"/>
      <c r="BE96" s="200"/>
      <c r="BF96" s="200"/>
      <c r="BG96" s="200"/>
      <c r="BH96" s="200"/>
      <c r="BI96" s="200"/>
      <c r="BJ96" s="200"/>
      <c r="BK96" s="200"/>
      <c r="BL96" s="200"/>
      <c r="BM96" s="200"/>
      <c r="BN96" s="200"/>
      <c r="BO96" s="200"/>
      <c r="BP96" s="200"/>
      <c r="BQ96" s="200"/>
      <c r="BR96" s="200"/>
      <c r="BS96" s="200"/>
      <c r="BT96" s="200"/>
      <c r="BU96" s="200"/>
      <c r="BV96" s="200"/>
      <c r="BW96" s="200"/>
      <c r="BX96" s="200"/>
      <c r="BY96" s="200"/>
      <c r="BZ96" s="200"/>
      <c r="CA96" s="200"/>
      <c r="CB96" s="200"/>
      <c r="CC96" s="200"/>
      <c r="CD96" s="200"/>
      <c r="CE96" s="200"/>
      <c r="CF96" s="200"/>
      <c r="CG96" s="200"/>
      <c r="CH96" s="200"/>
      <c r="CI96" s="200"/>
      <c r="CJ96" s="200"/>
      <c r="CK96" s="200"/>
      <c r="CL96" s="200"/>
      <c r="CM96" s="200"/>
      <c r="CN96" s="200"/>
      <c r="CO96" s="200"/>
      <c r="CP96" s="200"/>
      <c r="CQ96" s="201"/>
      <c r="CR96" s="200"/>
    </row>
    <row r="97" spans="1:96">
      <c r="A97" s="172" t="s">
        <v>612</v>
      </c>
      <c r="B97" s="172"/>
      <c r="C97" s="424"/>
      <c r="D97" s="424"/>
      <c r="E97" s="424"/>
      <c r="F97" s="424"/>
      <c r="G97" s="439"/>
      <c r="H97" s="424"/>
      <c r="I97" s="424"/>
      <c r="J97" s="424"/>
      <c r="K97" s="424"/>
      <c r="L97" s="439"/>
      <c r="M97" s="424"/>
      <c r="N97" s="424"/>
      <c r="O97" s="424"/>
      <c r="P97" s="424"/>
      <c r="Q97" s="439"/>
      <c r="R97" s="424"/>
      <c r="S97" s="424"/>
      <c r="T97" s="424"/>
      <c r="U97" s="424"/>
      <c r="V97" s="439"/>
      <c r="W97" s="424"/>
      <c r="X97" s="424"/>
      <c r="Y97" s="424"/>
      <c r="Z97" s="424"/>
      <c r="AA97" s="439"/>
      <c r="AB97" s="424"/>
      <c r="AC97" s="424"/>
      <c r="AD97" s="424"/>
      <c r="AE97" s="424"/>
      <c r="AF97" s="439"/>
      <c r="AG97" s="200"/>
      <c r="AH97" s="200"/>
      <c r="AI97" s="200"/>
      <c r="AJ97" s="200"/>
      <c r="AK97" s="200"/>
      <c r="AL97" s="200"/>
      <c r="AM97" s="200"/>
      <c r="AN97" s="200"/>
      <c r="AO97" s="200"/>
      <c r="AP97" s="200"/>
      <c r="AQ97" s="200"/>
      <c r="AR97" s="200"/>
      <c r="AS97" s="200"/>
      <c r="AT97" s="200"/>
      <c r="AU97" s="200"/>
      <c r="AV97" s="200"/>
      <c r="AW97" s="200"/>
      <c r="AX97" s="200"/>
      <c r="AY97" s="200"/>
      <c r="AZ97" s="200"/>
      <c r="BA97" s="200"/>
      <c r="BB97" s="200"/>
      <c r="BC97" s="200"/>
      <c r="BD97" s="200"/>
      <c r="BE97" s="200"/>
      <c r="BF97" s="200"/>
      <c r="BG97" s="200"/>
      <c r="BH97" s="200"/>
      <c r="BI97" s="200"/>
      <c r="BJ97" s="200"/>
      <c r="BK97" s="200"/>
      <c r="BL97" s="200"/>
      <c r="BM97" s="200"/>
      <c r="BN97" s="200"/>
      <c r="BO97" s="200"/>
      <c r="BP97" s="200"/>
      <c r="BQ97" s="200"/>
      <c r="BR97" s="200"/>
      <c r="BS97" s="200"/>
      <c r="BT97" s="200"/>
      <c r="BU97" s="200"/>
      <c r="BV97" s="200"/>
      <c r="BW97" s="200"/>
      <c r="BX97" s="200"/>
      <c r="BY97" s="200"/>
      <c r="BZ97" s="200"/>
      <c r="CA97" s="200"/>
      <c r="CB97" s="200"/>
      <c r="CC97" s="200"/>
      <c r="CD97" s="200"/>
      <c r="CE97" s="200"/>
      <c r="CF97" s="200"/>
      <c r="CG97" s="200"/>
      <c r="CH97" s="200"/>
      <c r="CI97" s="200"/>
      <c r="CJ97" s="200"/>
      <c r="CK97" s="200"/>
      <c r="CL97" s="200"/>
      <c r="CM97" s="200"/>
      <c r="CN97" s="200"/>
      <c r="CO97" s="200"/>
      <c r="CP97" s="200"/>
      <c r="CQ97" s="201"/>
      <c r="CR97" s="200"/>
    </row>
    <row r="98" spans="1:96">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0"/>
      <c r="AK98" s="90"/>
      <c r="AL98" s="90"/>
      <c r="AM98" s="358"/>
      <c r="AN98" s="90"/>
      <c r="AO98" s="90"/>
      <c r="AP98" s="90"/>
      <c r="AQ98" s="90"/>
      <c r="AR98" s="90"/>
      <c r="AS98" s="90"/>
      <c r="AT98" s="90"/>
      <c r="AU98" s="90"/>
      <c r="AV98" s="90"/>
      <c r="AW98" s="90"/>
      <c r="AX98" s="90"/>
      <c r="AY98" s="90"/>
      <c r="AZ98" s="90"/>
      <c r="BA98" s="90"/>
      <c r="BB98" s="90"/>
      <c r="BC98" s="90"/>
      <c r="BD98" s="90"/>
      <c r="BE98" s="90"/>
      <c r="BF98" s="90"/>
      <c r="BG98" s="90"/>
      <c r="BH98" s="90"/>
      <c r="BI98" s="90"/>
      <c r="BJ98" s="90"/>
      <c r="BK98" s="90"/>
      <c r="BL98" s="90"/>
      <c r="BM98" s="90"/>
      <c r="BN98" s="90"/>
      <c r="BO98" s="90"/>
      <c r="BP98" s="90"/>
      <c r="BQ98" s="90"/>
      <c r="BR98" s="90"/>
      <c r="BS98" s="90"/>
      <c r="BT98" s="90"/>
      <c r="BU98" s="90"/>
      <c r="BV98" s="90"/>
      <c r="BW98" s="90"/>
      <c r="BX98" s="90"/>
      <c r="BY98" s="90"/>
      <c r="BZ98" s="90"/>
      <c r="CA98" s="90"/>
      <c r="CB98" s="90"/>
      <c r="CC98" s="90"/>
      <c r="CD98" s="90"/>
      <c r="CE98" s="90"/>
      <c r="CF98" s="90"/>
      <c r="CG98" s="90"/>
      <c r="CH98" s="90"/>
      <c r="CI98" s="90"/>
      <c r="CJ98" s="90"/>
      <c r="CK98" s="90"/>
      <c r="CL98" s="90"/>
      <c r="CM98" s="90"/>
      <c r="CN98" s="90"/>
      <c r="CO98" s="90"/>
      <c r="CP98" s="90"/>
      <c r="CQ98" s="90"/>
      <c r="CR98" s="90"/>
    </row>
    <row r="99" spans="1:96">
      <c r="A99" s="90" t="s">
        <v>289</v>
      </c>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433"/>
      <c r="AH99" s="433"/>
      <c r="AI99" s="433"/>
      <c r="AJ99" s="433"/>
      <c r="AK99" s="90"/>
      <c r="AL99" s="433">
        <f>AG92*AL72+AG93*AL73</f>
        <v>4.2185110737665343E-2</v>
      </c>
      <c r="AM99" s="433">
        <f>AH92*AM72+AH93*AM73</f>
        <v>5.6229325720016265E-2</v>
      </c>
      <c r="AN99" s="433">
        <f>AI92*AN72+AI93*AN73</f>
        <v>3.9670068024989874E-2</v>
      </c>
      <c r="AO99" s="433">
        <f>AJ92*AO72+AJ93*AO73</f>
        <v>-1.9660339538153004E-2</v>
      </c>
      <c r="AP99" s="90"/>
      <c r="AQ99" s="433">
        <f>AL92*AQ72+AL93*AQ73</f>
        <v>-3.0513192919421159E-2</v>
      </c>
      <c r="AR99" s="433">
        <f>AM92*AR72+AM93*AR73</f>
        <v>-5.3632625469122744E-2</v>
      </c>
      <c r="AS99" s="433">
        <f>AN92*AS72+AN93*AS73</f>
        <v>-1.6453916886846547E-2</v>
      </c>
      <c r="AT99" s="433">
        <f>AO92*AT72+AO93*AT73</f>
        <v>3.6289061079973442E-2</v>
      </c>
      <c r="AU99" s="90"/>
      <c r="AV99" s="433">
        <f>AQ92*AV72+AQ93*AV73</f>
        <v>3.3515072636188761E-2</v>
      </c>
      <c r="AW99" s="433">
        <f>AR92*AW72+AR93*AW73</f>
        <v>1.7829589589935985E-2</v>
      </c>
      <c r="AX99" s="433">
        <f>AS92*AX72+AS93*AX73</f>
        <v>-6.6789812475352914E-3</v>
      </c>
      <c r="AY99" s="433">
        <f>AT92*AY72+AT93*AY73</f>
        <v>-3.1491940906477993E-3</v>
      </c>
      <c r="AZ99" s="90"/>
      <c r="BA99" s="433">
        <f>AV92*BA72+AV93*BA73</f>
        <v>-6.3589611604619534E-3</v>
      </c>
      <c r="BB99" s="433">
        <f>AW92*BB72+AW93*BB73</f>
        <v>4.8771491356886437E-2</v>
      </c>
      <c r="BC99" s="433">
        <f>AX92*BC72+AX93*BC73</f>
        <v>5.3046171852574826E-2</v>
      </c>
      <c r="BD99" s="433">
        <f>AY92*BD72+AY93*BD73</f>
        <v>1.6049452331893276E-2</v>
      </c>
      <c r="BE99" s="90"/>
      <c r="BF99" s="433">
        <f>BA92*BF72+BA93*BF73</f>
        <v>2.2434802401889112E-2</v>
      </c>
      <c r="BG99" s="433">
        <f>BB92*BG72+BB93*BG73</f>
        <v>-1.4235162938390259E-2</v>
      </c>
      <c r="BH99" s="433">
        <f>BC92*BH72+BC93*BH73</f>
        <v>-2.539823701850577E-2</v>
      </c>
      <c r="BI99" s="433">
        <f>BD92*BI72+BD93*BI73</f>
        <v>-1.2382296455885823E-2</v>
      </c>
      <c r="BJ99" s="90"/>
      <c r="BK99" s="433">
        <f>BF92*BK72+BF93*BK73</f>
        <v>-1.9927386894739774E-2</v>
      </c>
      <c r="BL99" s="433">
        <f>BG92*BL72+BG93*BL73</f>
        <v>-4.3310665855049078E-2</v>
      </c>
      <c r="BM99" s="433">
        <f>BH92*BM72+BH93*BM73</f>
        <v>-1.4237954268491929E-2</v>
      </c>
      <c r="BN99" s="433">
        <f>BI92*BN72+BI93*BN73</f>
        <v>-3.1088600290836776E-2</v>
      </c>
      <c r="BO99" s="90"/>
      <c r="BP99" s="433">
        <f>BK92*BP72+BK93*BP73</f>
        <v>-1.9790626093214782E-2</v>
      </c>
      <c r="BQ99" s="433">
        <f>BL92*BQ72+BL93*BQ73</f>
        <v>1.0037978357206255E-2</v>
      </c>
      <c r="BR99" s="433">
        <f>BM92*BR72+BM93*BR73</f>
        <v>-1.3685646792211875E-2</v>
      </c>
      <c r="BS99" s="433">
        <f>BN92*BS72+BN93*BS73</f>
        <v>-2.4184263876777783E-2</v>
      </c>
      <c r="BT99" s="90"/>
      <c r="BU99" s="433">
        <f>BP92*BU72+BP93*BU73</f>
        <v>-5.2083972280351984E-2</v>
      </c>
      <c r="BV99" s="433">
        <f>BQ92*BV72+BQ93*BV73</f>
        <v>-6.936755637179054E-2</v>
      </c>
      <c r="BW99" s="433">
        <f>BR92*BW72+BR93*BW73</f>
        <v>-6.0074054250314646E-2</v>
      </c>
      <c r="BX99" s="433">
        <f>BS92*BX72+BS93*BX73</f>
        <v>-3.4314394259244055E-2</v>
      </c>
      <c r="BY99" s="90"/>
      <c r="BZ99" s="433">
        <f>BU92*BZ72+BU93*BZ73</f>
        <v>-5.0874849130422284E-3</v>
      </c>
      <c r="CA99" s="433">
        <f>BV92*CA72+BV93*CA73</f>
        <v>1.1553411142824953E-2</v>
      </c>
      <c r="CB99" s="433">
        <f>BW92*CB72+BW93*CB73</f>
        <v>8.1178068054861413E-3</v>
      </c>
      <c r="CC99" s="433">
        <f>BX92*CC72+BX93*CC73</f>
        <v>-2.7283070523432287E-2</v>
      </c>
      <c r="CD99" s="90"/>
      <c r="CE99" s="433">
        <f>BZ92*CE72+BZ93*CE73</f>
        <v>-3.1510303606244898E-2</v>
      </c>
      <c r="CF99" s="433">
        <f>CA92*CF72+CA93*CF73</f>
        <v>-1.2186672350974304E-2</v>
      </c>
      <c r="CG99" s="433">
        <f>CB92*CG72+CB93*CG73</f>
        <v>-5.6842007783801203E-3</v>
      </c>
      <c r="CH99" s="433">
        <f>CC92*CH72+CC93*CH73</f>
        <v>2.8563734882689075E-2</v>
      </c>
      <c r="CI99" s="90"/>
      <c r="CJ99" s="433">
        <f>CE92*CJ72+CE93*CJ73</f>
        <v>3.9377084692141739E-2</v>
      </c>
      <c r="CK99" s="433">
        <f>CF92*CK72+CF93*CK73</f>
        <v>1.5915731363380814E-2</v>
      </c>
      <c r="CL99" s="433">
        <f>CG92*CL72+CG93*CL73</f>
        <v>1.0801418033837946E-2</v>
      </c>
      <c r="CM99" s="433">
        <f>CH92*CM72+CH93*CM73</f>
        <v>1.0847861136251535E-2</v>
      </c>
      <c r="CN99" s="90"/>
      <c r="CO99" s="90"/>
      <c r="CP99" s="90"/>
      <c r="CQ99" s="90"/>
      <c r="CR99" s="90"/>
    </row>
    <row r="100" spans="1:96">
      <c r="A100" s="90" t="s">
        <v>290</v>
      </c>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433"/>
      <c r="AH100" s="433"/>
      <c r="AI100" s="433"/>
      <c r="AJ100" s="433"/>
      <c r="AK100" s="90"/>
      <c r="AL100" s="433">
        <f>AL49/AG43</f>
        <v>4.9121737215644425E-2</v>
      </c>
      <c r="AM100" s="433">
        <f>AM49/AH43</f>
        <v>5.968531754600799E-2</v>
      </c>
      <c r="AN100" s="433">
        <f>AN49/AI43</f>
        <v>4.5556695777551823E-2</v>
      </c>
      <c r="AO100" s="433">
        <f>AO49/AJ43</f>
        <v>7.5723405446158996E-3</v>
      </c>
      <c r="AP100" s="90"/>
      <c r="AQ100" s="433">
        <f>AQ49/AL43</f>
        <v>1.3925621458933456E-2</v>
      </c>
      <c r="AR100" s="433">
        <f>AR49/AM43</f>
        <v>-1.8378912284104154E-2</v>
      </c>
      <c r="AS100" s="433">
        <f>AS49/AN43</f>
        <v>-7.2132426117799018E-3</v>
      </c>
      <c r="AT100" s="433">
        <f>AT49/AO43</f>
        <v>2.4035808985240919E-2</v>
      </c>
      <c r="AU100" s="90"/>
      <c r="AV100" s="433">
        <f>AV49/AQ43</f>
        <v>2.5178346621905164E-2</v>
      </c>
      <c r="AW100" s="433">
        <f>AW49/AR43</f>
        <v>9.7917757598205129E-3</v>
      </c>
      <c r="AX100" s="433">
        <f>AX49/AS43</f>
        <v>0</v>
      </c>
      <c r="AY100" s="433">
        <f>AY49/AT43</f>
        <v>-3.1491940906477976E-3</v>
      </c>
      <c r="AZ100" s="90"/>
      <c r="BA100" s="433">
        <f>BA49/AV43</f>
        <v>-6.8708512868289268E-3</v>
      </c>
      <c r="BB100" s="433">
        <f>BB49/AW43</f>
        <v>2.9691368825123139E-2</v>
      </c>
      <c r="BC100" s="433">
        <f>BC49/AX43</f>
        <v>2.4638525566004488E-2</v>
      </c>
      <c r="BD100" s="433">
        <f>BD49/AY43</f>
        <v>1.4881749617539037E-2</v>
      </c>
      <c r="BE100" s="90"/>
      <c r="BF100" s="433">
        <f>BF49/BA43</f>
        <v>1.7514736704855278E-2</v>
      </c>
      <c r="BG100" s="433">
        <f>BG49/BB43</f>
        <v>-3.896060458710336E-3</v>
      </c>
      <c r="BH100" s="433">
        <f>BH49/BC43</f>
        <v>-1.3916139958863493E-2</v>
      </c>
      <c r="BI100" s="433">
        <f>BI49/BD43</f>
        <v>-1.3019013835739971E-2</v>
      </c>
      <c r="BJ100" s="90"/>
      <c r="BK100" s="433">
        <f>BK49/BF43</f>
        <v>-1.5307782093721896E-2</v>
      </c>
      <c r="BL100" s="433">
        <f>BL49/BG43</f>
        <v>-1.4407056255997381E-2</v>
      </c>
      <c r="BM100" s="433">
        <f>BM49/BH43</f>
        <v>-1.4991948768254087E-2</v>
      </c>
      <c r="BN100" s="433">
        <f>BN49/BI43</f>
        <v>-9.2766952076766048E-3</v>
      </c>
      <c r="BO100" s="90"/>
      <c r="BP100" s="433">
        <f>BP49/BK43</f>
        <v>-1.3493763599183629E-2</v>
      </c>
      <c r="BQ100" s="433">
        <f>BQ49/BL43</f>
        <v>5.6404983825623489E-3</v>
      </c>
      <c r="BR100" s="433">
        <f>BR49/BM43</f>
        <v>8.2402205163402565E-3</v>
      </c>
      <c r="BS100" s="433">
        <f>BS49/BN43</f>
        <v>8.4477377822192445E-3</v>
      </c>
      <c r="BT100" s="90"/>
      <c r="BU100" s="433">
        <f>BU49/BP43</f>
        <v>-2.1997360316761989E-3</v>
      </c>
      <c r="BV100" s="433">
        <f>BV49/BQ43</f>
        <v>-2.3778140586851997E-2</v>
      </c>
      <c r="BW100" s="433">
        <f>BW49/BR43</f>
        <v>-4.9034770924071686E-2</v>
      </c>
      <c r="BX100" s="433">
        <f>BX49/BS43</f>
        <v>-5.4410208249481992E-2</v>
      </c>
      <c r="BY100" s="90"/>
      <c r="BZ100" s="433">
        <f>BZ49/BU43</f>
        <v>-4.0480318361024933E-2</v>
      </c>
      <c r="CA100" s="433">
        <f>CA49/BV43</f>
        <v>-1.5574474383001281E-2</v>
      </c>
      <c r="CB100" s="433">
        <f>CB49/BW43</f>
        <v>-7.5548051845671744E-3</v>
      </c>
      <c r="CC100" s="433">
        <f>CC49/BX43</f>
        <v>-2.4724357855609759E-2</v>
      </c>
      <c r="CD100" s="90"/>
      <c r="CE100" s="433">
        <f>CE49/BZ43</f>
        <v>4.6265004499994608E-3</v>
      </c>
      <c r="CF100" s="433">
        <f>CF49/CA43</f>
        <v>-4.1466809750991783E-3</v>
      </c>
      <c r="CG100" s="433">
        <f>CG49/CB43</f>
        <v>-7.5821381219658632E-3</v>
      </c>
      <c r="CH100" s="433">
        <f>CH49/CC43</f>
        <v>-3.357334127487926E-3</v>
      </c>
      <c r="CI100" s="90"/>
      <c r="CJ100" s="433">
        <f>CJ49/CE43</f>
        <v>3.9377084692141733E-2</v>
      </c>
      <c r="CK100" s="433">
        <f>CK49/CF43</f>
        <v>1.5915731363380814E-2</v>
      </c>
      <c r="CL100" s="433">
        <f>CL49/CG43</f>
        <v>1.0801418033837946E-2</v>
      </c>
      <c r="CM100" s="433">
        <f>CM49/CH43</f>
        <v>1.0847861136251533E-2</v>
      </c>
      <c r="CN100" s="90"/>
      <c r="CO100" s="90"/>
      <c r="CP100" s="90"/>
      <c r="CQ100" s="90"/>
      <c r="CR100" s="90"/>
    </row>
    <row r="108" spans="1:96">
      <c r="BZ108" s="1641"/>
      <c r="CE108" s="1641"/>
      <c r="CJ108" s="1641"/>
    </row>
    <row r="109" spans="1:96">
      <c r="BZ109" s="1641"/>
      <c r="CE109" s="1641"/>
      <c r="CJ109" s="1641"/>
    </row>
    <row r="110" spans="1:96">
      <c r="BZ110" s="1641"/>
      <c r="CE110" s="1641"/>
      <c r="CJ110" s="1641"/>
    </row>
  </sheetData>
  <customSheetViews>
    <customSheetView guid="{5A095E4E-6841-4715-B354-198715F5FF0A}" scale="90" showGridLines="0" hiddenRows="1" hiddenColumns="1" showRuler="0"/>
    <customSheetView guid="{7ADDAC9C-E12E-468B-A7D0-D44A9895D58E}" scale="90" showGridLines="0" hiddenRows="1" hiddenColumns="1" showRuler="0"/>
  </customSheetViews>
  <phoneticPr fontId="2" type="noConversion"/>
  <pageMargins left="0.75" right="0.75" top="1" bottom="1" header="0.5" footer="0.5"/>
  <pageSetup scale="96"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9.5703125" style="1912" bestFit="1" customWidth="1"/>
    <col min="2" max="2" width="19.85546875" style="1938" customWidth="1"/>
    <col min="3" max="3" width="12" style="1912" bestFit="1" customWidth="1"/>
    <col min="4" max="256" width="9.140625" style="1912"/>
    <col min="257" max="257" width="29.5703125" style="1912" bestFit="1" customWidth="1"/>
    <col min="258" max="258" width="19.85546875" style="1912" customWidth="1"/>
    <col min="259" max="259" width="12" style="1912" bestFit="1" customWidth="1"/>
    <col min="260" max="512" width="9.140625" style="1912"/>
    <col min="513" max="513" width="29.5703125" style="1912" bestFit="1" customWidth="1"/>
    <col min="514" max="514" width="19.85546875" style="1912" customWidth="1"/>
    <col min="515" max="515" width="12" style="1912" bestFit="1" customWidth="1"/>
    <col min="516" max="768" width="9.140625" style="1912"/>
    <col min="769" max="769" width="29.5703125" style="1912" bestFit="1" customWidth="1"/>
    <col min="770" max="770" width="19.85546875" style="1912" customWidth="1"/>
    <col min="771" max="771" width="12" style="1912" bestFit="1" customWidth="1"/>
    <col min="772" max="1024" width="9.140625" style="1912"/>
    <col min="1025" max="1025" width="29.5703125" style="1912" bestFit="1" customWidth="1"/>
    <col min="1026" max="1026" width="19.85546875" style="1912" customWidth="1"/>
    <col min="1027" max="1027" width="12" style="1912" bestFit="1" customWidth="1"/>
    <col min="1028" max="1280" width="9.140625" style="1912"/>
    <col min="1281" max="1281" width="29.5703125" style="1912" bestFit="1" customWidth="1"/>
    <col min="1282" max="1282" width="19.85546875" style="1912" customWidth="1"/>
    <col min="1283" max="1283" width="12" style="1912" bestFit="1" customWidth="1"/>
    <col min="1284" max="1536" width="9.140625" style="1912"/>
    <col min="1537" max="1537" width="29.5703125" style="1912" bestFit="1" customWidth="1"/>
    <col min="1538" max="1538" width="19.85546875" style="1912" customWidth="1"/>
    <col min="1539" max="1539" width="12" style="1912" bestFit="1" customWidth="1"/>
    <col min="1540" max="1792" width="9.140625" style="1912"/>
    <col min="1793" max="1793" width="29.5703125" style="1912" bestFit="1" customWidth="1"/>
    <col min="1794" max="1794" width="19.85546875" style="1912" customWidth="1"/>
    <col min="1795" max="1795" width="12" style="1912" bestFit="1" customWidth="1"/>
    <col min="1796" max="2048" width="9.140625" style="1912"/>
    <col min="2049" max="2049" width="29.5703125" style="1912" bestFit="1" customWidth="1"/>
    <col min="2050" max="2050" width="19.85546875" style="1912" customWidth="1"/>
    <col min="2051" max="2051" width="12" style="1912" bestFit="1" customWidth="1"/>
    <col min="2052" max="2304" width="9.140625" style="1912"/>
    <col min="2305" max="2305" width="29.5703125" style="1912" bestFit="1" customWidth="1"/>
    <col min="2306" max="2306" width="19.85546875" style="1912" customWidth="1"/>
    <col min="2307" max="2307" width="12" style="1912" bestFit="1" customWidth="1"/>
    <col min="2308" max="2560" width="9.140625" style="1912"/>
    <col min="2561" max="2561" width="29.5703125" style="1912" bestFit="1" customWidth="1"/>
    <col min="2562" max="2562" width="19.85546875" style="1912" customWidth="1"/>
    <col min="2563" max="2563" width="12" style="1912" bestFit="1" customWidth="1"/>
    <col min="2564" max="2816" width="9.140625" style="1912"/>
    <col min="2817" max="2817" width="29.5703125" style="1912" bestFit="1" customWidth="1"/>
    <col min="2818" max="2818" width="19.85546875" style="1912" customWidth="1"/>
    <col min="2819" max="2819" width="12" style="1912" bestFit="1" customWidth="1"/>
    <col min="2820" max="3072" width="9.140625" style="1912"/>
    <col min="3073" max="3073" width="29.5703125" style="1912" bestFit="1" customWidth="1"/>
    <col min="3074" max="3074" width="19.85546875" style="1912" customWidth="1"/>
    <col min="3075" max="3075" width="12" style="1912" bestFit="1" customWidth="1"/>
    <col min="3076" max="3328" width="9.140625" style="1912"/>
    <col min="3329" max="3329" width="29.5703125" style="1912" bestFit="1" customWidth="1"/>
    <col min="3330" max="3330" width="19.85546875" style="1912" customWidth="1"/>
    <col min="3331" max="3331" width="12" style="1912" bestFit="1" customWidth="1"/>
    <col min="3332" max="3584" width="9.140625" style="1912"/>
    <col min="3585" max="3585" width="29.5703125" style="1912" bestFit="1" customWidth="1"/>
    <col min="3586" max="3586" width="19.85546875" style="1912" customWidth="1"/>
    <col min="3587" max="3587" width="12" style="1912" bestFit="1" customWidth="1"/>
    <col min="3588" max="3840" width="9.140625" style="1912"/>
    <col min="3841" max="3841" width="29.5703125" style="1912" bestFit="1" customWidth="1"/>
    <col min="3842" max="3842" width="19.85546875" style="1912" customWidth="1"/>
    <col min="3843" max="3843" width="12" style="1912" bestFit="1" customWidth="1"/>
    <col min="3844" max="4096" width="9.140625" style="1912"/>
    <col min="4097" max="4097" width="29.5703125" style="1912" bestFit="1" customWidth="1"/>
    <col min="4098" max="4098" width="19.85546875" style="1912" customWidth="1"/>
    <col min="4099" max="4099" width="12" style="1912" bestFit="1" customWidth="1"/>
    <col min="4100" max="4352" width="9.140625" style="1912"/>
    <col min="4353" max="4353" width="29.5703125" style="1912" bestFit="1" customWidth="1"/>
    <col min="4354" max="4354" width="19.85546875" style="1912" customWidth="1"/>
    <col min="4355" max="4355" width="12" style="1912" bestFit="1" customWidth="1"/>
    <col min="4356" max="4608" width="9.140625" style="1912"/>
    <col min="4609" max="4609" width="29.5703125" style="1912" bestFit="1" customWidth="1"/>
    <col min="4610" max="4610" width="19.85546875" style="1912" customWidth="1"/>
    <col min="4611" max="4611" width="12" style="1912" bestFit="1" customWidth="1"/>
    <col min="4612" max="4864" width="9.140625" style="1912"/>
    <col min="4865" max="4865" width="29.5703125" style="1912" bestFit="1" customWidth="1"/>
    <col min="4866" max="4866" width="19.85546875" style="1912" customWidth="1"/>
    <col min="4867" max="4867" width="12" style="1912" bestFit="1" customWidth="1"/>
    <col min="4868" max="5120" width="9.140625" style="1912"/>
    <col min="5121" max="5121" width="29.5703125" style="1912" bestFit="1" customWidth="1"/>
    <col min="5122" max="5122" width="19.85546875" style="1912" customWidth="1"/>
    <col min="5123" max="5123" width="12" style="1912" bestFit="1" customWidth="1"/>
    <col min="5124" max="5376" width="9.140625" style="1912"/>
    <col min="5377" max="5377" width="29.5703125" style="1912" bestFit="1" customWidth="1"/>
    <col min="5378" max="5378" width="19.85546875" style="1912" customWidth="1"/>
    <col min="5379" max="5379" width="12" style="1912" bestFit="1" customWidth="1"/>
    <col min="5380" max="5632" width="9.140625" style="1912"/>
    <col min="5633" max="5633" width="29.5703125" style="1912" bestFit="1" customWidth="1"/>
    <col min="5634" max="5634" width="19.85546875" style="1912" customWidth="1"/>
    <col min="5635" max="5635" width="12" style="1912" bestFit="1" customWidth="1"/>
    <col min="5636" max="5888" width="9.140625" style="1912"/>
    <col min="5889" max="5889" width="29.5703125" style="1912" bestFit="1" customWidth="1"/>
    <col min="5890" max="5890" width="19.85546875" style="1912" customWidth="1"/>
    <col min="5891" max="5891" width="12" style="1912" bestFit="1" customWidth="1"/>
    <col min="5892" max="6144" width="9.140625" style="1912"/>
    <col min="6145" max="6145" width="29.5703125" style="1912" bestFit="1" customWidth="1"/>
    <col min="6146" max="6146" width="19.85546875" style="1912" customWidth="1"/>
    <col min="6147" max="6147" width="12" style="1912" bestFit="1" customWidth="1"/>
    <col min="6148" max="6400" width="9.140625" style="1912"/>
    <col min="6401" max="6401" width="29.5703125" style="1912" bestFit="1" customWidth="1"/>
    <col min="6402" max="6402" width="19.85546875" style="1912" customWidth="1"/>
    <col min="6403" max="6403" width="12" style="1912" bestFit="1" customWidth="1"/>
    <col min="6404" max="6656" width="9.140625" style="1912"/>
    <col min="6657" max="6657" width="29.5703125" style="1912" bestFit="1" customWidth="1"/>
    <col min="6658" max="6658" width="19.85546875" style="1912" customWidth="1"/>
    <col min="6659" max="6659" width="12" style="1912" bestFit="1" customWidth="1"/>
    <col min="6660" max="6912" width="9.140625" style="1912"/>
    <col min="6913" max="6913" width="29.5703125" style="1912" bestFit="1" customWidth="1"/>
    <col min="6914" max="6914" width="19.85546875" style="1912" customWidth="1"/>
    <col min="6915" max="6915" width="12" style="1912" bestFit="1" customWidth="1"/>
    <col min="6916" max="7168" width="9.140625" style="1912"/>
    <col min="7169" max="7169" width="29.5703125" style="1912" bestFit="1" customWidth="1"/>
    <col min="7170" max="7170" width="19.85546875" style="1912" customWidth="1"/>
    <col min="7171" max="7171" width="12" style="1912" bestFit="1" customWidth="1"/>
    <col min="7172" max="7424" width="9.140625" style="1912"/>
    <col min="7425" max="7425" width="29.5703125" style="1912" bestFit="1" customWidth="1"/>
    <col min="7426" max="7426" width="19.85546875" style="1912" customWidth="1"/>
    <col min="7427" max="7427" width="12" style="1912" bestFit="1" customWidth="1"/>
    <col min="7428" max="7680" width="9.140625" style="1912"/>
    <col min="7681" max="7681" width="29.5703125" style="1912" bestFit="1" customWidth="1"/>
    <col min="7682" max="7682" width="19.85546875" style="1912" customWidth="1"/>
    <col min="7683" max="7683" width="12" style="1912" bestFit="1" customWidth="1"/>
    <col min="7684" max="7936" width="9.140625" style="1912"/>
    <col min="7937" max="7937" width="29.5703125" style="1912" bestFit="1" customWidth="1"/>
    <col min="7938" max="7938" width="19.85546875" style="1912" customWidth="1"/>
    <col min="7939" max="7939" width="12" style="1912" bestFit="1" customWidth="1"/>
    <col min="7940" max="8192" width="9.140625" style="1912"/>
    <col min="8193" max="8193" width="29.5703125" style="1912" bestFit="1" customWidth="1"/>
    <col min="8194" max="8194" width="19.85546875" style="1912" customWidth="1"/>
    <col min="8195" max="8195" width="12" style="1912" bestFit="1" customWidth="1"/>
    <col min="8196" max="8448" width="9.140625" style="1912"/>
    <col min="8449" max="8449" width="29.5703125" style="1912" bestFit="1" customWidth="1"/>
    <col min="8450" max="8450" width="19.85546875" style="1912" customWidth="1"/>
    <col min="8451" max="8451" width="12" style="1912" bestFit="1" customWidth="1"/>
    <col min="8452" max="8704" width="9.140625" style="1912"/>
    <col min="8705" max="8705" width="29.5703125" style="1912" bestFit="1" customWidth="1"/>
    <col min="8706" max="8706" width="19.85546875" style="1912" customWidth="1"/>
    <col min="8707" max="8707" width="12" style="1912" bestFit="1" customWidth="1"/>
    <col min="8708" max="8960" width="9.140625" style="1912"/>
    <col min="8961" max="8961" width="29.5703125" style="1912" bestFit="1" customWidth="1"/>
    <col min="8962" max="8962" width="19.85546875" style="1912" customWidth="1"/>
    <col min="8963" max="8963" width="12" style="1912" bestFit="1" customWidth="1"/>
    <col min="8964" max="9216" width="9.140625" style="1912"/>
    <col min="9217" max="9217" width="29.5703125" style="1912" bestFit="1" customWidth="1"/>
    <col min="9218" max="9218" width="19.85546875" style="1912" customWidth="1"/>
    <col min="9219" max="9219" width="12" style="1912" bestFit="1" customWidth="1"/>
    <col min="9220" max="9472" width="9.140625" style="1912"/>
    <col min="9473" max="9473" width="29.5703125" style="1912" bestFit="1" customWidth="1"/>
    <col min="9474" max="9474" width="19.85546875" style="1912" customWidth="1"/>
    <col min="9475" max="9475" width="12" style="1912" bestFit="1" customWidth="1"/>
    <col min="9476" max="9728" width="9.140625" style="1912"/>
    <col min="9729" max="9729" width="29.5703125" style="1912" bestFit="1" customWidth="1"/>
    <col min="9730" max="9730" width="19.85546875" style="1912" customWidth="1"/>
    <col min="9731" max="9731" width="12" style="1912" bestFit="1" customWidth="1"/>
    <col min="9732" max="9984" width="9.140625" style="1912"/>
    <col min="9985" max="9985" width="29.5703125" style="1912" bestFit="1" customWidth="1"/>
    <col min="9986" max="9986" width="19.85546875" style="1912" customWidth="1"/>
    <col min="9987" max="9987" width="12" style="1912" bestFit="1" customWidth="1"/>
    <col min="9988" max="10240" width="9.140625" style="1912"/>
    <col min="10241" max="10241" width="29.5703125" style="1912" bestFit="1" customWidth="1"/>
    <col min="10242" max="10242" width="19.85546875" style="1912" customWidth="1"/>
    <col min="10243" max="10243" width="12" style="1912" bestFit="1" customWidth="1"/>
    <col min="10244" max="10496" width="9.140625" style="1912"/>
    <col min="10497" max="10497" width="29.5703125" style="1912" bestFit="1" customWidth="1"/>
    <col min="10498" max="10498" width="19.85546875" style="1912" customWidth="1"/>
    <col min="10499" max="10499" width="12" style="1912" bestFit="1" customWidth="1"/>
    <col min="10500" max="10752" width="9.140625" style="1912"/>
    <col min="10753" max="10753" width="29.5703125" style="1912" bestFit="1" customWidth="1"/>
    <col min="10754" max="10754" width="19.85546875" style="1912" customWidth="1"/>
    <col min="10755" max="10755" width="12" style="1912" bestFit="1" customWidth="1"/>
    <col min="10756" max="11008" width="9.140625" style="1912"/>
    <col min="11009" max="11009" width="29.5703125" style="1912" bestFit="1" customWidth="1"/>
    <col min="11010" max="11010" width="19.85546875" style="1912" customWidth="1"/>
    <col min="11011" max="11011" width="12" style="1912" bestFit="1" customWidth="1"/>
    <col min="11012" max="11264" width="9.140625" style="1912"/>
    <col min="11265" max="11265" width="29.5703125" style="1912" bestFit="1" customWidth="1"/>
    <col min="11266" max="11266" width="19.85546875" style="1912" customWidth="1"/>
    <col min="11267" max="11267" width="12" style="1912" bestFit="1" customWidth="1"/>
    <col min="11268" max="11520" width="9.140625" style="1912"/>
    <col min="11521" max="11521" width="29.5703125" style="1912" bestFit="1" customWidth="1"/>
    <col min="11522" max="11522" width="19.85546875" style="1912" customWidth="1"/>
    <col min="11523" max="11523" width="12" style="1912" bestFit="1" customWidth="1"/>
    <col min="11524" max="11776" width="9.140625" style="1912"/>
    <col min="11777" max="11777" width="29.5703125" style="1912" bestFit="1" customWidth="1"/>
    <col min="11778" max="11778" width="19.85546875" style="1912" customWidth="1"/>
    <col min="11779" max="11779" width="12" style="1912" bestFit="1" customWidth="1"/>
    <col min="11780" max="12032" width="9.140625" style="1912"/>
    <col min="12033" max="12033" width="29.5703125" style="1912" bestFit="1" customWidth="1"/>
    <col min="12034" max="12034" width="19.85546875" style="1912" customWidth="1"/>
    <col min="12035" max="12035" width="12" style="1912" bestFit="1" customWidth="1"/>
    <col min="12036" max="12288" width="9.140625" style="1912"/>
    <col min="12289" max="12289" width="29.5703125" style="1912" bestFit="1" customWidth="1"/>
    <col min="12290" max="12290" width="19.85546875" style="1912" customWidth="1"/>
    <col min="12291" max="12291" width="12" style="1912" bestFit="1" customWidth="1"/>
    <col min="12292" max="12544" width="9.140625" style="1912"/>
    <col min="12545" max="12545" width="29.5703125" style="1912" bestFit="1" customWidth="1"/>
    <col min="12546" max="12546" width="19.85546875" style="1912" customWidth="1"/>
    <col min="12547" max="12547" width="12" style="1912" bestFit="1" customWidth="1"/>
    <col min="12548" max="12800" width="9.140625" style="1912"/>
    <col min="12801" max="12801" width="29.5703125" style="1912" bestFit="1" customWidth="1"/>
    <col min="12802" max="12802" width="19.85546875" style="1912" customWidth="1"/>
    <col min="12803" max="12803" width="12" style="1912" bestFit="1" customWidth="1"/>
    <col min="12804" max="13056" width="9.140625" style="1912"/>
    <col min="13057" max="13057" width="29.5703125" style="1912" bestFit="1" customWidth="1"/>
    <col min="13058" max="13058" width="19.85546875" style="1912" customWidth="1"/>
    <col min="13059" max="13059" width="12" style="1912" bestFit="1" customWidth="1"/>
    <col min="13060" max="13312" width="9.140625" style="1912"/>
    <col min="13313" max="13313" width="29.5703125" style="1912" bestFit="1" customWidth="1"/>
    <col min="13314" max="13314" width="19.85546875" style="1912" customWidth="1"/>
    <col min="13315" max="13315" width="12" style="1912" bestFit="1" customWidth="1"/>
    <col min="13316" max="13568" width="9.140625" style="1912"/>
    <col min="13569" max="13569" width="29.5703125" style="1912" bestFit="1" customWidth="1"/>
    <col min="13570" max="13570" width="19.85546875" style="1912" customWidth="1"/>
    <col min="13571" max="13571" width="12" style="1912" bestFit="1" customWidth="1"/>
    <col min="13572" max="13824" width="9.140625" style="1912"/>
    <col min="13825" max="13825" width="29.5703125" style="1912" bestFit="1" customWidth="1"/>
    <col min="13826" max="13826" width="19.85546875" style="1912" customWidth="1"/>
    <col min="13827" max="13827" width="12" style="1912" bestFit="1" customWidth="1"/>
    <col min="13828" max="14080" width="9.140625" style="1912"/>
    <col min="14081" max="14081" width="29.5703125" style="1912" bestFit="1" customWidth="1"/>
    <col min="14082" max="14082" width="19.85546875" style="1912" customWidth="1"/>
    <col min="14083" max="14083" width="12" style="1912" bestFit="1" customWidth="1"/>
    <col min="14084" max="14336" width="9.140625" style="1912"/>
    <col min="14337" max="14337" width="29.5703125" style="1912" bestFit="1" customWidth="1"/>
    <col min="14338" max="14338" width="19.85546875" style="1912" customWidth="1"/>
    <col min="14339" max="14339" width="12" style="1912" bestFit="1" customWidth="1"/>
    <col min="14340" max="14592" width="9.140625" style="1912"/>
    <col min="14593" max="14593" width="29.5703125" style="1912" bestFit="1" customWidth="1"/>
    <col min="14594" max="14594" width="19.85546875" style="1912" customWidth="1"/>
    <col min="14595" max="14595" width="12" style="1912" bestFit="1" customWidth="1"/>
    <col min="14596" max="14848" width="9.140625" style="1912"/>
    <col min="14849" max="14849" width="29.5703125" style="1912" bestFit="1" customWidth="1"/>
    <col min="14850" max="14850" width="19.85546875" style="1912" customWidth="1"/>
    <col min="14851" max="14851" width="12" style="1912" bestFit="1" customWidth="1"/>
    <col min="14852" max="15104" width="9.140625" style="1912"/>
    <col min="15105" max="15105" width="29.5703125" style="1912" bestFit="1" customWidth="1"/>
    <col min="15106" max="15106" width="19.85546875" style="1912" customWidth="1"/>
    <col min="15107" max="15107" width="12" style="1912" bestFit="1" customWidth="1"/>
    <col min="15108" max="15360" width="9.140625" style="1912"/>
    <col min="15361" max="15361" width="29.5703125" style="1912" bestFit="1" customWidth="1"/>
    <col min="15362" max="15362" width="19.85546875" style="1912" customWidth="1"/>
    <col min="15363" max="15363" width="12" style="1912" bestFit="1" customWidth="1"/>
    <col min="15364" max="15616" width="9.140625" style="1912"/>
    <col min="15617" max="15617" width="29.5703125" style="1912" bestFit="1" customWidth="1"/>
    <col min="15618" max="15618" width="19.85546875" style="1912" customWidth="1"/>
    <col min="15619" max="15619" width="12" style="1912" bestFit="1" customWidth="1"/>
    <col min="15620" max="15872" width="9.140625" style="1912"/>
    <col min="15873" max="15873" width="29.5703125" style="1912" bestFit="1" customWidth="1"/>
    <col min="15874" max="15874" width="19.85546875" style="1912" customWidth="1"/>
    <col min="15875" max="15875" width="12" style="1912" bestFit="1" customWidth="1"/>
    <col min="15876" max="16128" width="9.140625" style="1912"/>
    <col min="16129" max="16129" width="29.5703125" style="1912" bestFit="1" customWidth="1"/>
    <col min="16130" max="16130" width="19.85546875" style="1912" customWidth="1"/>
    <col min="16131" max="16131" width="12" style="1912" bestFit="1" customWidth="1"/>
    <col min="16132" max="16384" width="9.140625" style="1912"/>
  </cols>
  <sheetData>
    <row r="1" spans="1:2">
      <c r="A1" s="1912" t="s">
        <v>1211</v>
      </c>
      <c r="B1" s="1937">
        <v>6.1</v>
      </c>
    </row>
    <row r="2" spans="1:2">
      <c r="A2" s="1912" t="s">
        <v>1212</v>
      </c>
      <c r="B2" s="1941">
        <v>43174.955451388887</v>
      </c>
    </row>
    <row r="3" spans="1:2">
      <c r="A3" s="1912" t="s">
        <v>1213</v>
      </c>
      <c r="B3" s="1938" t="s">
        <v>915</v>
      </c>
    </row>
    <row r="4" spans="1:2">
      <c r="A4" s="1912" t="s">
        <v>1214</v>
      </c>
      <c r="B4" s="1938" t="s">
        <v>1215</v>
      </c>
    </row>
    <row r="5" spans="1:2">
      <c r="A5" s="1912" t="s">
        <v>1216</v>
      </c>
      <c r="B5" s="1938" t="s">
        <v>1217</v>
      </c>
    </row>
    <row r="6" spans="1:2">
      <c r="A6" s="1912" t="s">
        <v>1218</v>
      </c>
    </row>
    <row r="7" spans="1:2">
      <c r="A7" s="1912" t="s">
        <v>775</v>
      </c>
      <c r="B7" s="1938" t="s">
        <v>287</v>
      </c>
    </row>
    <row r="8" spans="1:2">
      <c r="A8" s="1912" t="s">
        <v>1219</v>
      </c>
      <c r="B8" s="1938" t="s">
        <v>1220</v>
      </c>
    </row>
    <row r="9" spans="1:2">
      <c r="A9" s="1912" t="s">
        <v>1221</v>
      </c>
      <c r="B9" s="1938" t="s">
        <v>1258</v>
      </c>
    </row>
    <row r="10" spans="1:2">
      <c r="A10" s="1912" t="s">
        <v>1222</v>
      </c>
    </row>
    <row r="11" spans="1:2">
      <c r="A11" s="1912" t="s">
        <v>1223</v>
      </c>
    </row>
    <row r="12" spans="1:2">
      <c r="A12" s="1912" t="s">
        <v>1224</v>
      </c>
    </row>
    <row r="13" spans="1:2">
      <c r="A13" s="1912" t="s">
        <v>1225</v>
      </c>
    </row>
    <row r="14" spans="1:2">
      <c r="A14" s="1912" t="s">
        <v>1226</v>
      </c>
    </row>
    <row r="15" spans="1:2">
      <c r="A15" s="1912" t="s">
        <v>1227</v>
      </c>
    </row>
    <row r="16" spans="1:2">
      <c r="A16" s="1912" t="s">
        <v>1228</v>
      </c>
    </row>
    <row r="17" spans="1:4">
      <c r="A17" s="1912" t="s">
        <v>1229</v>
      </c>
      <c r="B17" s="1938" t="s">
        <v>1259</v>
      </c>
    </row>
    <row r="18" spans="1:4">
      <c r="A18" s="1912" t="s">
        <v>1230</v>
      </c>
      <c r="B18" s="1938" t="s">
        <v>1262</v>
      </c>
    </row>
    <row r="19" spans="1:4">
      <c r="A19" s="1912" t="s">
        <v>1231</v>
      </c>
      <c r="B19" s="1938" t="s">
        <v>686</v>
      </c>
    </row>
    <row r="20" spans="1:4">
      <c r="A20" s="1912" t="s">
        <v>1232</v>
      </c>
      <c r="B20" s="1939" t="s">
        <v>1263</v>
      </c>
    </row>
    <row r="21" spans="1:4">
      <c r="A21" s="1912" t="s">
        <v>1233</v>
      </c>
      <c r="B21" s="1938" t="s">
        <v>686</v>
      </c>
    </row>
    <row r="22" spans="1:4">
      <c r="A22" s="1912" t="s">
        <v>1234</v>
      </c>
      <c r="B22" s="1939">
        <v>2008154</v>
      </c>
    </row>
    <row r="23" spans="1:4">
      <c r="A23" s="1912" t="s">
        <v>121</v>
      </c>
      <c r="B23" s="1937">
        <v>218.87</v>
      </c>
    </row>
    <row r="24" spans="1:4">
      <c r="A24" s="1912" t="s">
        <v>529</v>
      </c>
      <c r="B24" s="1938" t="s">
        <v>472</v>
      </c>
      <c r="D24" s="1912" t="s">
        <v>378</v>
      </c>
    </row>
    <row r="25" spans="1:4">
      <c r="A25" s="1912" t="s">
        <v>1235</v>
      </c>
      <c r="B25" s="1938" t="s">
        <v>1264</v>
      </c>
    </row>
    <row r="26" spans="1:4">
      <c r="A26" s="1912" t="s">
        <v>1236</v>
      </c>
      <c r="B26" s="1938">
        <v>0</v>
      </c>
    </row>
    <row r="27" spans="1:4">
      <c r="A27" s="1912" t="s">
        <v>1237</v>
      </c>
      <c r="B27" s="1938" t="s">
        <v>1238</v>
      </c>
    </row>
    <row r="28" spans="1:4">
      <c r="A28" s="1912" t="s">
        <v>1239</v>
      </c>
      <c r="B28" s="1938" t="s">
        <v>1240</v>
      </c>
    </row>
    <row r="29" spans="1:4">
      <c r="A29" s="1912" t="s">
        <v>1241</v>
      </c>
    </row>
    <row r="30" spans="1:4">
      <c r="A30" s="1912" t="s">
        <v>1242</v>
      </c>
    </row>
    <row r="31" spans="1:4">
      <c r="A31" s="1912" t="s">
        <v>1243</v>
      </c>
    </row>
    <row r="32" spans="1:4">
      <c r="A32" s="1912" t="s">
        <v>1244</v>
      </c>
      <c r="B32" s="1937"/>
    </row>
    <row r="33" spans="1:2">
      <c r="A33" s="1912" t="s">
        <v>1245</v>
      </c>
      <c r="B33" s="1937"/>
    </row>
    <row r="34" spans="1:2">
      <c r="A34" s="1912" t="s">
        <v>1246</v>
      </c>
      <c r="B34" s="1937"/>
    </row>
    <row r="35" spans="1:2">
      <c r="A35" s="1912" t="s">
        <v>1247</v>
      </c>
      <c r="B35" s="1938">
        <v>1000000</v>
      </c>
    </row>
    <row r="36" spans="1:2">
      <c r="A36" s="1912" t="s">
        <v>1248</v>
      </c>
      <c r="B36" s="1938" t="s">
        <v>1260</v>
      </c>
    </row>
    <row r="37" spans="1:2">
      <c r="A37" s="1912" t="s">
        <v>1249</v>
      </c>
      <c r="B37" s="1938" t="s">
        <v>1250</v>
      </c>
    </row>
    <row r="38" spans="1:2">
      <c r="A38" s="1912" t="s">
        <v>1251</v>
      </c>
      <c r="B38" s="1938" t="s">
        <v>1252</v>
      </c>
    </row>
    <row r="39" spans="1:2">
      <c r="A39" s="1912" t="s">
        <v>1253</v>
      </c>
      <c r="B39" s="1938" t="s">
        <v>1261</v>
      </c>
    </row>
    <row r="40" spans="1:2">
      <c r="A40" s="1912" t="s">
        <v>1254</v>
      </c>
      <c r="B40" s="1938">
        <v>1500000168</v>
      </c>
    </row>
    <row r="41" spans="1:2">
      <c r="A41" s="1912" t="s">
        <v>1255</v>
      </c>
      <c r="B41" s="1938">
        <v>1</v>
      </c>
    </row>
    <row r="42" spans="1:2">
      <c r="A42" s="1940" t="s">
        <v>1256</v>
      </c>
    </row>
    <row r="43" spans="1:2">
      <c r="A43" s="1912" t="s">
        <v>1257</v>
      </c>
    </row>
  </sheetData>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3"/>
  <sheetViews>
    <sheetView workbookViewId="0">
      <selection activeCell="E11" sqref="E11"/>
    </sheetView>
  </sheetViews>
  <sheetFormatPr defaultRowHeight="12.75"/>
  <cols>
    <col min="1" max="1" width="28.5703125" style="1912" bestFit="1" customWidth="1"/>
    <col min="2" max="256" width="9.140625" style="1912"/>
    <col min="257" max="257" width="28.5703125" style="1912" bestFit="1" customWidth="1"/>
    <col min="258" max="512" width="9.140625" style="1912"/>
    <col min="513" max="513" width="28.5703125" style="1912" bestFit="1" customWidth="1"/>
    <col min="514" max="768" width="9.140625" style="1912"/>
    <col min="769" max="769" width="28.5703125" style="1912" bestFit="1" customWidth="1"/>
    <col min="770" max="1024" width="9.140625" style="1912"/>
    <col min="1025" max="1025" width="28.5703125" style="1912" bestFit="1" customWidth="1"/>
    <col min="1026" max="1280" width="9.140625" style="1912"/>
    <col min="1281" max="1281" width="28.5703125" style="1912" bestFit="1" customWidth="1"/>
    <col min="1282" max="1536" width="9.140625" style="1912"/>
    <col min="1537" max="1537" width="28.5703125" style="1912" bestFit="1" customWidth="1"/>
    <col min="1538" max="1792" width="9.140625" style="1912"/>
    <col min="1793" max="1793" width="28.5703125" style="1912" bestFit="1" customWidth="1"/>
    <col min="1794" max="2048" width="9.140625" style="1912"/>
    <col min="2049" max="2049" width="28.5703125" style="1912" bestFit="1" customWidth="1"/>
    <col min="2050" max="2304" width="9.140625" style="1912"/>
    <col min="2305" max="2305" width="28.5703125" style="1912" bestFit="1" customWidth="1"/>
    <col min="2306" max="2560" width="9.140625" style="1912"/>
    <col min="2561" max="2561" width="28.5703125" style="1912" bestFit="1" customWidth="1"/>
    <col min="2562" max="2816" width="9.140625" style="1912"/>
    <col min="2817" max="2817" width="28.5703125" style="1912" bestFit="1" customWidth="1"/>
    <col min="2818" max="3072" width="9.140625" style="1912"/>
    <col min="3073" max="3073" width="28.5703125" style="1912" bestFit="1" customWidth="1"/>
    <col min="3074" max="3328" width="9.140625" style="1912"/>
    <col min="3329" max="3329" width="28.5703125" style="1912" bestFit="1" customWidth="1"/>
    <col min="3330" max="3584" width="9.140625" style="1912"/>
    <col min="3585" max="3585" width="28.5703125" style="1912" bestFit="1" customWidth="1"/>
    <col min="3586" max="3840" width="9.140625" style="1912"/>
    <col min="3841" max="3841" width="28.5703125" style="1912" bestFit="1" customWidth="1"/>
    <col min="3842" max="4096" width="9.140625" style="1912"/>
    <col min="4097" max="4097" width="28.5703125" style="1912" bestFit="1" customWidth="1"/>
    <col min="4098" max="4352" width="9.140625" style="1912"/>
    <col min="4353" max="4353" width="28.5703125" style="1912" bestFit="1" customWidth="1"/>
    <col min="4354" max="4608" width="9.140625" style="1912"/>
    <col min="4609" max="4609" width="28.5703125" style="1912" bestFit="1" customWidth="1"/>
    <col min="4610" max="4864" width="9.140625" style="1912"/>
    <col min="4865" max="4865" width="28.5703125" style="1912" bestFit="1" customWidth="1"/>
    <col min="4866" max="5120" width="9.140625" style="1912"/>
    <col min="5121" max="5121" width="28.5703125" style="1912" bestFit="1" customWidth="1"/>
    <col min="5122" max="5376" width="9.140625" style="1912"/>
    <col min="5377" max="5377" width="28.5703125" style="1912" bestFit="1" customWidth="1"/>
    <col min="5378" max="5632" width="9.140625" style="1912"/>
    <col min="5633" max="5633" width="28.5703125" style="1912" bestFit="1" customWidth="1"/>
    <col min="5634" max="5888" width="9.140625" style="1912"/>
    <col min="5889" max="5889" width="28.5703125" style="1912" bestFit="1" customWidth="1"/>
    <col min="5890" max="6144" width="9.140625" style="1912"/>
    <col min="6145" max="6145" width="28.5703125" style="1912" bestFit="1" customWidth="1"/>
    <col min="6146" max="6400" width="9.140625" style="1912"/>
    <col min="6401" max="6401" width="28.5703125" style="1912" bestFit="1" customWidth="1"/>
    <col min="6402" max="6656" width="9.140625" style="1912"/>
    <col min="6657" max="6657" width="28.5703125" style="1912" bestFit="1" customWidth="1"/>
    <col min="6658" max="6912" width="9.140625" style="1912"/>
    <col min="6913" max="6913" width="28.5703125" style="1912" bestFit="1" customWidth="1"/>
    <col min="6914" max="7168" width="9.140625" style="1912"/>
    <col min="7169" max="7169" width="28.5703125" style="1912" bestFit="1" customWidth="1"/>
    <col min="7170" max="7424" width="9.140625" style="1912"/>
    <col min="7425" max="7425" width="28.5703125" style="1912" bestFit="1" customWidth="1"/>
    <col min="7426" max="7680" width="9.140625" style="1912"/>
    <col min="7681" max="7681" width="28.5703125" style="1912" bestFit="1" customWidth="1"/>
    <col min="7682" max="7936" width="9.140625" style="1912"/>
    <col min="7937" max="7937" width="28.5703125" style="1912" bestFit="1" customWidth="1"/>
    <col min="7938" max="8192" width="9.140625" style="1912"/>
    <col min="8193" max="8193" width="28.5703125" style="1912" bestFit="1" customWidth="1"/>
    <col min="8194" max="8448" width="9.140625" style="1912"/>
    <col min="8449" max="8449" width="28.5703125" style="1912" bestFit="1" customWidth="1"/>
    <col min="8450" max="8704" width="9.140625" style="1912"/>
    <col min="8705" max="8705" width="28.5703125" style="1912" bestFit="1" customWidth="1"/>
    <col min="8706" max="8960" width="9.140625" style="1912"/>
    <col min="8961" max="8961" width="28.5703125" style="1912" bestFit="1" customWidth="1"/>
    <col min="8962" max="9216" width="9.140625" style="1912"/>
    <col min="9217" max="9217" width="28.5703125" style="1912" bestFit="1" customWidth="1"/>
    <col min="9218" max="9472" width="9.140625" style="1912"/>
    <col min="9473" max="9473" width="28.5703125" style="1912" bestFit="1" customWidth="1"/>
    <col min="9474" max="9728" width="9.140625" style="1912"/>
    <col min="9729" max="9729" width="28.5703125" style="1912" bestFit="1" customWidth="1"/>
    <col min="9730" max="9984" width="9.140625" style="1912"/>
    <col min="9985" max="9985" width="28.5703125" style="1912" bestFit="1" customWidth="1"/>
    <col min="9986" max="10240" width="9.140625" style="1912"/>
    <col min="10241" max="10241" width="28.5703125" style="1912" bestFit="1" customWidth="1"/>
    <col min="10242" max="10496" width="9.140625" style="1912"/>
    <col min="10497" max="10497" width="28.5703125" style="1912" bestFit="1" customWidth="1"/>
    <col min="10498" max="10752" width="9.140625" style="1912"/>
    <col min="10753" max="10753" width="28.5703125" style="1912" bestFit="1" customWidth="1"/>
    <col min="10754" max="11008" width="9.140625" style="1912"/>
    <col min="11009" max="11009" width="28.5703125" style="1912" bestFit="1" customWidth="1"/>
    <col min="11010" max="11264" width="9.140625" style="1912"/>
    <col min="11265" max="11265" width="28.5703125" style="1912" bestFit="1" customWidth="1"/>
    <col min="11266" max="11520" width="9.140625" style="1912"/>
    <col min="11521" max="11521" width="28.5703125" style="1912" bestFit="1" customWidth="1"/>
    <col min="11522" max="11776" width="9.140625" style="1912"/>
    <col min="11777" max="11777" width="28.5703125" style="1912" bestFit="1" customWidth="1"/>
    <col min="11778" max="12032" width="9.140625" style="1912"/>
    <col min="12033" max="12033" width="28.5703125" style="1912" bestFit="1" customWidth="1"/>
    <col min="12034" max="12288" width="9.140625" style="1912"/>
    <col min="12289" max="12289" width="28.5703125" style="1912" bestFit="1" customWidth="1"/>
    <col min="12290" max="12544" width="9.140625" style="1912"/>
    <col min="12545" max="12545" width="28.5703125" style="1912" bestFit="1" customWidth="1"/>
    <col min="12546" max="12800" width="9.140625" style="1912"/>
    <col min="12801" max="12801" width="28.5703125" style="1912" bestFit="1" customWidth="1"/>
    <col min="12802" max="13056" width="9.140625" style="1912"/>
    <col min="13057" max="13057" width="28.5703125" style="1912" bestFit="1" customWidth="1"/>
    <col min="13058" max="13312" width="9.140625" style="1912"/>
    <col min="13313" max="13313" width="28.5703125" style="1912" bestFit="1" customWidth="1"/>
    <col min="13314" max="13568" width="9.140625" style="1912"/>
    <col min="13569" max="13569" width="28.5703125" style="1912" bestFit="1" customWidth="1"/>
    <col min="13570" max="13824" width="9.140625" style="1912"/>
    <col min="13825" max="13825" width="28.5703125" style="1912" bestFit="1" customWidth="1"/>
    <col min="13826" max="14080" width="9.140625" style="1912"/>
    <col min="14081" max="14081" width="28.5703125" style="1912" bestFit="1" customWidth="1"/>
    <col min="14082" max="14336" width="9.140625" style="1912"/>
    <col min="14337" max="14337" width="28.5703125" style="1912" bestFit="1" customWidth="1"/>
    <col min="14338" max="14592" width="9.140625" style="1912"/>
    <col min="14593" max="14593" width="28.5703125" style="1912" bestFit="1" customWidth="1"/>
    <col min="14594" max="14848" width="9.140625" style="1912"/>
    <col min="14849" max="14849" width="28.5703125" style="1912" bestFit="1" customWidth="1"/>
    <col min="14850" max="15104" width="9.140625" style="1912"/>
    <col min="15105" max="15105" width="28.5703125" style="1912" bestFit="1" customWidth="1"/>
    <col min="15106" max="15360" width="9.140625" style="1912"/>
    <col min="15361" max="15361" width="28.5703125" style="1912" bestFit="1" customWidth="1"/>
    <col min="15362" max="15616" width="9.140625" style="1912"/>
    <col min="15617" max="15617" width="28.5703125" style="1912" bestFit="1" customWidth="1"/>
    <col min="15618" max="15872" width="9.140625" style="1912"/>
    <col min="15873" max="15873" width="28.5703125" style="1912" bestFit="1" customWidth="1"/>
    <col min="15874" max="16128" width="9.140625" style="1912"/>
    <col min="16129" max="16129" width="28.5703125" style="1912" bestFit="1" customWidth="1"/>
    <col min="16130" max="16384" width="9.140625" style="1912"/>
  </cols>
  <sheetData>
    <row r="1" spans="1:1">
      <c r="A1" s="1942" t="s">
        <v>1265</v>
      </c>
    </row>
    <row r="2" spans="1:1">
      <c r="A2" s="1942" t="s">
        <v>1270</v>
      </c>
    </row>
    <row r="3" spans="1:1">
      <c r="A3" s="1942" t="s">
        <v>1271</v>
      </c>
    </row>
    <row r="4" spans="1:1">
      <c r="A4" s="1942" t="s">
        <v>1272</v>
      </c>
    </row>
    <row r="5" spans="1:1">
      <c r="A5" s="1942" t="s">
        <v>1273</v>
      </c>
    </row>
    <row r="6" spans="1:1">
      <c r="A6" s="1942" t="s">
        <v>1266</v>
      </c>
    </row>
    <row r="7" spans="1:1">
      <c r="A7" s="1942" t="s">
        <v>1274</v>
      </c>
    </row>
    <row r="8" spans="1:1">
      <c r="A8" s="1942" t="s">
        <v>1275</v>
      </c>
    </row>
    <row r="9" spans="1:1">
      <c r="A9" s="1942" t="s">
        <v>1276</v>
      </c>
    </row>
    <row r="10" spans="1:1">
      <c r="A10" s="1942" t="s">
        <v>1267</v>
      </c>
    </row>
    <row r="11" spans="1:1">
      <c r="A11" s="1942" t="s">
        <v>1277</v>
      </c>
    </row>
    <row r="12" spans="1:1">
      <c r="A12" s="1942" t="s">
        <v>1268</v>
      </c>
    </row>
    <row r="13" spans="1:1">
      <c r="A13" s="1942" t="s">
        <v>1269</v>
      </c>
    </row>
  </sheetData>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N2"/>
  <sheetViews>
    <sheetView workbookViewId="0"/>
  </sheetViews>
  <sheetFormatPr defaultRowHeight="12.75"/>
  <sheetData>
    <row r="1" spans="1:14">
      <c r="A1" t="s">
        <v>55</v>
      </c>
    </row>
    <row r="2" spans="1:14">
      <c r="A2" s="941" t="s">
        <v>334</v>
      </c>
      <c r="B2" s="941" t="s">
        <v>335</v>
      </c>
      <c r="C2" s="941" t="s">
        <v>52</v>
      </c>
      <c r="D2" s="941" t="s">
        <v>31</v>
      </c>
      <c r="E2" s="941" t="s">
        <v>54</v>
      </c>
      <c r="F2" s="941" t="s">
        <v>31</v>
      </c>
      <c r="G2" s="941" t="s">
        <v>53</v>
      </c>
      <c r="H2" s="941" t="s">
        <v>31</v>
      </c>
      <c r="I2" s="941" t="s">
        <v>336</v>
      </c>
      <c r="J2" s="941" t="s">
        <v>908</v>
      </c>
      <c r="K2" s="941" t="s">
        <v>337</v>
      </c>
      <c r="L2" s="941" t="s">
        <v>472</v>
      </c>
      <c r="M2" s="941" t="s">
        <v>51</v>
      </c>
      <c r="N2" s="941" t="s">
        <v>31</v>
      </c>
    </row>
  </sheetData>
  <phoneticPr fontId="2"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E5F42CDA-FCAA-479E-8B1F-3A04D148621E}">
  <ds:schemaRefs>
    <ds:schemaRef ds:uri="thomsonreuters.linking.metadata"/>
  </ds:schemaRefs>
</ds:datastoreItem>
</file>

<file path=customXml/itemProps2.xml><?xml version="1.0" encoding="utf-8"?>
<ds:datastoreItem xmlns:ds="http://schemas.openxmlformats.org/officeDocument/2006/customXml" ds:itemID="{63EE1F2B-ED30-4165-A55F-DB1DB66885CA}">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227</vt:i4>
      </vt:variant>
    </vt:vector>
  </HeadingPairs>
  <TitlesOfParts>
    <vt:vector size="237" baseType="lpstr">
      <vt:lpstr>ImportantDisclosures</vt:lpstr>
      <vt:lpstr>Scenario Analysis</vt:lpstr>
      <vt:lpstr>Model</vt:lpstr>
      <vt:lpstr>Revenue Drivers</vt:lpstr>
      <vt:lpstr>Metrics</vt:lpstr>
      <vt:lpstr>BS</vt:lpstr>
      <vt:lpstr>CF</vt:lpstr>
      <vt:lpstr>Rev by Geo</vt:lpstr>
      <vt:lpstr>IndexInformation</vt:lpstr>
      <vt:lpstr>ModPubIndex</vt:lpstr>
      <vt:lpstr>_1c01</vt:lpstr>
      <vt:lpstr>_1c02</vt:lpstr>
      <vt:lpstr>_1c03</vt:lpstr>
      <vt:lpstr>_1c04</vt:lpstr>
      <vt:lpstr>_1c05</vt:lpstr>
      <vt:lpstr>_1c06</vt:lpstr>
      <vt:lpstr>_1c07</vt:lpstr>
      <vt:lpstr>_1c08</vt:lpstr>
      <vt:lpstr>_1c09</vt:lpstr>
      <vt:lpstr>_2c01</vt:lpstr>
      <vt:lpstr>_2c02</vt:lpstr>
      <vt:lpstr>_2c03</vt:lpstr>
      <vt:lpstr>_2c04</vt:lpstr>
      <vt:lpstr>_2c05</vt:lpstr>
      <vt:lpstr>_2c06</vt:lpstr>
      <vt:lpstr>_2c07</vt:lpstr>
      <vt:lpstr>_2c08</vt:lpstr>
      <vt:lpstr>_2c09</vt:lpstr>
      <vt:lpstr>_3c01</vt:lpstr>
      <vt:lpstr>_3c02</vt:lpstr>
      <vt:lpstr>_3c03</vt:lpstr>
      <vt:lpstr>_3c04</vt:lpstr>
      <vt:lpstr>_3c05</vt:lpstr>
      <vt:lpstr>_3c06</vt:lpstr>
      <vt:lpstr>_3c07</vt:lpstr>
      <vt:lpstr>_3c08</vt:lpstr>
      <vt:lpstr>_3c09</vt:lpstr>
      <vt:lpstr>_4c01</vt:lpstr>
      <vt:lpstr>_4c02</vt:lpstr>
      <vt:lpstr>_4c03</vt:lpstr>
      <vt:lpstr>_4c04</vt:lpstr>
      <vt:lpstr>_4c05</vt:lpstr>
      <vt:lpstr>_4c06</vt:lpstr>
      <vt:lpstr>_4c07</vt:lpstr>
      <vt:lpstr>_4c08</vt:lpstr>
      <vt:lpstr>_4c09</vt:lpstr>
      <vt:lpstr>_Balancesheet</vt:lpstr>
      <vt:lpstr>_Cashflowstmt</vt:lpstr>
      <vt:lpstr>_fy01</vt:lpstr>
      <vt:lpstr>_fy02</vt:lpstr>
      <vt:lpstr>_fy03</vt:lpstr>
      <vt:lpstr>_fy04</vt:lpstr>
      <vt:lpstr>_fy05</vt:lpstr>
      <vt:lpstr>_fy06</vt:lpstr>
      <vt:lpstr>_fy07</vt:lpstr>
      <vt:lpstr>_fy08</vt:lpstr>
      <vt:lpstr>_fy09</vt:lpstr>
      <vt:lpstr>_fy10</vt:lpstr>
      <vt:lpstr>_fy11</vt:lpstr>
      <vt:lpstr>_IS</vt:lpstr>
      <vt:lpstr>_ISA</vt:lpstr>
      <vt:lpstr>_Revenuebygeo</vt:lpstr>
      <vt:lpstr>_Segmentanal</vt:lpstr>
      <vt:lpstr>AdditionalInstructions</vt:lpstr>
      <vt:lpstr>ImportantDisclosures!Address</vt:lpstr>
      <vt:lpstr>ModPubIndex!ANA</vt:lpstr>
      <vt:lpstr>ImportantDisclosures!Authors</vt:lpstr>
      <vt:lpstr>IndexInformation!Authors</vt:lpstr>
      <vt:lpstr>ModPubIndex!BRO</vt:lpstr>
      <vt:lpstr>capex</vt:lpstr>
      <vt:lpstr>cash</vt:lpstr>
      <vt:lpstr>CopyrightStamp</vt:lpstr>
      <vt:lpstr>ModPubIndex!COU</vt:lpstr>
      <vt:lpstr>IndexInformation!CQEnd</vt:lpstr>
      <vt:lpstr>crev</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dcfdna</vt:lpstr>
      <vt:lpstr>debt</vt:lpstr>
      <vt:lpstr>defrev</vt:lpstr>
      <vt:lpstr>IndexInformation!Deleted</vt:lpstr>
      <vt:lpstr>depr</vt:lpstr>
      <vt:lpstr>IndexInformation!Description</vt:lpstr>
      <vt:lpstr>IndexInformation!Discipline</vt:lpstr>
      <vt:lpstr>ModPubIndex!DISCIPLINE</vt:lpstr>
      <vt:lpstr>DisclosuresText</vt:lpstr>
      <vt:lpstr>IndexInformation!Distribution</vt:lpstr>
      <vt:lpstr>div</vt:lpstr>
      <vt:lpstr>ModPubIndex!DOCDAT</vt:lpstr>
      <vt:lpstr>ModPubIndex!DOCTIME</vt:lpstr>
      <vt:lpstr>IndexInformation!DocType</vt:lpstr>
      <vt:lpstr>dso</vt:lpstr>
      <vt:lpstr>ModPubIndex!EMAIL_ALERT</vt:lpstr>
      <vt:lpstr>IndexInformation!EmailAlert</vt:lpstr>
      <vt:lpstr>eps</vt:lpstr>
      <vt:lpstr>fcf</vt:lpstr>
      <vt:lpstr>IndexInformation!FiveYearGrowthRate</vt:lpstr>
      <vt:lpstr>IndexInformation!FollowingYearEPS</vt:lpstr>
      <vt:lpstr>IndexInformation!FollowingYearTotalRevenue</vt:lpstr>
      <vt:lpstr>IndexInformation!FollowingYearTotalRevenueActual</vt:lpstr>
      <vt:lpstr>gna</vt:lpstr>
      <vt:lpstr>grinc</vt:lpstr>
      <vt:lpstr>grmgn</vt:lpstr>
      <vt:lpstr>grp</vt:lpstr>
      <vt:lpstr>ModPubIndex!HL</vt:lpstr>
      <vt:lpstr>incwkcap</vt:lpstr>
      <vt:lpstr>ModPubIndex!IND</vt:lpstr>
      <vt:lpstr>ImportantDisclosures!Industry</vt:lpstr>
      <vt:lpstr>IndustryId</vt:lpstr>
      <vt:lpstr>ImportantDisclosures!IndustryRating</vt:lpstr>
      <vt:lpstr>IndexInformation!KeepVersions</vt:lpstr>
      <vt:lpstr>LanguageCode</vt:lpstr>
      <vt:lpstr>ImportantDisclosures!LastCell</vt:lpstr>
      <vt:lpstr>ldom</vt:lpstr>
      <vt:lpstr>licensecost</vt:lpstr>
      <vt:lpstr>Linking_1</vt:lpstr>
      <vt:lpstr>Linking_11</vt:lpstr>
      <vt:lpstr>Linking_12</vt:lpstr>
      <vt:lpstr>Linking_18</vt:lpstr>
      <vt:lpstr>Linking_19</vt:lpstr>
      <vt:lpstr>Linking_2</vt:lpstr>
      <vt:lpstr>Linking_20</vt:lpstr>
      <vt:lpstr>Linking_4</vt:lpstr>
      <vt:lpstr>Linking_Range_10</vt:lpstr>
      <vt:lpstr>Linking_Range_13</vt:lpstr>
      <vt:lpstr>Linking_Range_15</vt:lpstr>
      <vt:lpstr>Linking_Range_16</vt:lpstr>
      <vt:lpstr>Linking_Range_18</vt:lpstr>
      <vt:lpstr>Linking_Range_19</vt:lpstr>
      <vt:lpstr>Linking_Range_2</vt:lpstr>
      <vt:lpstr>Linking_Range_20</vt:lpstr>
      <vt:lpstr>Linking_Range_23</vt:lpstr>
      <vt:lpstr>Linking_Range_24</vt:lpstr>
      <vt:lpstr>Linking_Range_25</vt:lpstr>
      <vt:lpstr>Linking_Range_26</vt:lpstr>
      <vt:lpstr>Linking_Range_27</vt:lpstr>
      <vt:lpstr>Linking_Range_28</vt:lpstr>
      <vt:lpstr>Linking_Range_3</vt:lpstr>
      <vt:lpstr>Linking_Range_30</vt:lpstr>
      <vt:lpstr>Linking_Range_31</vt:lpstr>
      <vt:lpstr>Linking_Range_32</vt:lpstr>
      <vt:lpstr>Linking_Range_33</vt:lpstr>
      <vt:lpstr>Linking_Range_34</vt:lpstr>
      <vt:lpstr>Linking_Range_35</vt:lpstr>
      <vt:lpstr>Linking_Range_36</vt:lpstr>
      <vt:lpstr>Linking_Range_37</vt:lpstr>
      <vt:lpstr>Linking_Range_39</vt:lpstr>
      <vt:lpstr>Linking_Range_4</vt:lpstr>
      <vt:lpstr>Linking_Range_40</vt:lpstr>
      <vt:lpstr>Linking_Range_41</vt:lpstr>
      <vt:lpstr>Linking_Range_42</vt:lpstr>
      <vt:lpstr>Linking_Range_44</vt:lpstr>
      <vt:lpstr>Linking_Range_5</vt:lpstr>
      <vt:lpstr>Linking_Range_600</vt:lpstr>
      <vt:lpstr>Linking_Range_7</vt:lpstr>
      <vt:lpstr>Linking_Range_8</vt:lpstr>
      <vt:lpstr>Linking_Range_9</vt:lpstr>
      <vt:lpstr>linking_range_balancesheetfy20</vt:lpstr>
      <vt:lpstr>linking_range_bsfy194</vt:lpstr>
      <vt:lpstr>linking_range_cffy20</vt:lpstr>
      <vt:lpstr>linking_range_fy191</vt:lpstr>
      <vt:lpstr>linking_range_fy192</vt:lpstr>
      <vt:lpstr>linking_range_fy194</vt:lpstr>
      <vt:lpstr>linking_range_FY20</vt:lpstr>
      <vt:lpstr>linking_range_fy20rev</vt:lpstr>
      <vt:lpstr>lintl</vt:lpstr>
      <vt:lpstr>lrev</vt:lpstr>
      <vt:lpstr>ltmeps</vt:lpstr>
      <vt:lpstr>ltmexp</vt:lpstr>
      <vt:lpstr>ltmfcf</vt:lpstr>
      <vt:lpstr>ltmop</vt:lpstr>
      <vt:lpstr>ltmopcash</vt:lpstr>
      <vt:lpstr>ltmopmgn</vt:lpstr>
      <vt:lpstr>ltmrev</vt:lpstr>
      <vt:lpstr>ltmrnd</vt:lpstr>
      <vt:lpstr>IndexInformation!MacroVersion</vt:lpstr>
      <vt:lpstr>ImportantDisclosures!ModelPrice</vt:lpstr>
      <vt:lpstr>mrev</vt:lpstr>
      <vt:lpstr>IndexInformation!Multiplier</vt:lpstr>
      <vt:lpstr>IndexInformation!NextYearEPS</vt:lpstr>
      <vt:lpstr>IndexInformation!NextYearTotalRevenue</vt:lpstr>
      <vt:lpstr>IndexInformation!NextYearTotalRevenueActual</vt:lpstr>
      <vt:lpstr>ni</vt:lpstr>
      <vt:lpstr>nirep</vt:lpstr>
      <vt:lpstr>nopat</vt:lpstr>
      <vt:lpstr>ObjectType</vt:lpstr>
      <vt:lpstr>op</vt:lpstr>
      <vt:lpstr>opcash</vt:lpstr>
      <vt:lpstr>opmgn</vt:lpstr>
      <vt:lpstr>othinc</vt:lpstr>
      <vt:lpstr>ModPubIndex!PANA</vt:lpstr>
      <vt:lpstr>IndexInformation!PathName</vt:lpstr>
      <vt:lpstr>BS!Print_Area</vt:lpstr>
      <vt:lpstr>CF!Print_Area</vt:lpstr>
      <vt:lpstr>Metrics!Print_Area</vt:lpstr>
      <vt:lpstr>Model!Print_Area</vt:lpstr>
      <vt:lpstr>'Rev by Geo'!Print_Area</vt:lpstr>
      <vt:lpstr>'Revenue Drivers'!Print_Area</vt:lpstr>
      <vt:lpstr>'Scenario Analysis'!Print_Area</vt:lpstr>
      <vt:lpstr>ModPubIndex!PRODUCT</vt:lpstr>
      <vt:lpstr>productGM</vt:lpstr>
      <vt:lpstr>ModPubIndex!PSYM</vt:lpstr>
      <vt:lpstr>IndexInformation!PublishDate</vt:lpstr>
      <vt:lpstr>IndexInformation!Rating</vt:lpstr>
      <vt:lpstr>ImportantDisclosures!RatingsDefined</vt:lpstr>
      <vt:lpstr>IndexInformation!ResearchTopic</vt:lpstr>
      <vt:lpstr>Reset</vt:lpstr>
      <vt:lpstr>rev</vt:lpstr>
      <vt:lpstr>IndexInformation!RIC</vt:lpstr>
      <vt:lpstr>rnd</vt:lpstr>
      <vt:lpstr>IndexInformation!SEDOL</vt:lpstr>
      <vt:lpstr>shs</vt:lpstr>
      <vt:lpstr>snm</vt:lpstr>
      <vt:lpstr>ImportantDisclosures!SourceDefined</vt:lpstr>
      <vt:lpstr>ImportantDisclosures!StockRating</vt:lpstr>
      <vt:lpstr>IndexInformation!SubjectCode</vt:lpstr>
      <vt:lpstr>SubmitterUserId</vt:lpstr>
      <vt:lpstr>ModPubIndex!SUPPRESSED</vt:lpstr>
      <vt:lpstr>svcsGM</vt:lpstr>
      <vt:lpstr>ImportantDisclosures!TargetPrice</vt:lpstr>
      <vt:lpstr>taxes</vt:lpstr>
      <vt:lpstr>taxrate</vt:lpstr>
      <vt:lpstr>TemplateRegion</vt:lpstr>
      <vt:lpstr>ImportantDisclosures!Ticker</vt:lpstr>
      <vt:lpstr>TickerRegion</vt:lpstr>
      <vt:lpstr>IndexInformation!Tickers</vt:lpstr>
      <vt:lpstr>toteq</vt:lpstr>
      <vt:lpstr>totexp</vt:lpstr>
      <vt:lpstr>totrec</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2003-09-09T19:39:21Z</dcterms:created>
  <dc:creator>Brian Essex</dc:creator>
  <cp:lastModifiedBy>Walia, Naina (Research)</cp:lastModifiedBy>
  <cp:lastPrinted>2018-03-16T02:41:00Z</cp:lastPrinted>
  <dcterms:modified xsi:type="dcterms:W3CDTF">2018-03-16T04:26:35Z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ModelwareExpressVersionNumber" pid="2">
    <vt:lpwstr>3.00</vt:lpwstr>
  </property>
  <property fmtid="{D5CDD505-2E9C-101B-9397-08002B2CF9AE}" name="FDSMenuDocLevelBtnStates" pid="3">
    <vt:lpwstr>&lt;btnStates&gt;&lt;btn tag="1001" state="UP"/&gt;&lt;/btnStates&gt;_x000d_
</vt:lpwstr>
  </property>
  <property fmtid="{D5CDD505-2E9C-101B-9397-08002B2CF9AE}" name="LinkingAutoNameNumberLinking_Range_" pid="4">
    <vt:lpwstr>45</vt:lpwstr>
  </property>
  <property fmtid="{D5CDD505-2E9C-101B-9397-08002B2CF9AE}" name="ERModPubTicket" pid="5">
    <vt:lpwstr>NA</vt:lpwstr>
  </property>
  <property fmtid="{D5CDD505-2E9C-101B-9397-08002B2CF9AE}" name="ERCompanyUploadState" pid="6">
    <vt:lpwstr>P</vt:lpwstr>
  </property>
  <property fmtid="{D5CDD505-2E9C-101B-9397-08002B2CF9AE}" name="ModelId" pid="7">
    <vt:lpwstr>756630</vt:lpwstr>
  </property>
  <property fmtid="{D5CDD505-2E9C-101B-9397-08002B2CF9AE}" name="ERModPubCompanyName" pid="8">
    <vt:lpwstr>Adobe Systems</vt:lpwstr>
  </property>
  <property fmtid="{D5CDD505-2E9C-101B-9397-08002B2CF9AE}" name="MSDH34TAG" pid="9">
    <vt:lpwstr>.TEZUF76X5TAHATHESADREYAK-00-INB160+*94600-06=92e1f1da/-28c5/-11e8/-97c7/-b3450f688ad8,MD=20180316002704/-0400,ZZ=000Z-ad11.</vt:lpwstr>
  </property>
</Properties>
</file>